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3-2024/INDIVISION GERMETTE - 10469418 JL/"/>
    </mc:Choice>
  </mc:AlternateContent>
  <xr:revisionPtr revIDLastSave="122" documentId="8_{C7766AE1-887F-4D22-AF97-3313DD4B279F}" xr6:coauthVersionLast="47" xr6:coauthVersionMax="47" xr10:uidLastSave="{CD5A9241-DAEE-453F-8837-A7D2BFB13254}"/>
  <bookViews>
    <workbookView xWindow="-110" yWindow="-110" windowWidth="22780" windowHeight="145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4" i="1" l="1"/>
  <c r="B223" i="1"/>
  <c r="B222" i="1"/>
  <c r="B221" i="1"/>
  <c r="B220" i="1"/>
  <c r="B219" i="1"/>
  <c r="B198" i="1"/>
  <c r="B197" i="1"/>
  <c r="B196" i="1"/>
  <c r="B195" i="1"/>
  <c r="B194" i="1"/>
  <c r="B193" i="1"/>
  <c r="B172" i="1"/>
  <c r="B171" i="1"/>
  <c r="B170" i="1"/>
  <c r="B169" i="1"/>
  <c r="B168" i="1"/>
  <c r="B167" i="1"/>
  <c r="I20" i="6" l="1"/>
  <c r="B120" i="1"/>
  <c r="B119" i="1"/>
  <c r="B118" i="1"/>
  <c r="B117" i="1"/>
  <c r="B116" i="1"/>
  <c r="B115" i="1"/>
  <c r="B101" i="1" l="1"/>
  <c r="B94" i="1"/>
  <c r="B93" i="1"/>
  <c r="B92" i="1"/>
  <c r="B91" i="1"/>
  <c r="B90" i="1"/>
  <c r="B89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GL4" i="2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HH20" i="2"/>
  <c r="EV20" i="2"/>
  <c r="EC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EW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HG38" i="2"/>
  <c r="EX38" i="2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HH57" i="2"/>
  <c r="EV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HH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V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W85" i="2" l="1"/>
  <c r="HH85" i="2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A105" i="2"/>
  <c r="EB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C112" i="2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FS113" i="2"/>
  <c r="HG113" i="2"/>
  <c r="EB113" i="2"/>
  <c r="EC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V114" i="2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HH118" i="2"/>
  <c r="EC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EX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HH139" i="2"/>
  <c r="EA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EA144" i="2"/>
  <c r="FR144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H150" i="2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HH155" i="2"/>
  <c r="HG155" i="2"/>
  <c r="DI154" i="2"/>
  <c r="EY154" i="2"/>
  <c r="AC154" i="2"/>
  <c r="EW155" i="2"/>
  <c r="EX155" i="2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Y155" i="2"/>
  <c r="FS156" i="2"/>
  <c r="HH156" i="2"/>
  <c r="HI156" i="2"/>
  <c r="EB156" i="2"/>
  <c r="A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HH157" i="2"/>
  <c r="EA157" i="2"/>
  <c r="CN156" i="2"/>
  <c r="EX157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H158" i="2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C159" i="2"/>
  <c r="HH159" i="2"/>
  <c r="EA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HI160" i="2"/>
  <c r="HH160" i="2"/>
  <c r="EY159" i="2"/>
  <c r="DG160" i="2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D160" i="2"/>
  <c r="EA161" i="2"/>
  <c r="EB161" i="2"/>
  <c r="FS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DI161" i="2"/>
  <c r="EY161" i="2"/>
  <c r="EW162" i="2"/>
  <c r="EB162" i="2"/>
  <c r="HH162" i="2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EB163" i="2"/>
  <c r="EY162" i="2"/>
  <c r="ED162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HH164" i="2" l="1"/>
  <c r="ED163" i="2"/>
  <c r="EA164" i="2"/>
  <c r="FR164" i="2"/>
  <c r="EY163" i="2"/>
  <c r="DH164" i="2"/>
  <c r="DI163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A165" i="2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EC166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HH167" i="2"/>
  <c r="EB167" i="2"/>
  <c r="EA167" i="2"/>
  <c r="EY166" i="2"/>
  <c r="DG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HI168" i="2"/>
  <c r="HH168" i="2"/>
  <c r="DG168" i="2"/>
  <c r="EC168" i="2"/>
  <c r="DI167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B169" i="2"/>
  <c r="FS169" i="2"/>
  <c r="EY168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B172" i="2"/>
  <c r="HI172" i="2"/>
  <c r="EY171" i="2"/>
  <c r="EA172" i="2"/>
  <c r="EV172" i="2"/>
  <c r="HG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D172" i="2"/>
  <c r="EB173" i="2"/>
  <c r="EX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B175" i="2"/>
  <c r="EW175" i="2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HH176" i="2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Q177" i="2"/>
  <c r="FS177" i="2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FS178" i="2"/>
  <c r="ED177" i="2"/>
  <c r="EW178" i="2"/>
  <c r="EB178" i="2"/>
  <c r="EA178" i="2"/>
  <c r="HH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I179" i="2" l="1"/>
  <c r="EB179" i="2"/>
  <c r="ED178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D179" i="2"/>
  <c r="EY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D180" i="2"/>
  <c r="EW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I185" i="2" l="1"/>
  <c r="ED184" i="2"/>
  <c r="EW185" i="2"/>
  <c r="EY184" i="2"/>
  <c r="EB185" i="2"/>
  <c r="HH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HH186" i="2"/>
  <c r="FS186" i="2"/>
  <c r="EB186" i="2"/>
  <c r="ED185" i="2"/>
  <c r="EW186" i="2"/>
  <c r="EA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H188" i="2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HH189" i="2"/>
  <c r="EY188" i="2"/>
  <c r="EB189" i="2"/>
  <c r="EV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HH190" i="2"/>
  <c r="HG190" i="2"/>
  <c r="EY189" i="2"/>
  <c r="EW190" i="2"/>
  <c r="EV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ED190" i="2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I192" i="2" l="1"/>
  <c r="EY191" i="2"/>
  <c r="EC192" i="2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DI192" i="2"/>
  <c r="ED192" i="2"/>
  <c r="EB193" i="2"/>
  <c r="EA193" i="2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HG194" i="2"/>
  <c r="ED193" i="2"/>
  <c r="FQ194" i="2"/>
  <c r="HI194" i="2"/>
  <c r="EB194" i="2"/>
  <c r="EA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FQ195" i="2" l="1"/>
  <c r="AA195" i="2"/>
  <c r="ED194" i="2"/>
  <c r="EB195" i="2"/>
  <c r="HG195" i="2"/>
  <c r="HI195" i="2"/>
  <c r="EA195" i="2"/>
  <c r="EX195" i="2"/>
  <c r="EY194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FS197" i="2" l="1"/>
  <c r="HG197" i="2"/>
  <c r="HH197" i="2"/>
  <c r="AA197" i="2"/>
  <c r="EY196" i="2"/>
  <c r="EA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FS199" i="2" l="1"/>
  <c r="EY198" i="2"/>
  <c r="EA199" i="2"/>
  <c r="EV199" i="2"/>
  <c r="EW199" i="2"/>
  <c r="HH199" i="2"/>
  <c r="EB199" i="2"/>
  <c r="HG199" i="2"/>
  <c r="HJ199" i="2" s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HG201" i="2" l="1"/>
  <c r="FS201" i="2"/>
  <c r="DI200" i="2"/>
  <c r="ED200" i="2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HI202" i="2"/>
  <c r="FS202" i="2"/>
  <c r="EW202" i="2"/>
  <c r="EY201" i="2"/>
  <c r="FZ6" i="2"/>
  <c r="HG202" i="2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GT51" i="2" a="1"/>
  <c r="GT51" i="2" s="1"/>
  <c r="GT11" i="2" a="1"/>
  <c r="GT11" i="2" s="1"/>
  <c r="GT21" i="2" a="1"/>
  <c r="GT21" i="2" s="1"/>
  <c r="GT190" i="2" a="1"/>
  <c r="GT190" i="2" s="1"/>
  <c r="EI20" i="2" a="1"/>
  <c r="EI20" i="2" s="1"/>
  <c r="EI37" i="2" a="1"/>
  <c r="EI37" i="2" s="1"/>
  <c r="DN133" i="2" a="1"/>
  <c r="DN133" i="2" s="1"/>
  <c r="DN6" i="2" a="1"/>
  <c r="DN6" i="2" s="1"/>
  <c r="DO6" i="2" s="1"/>
  <c r="BX107" i="2" a="1"/>
  <c r="BX107" i="2" s="1"/>
  <c r="HJ202" i="2"/>
  <c r="AX200" i="2"/>
  <c r="BC18" i="2" l="1" a="1"/>
  <c r="BC18" i="2" s="1"/>
  <c r="FS203" i="2"/>
  <c r="EI106" i="2" a="1"/>
  <c r="EI106" i="2" s="1"/>
  <c r="EY202" i="2"/>
  <c r="EI38" i="2" a="1"/>
  <c r="EI38" i="2" s="1"/>
  <c r="FY50" i="2" a="1"/>
  <c r="FY50" i="2" s="1"/>
  <c r="FD159" i="2" a="1"/>
  <c r="FD159" i="2" s="1"/>
  <c r="FD167" i="2" a="1"/>
  <c r="FD167" i="2" s="1"/>
  <c r="FD189" i="2" a="1"/>
  <c r="FD189" i="2" s="1"/>
  <c r="FD48" i="2" a="1"/>
  <c r="FD48" i="2" s="1"/>
  <c r="FD82" i="2" a="1"/>
  <c r="FD82" i="2" s="1"/>
  <c r="FD188" i="2" a="1"/>
  <c r="FD188" i="2" s="1"/>
  <c r="FD160" i="2" a="1"/>
  <c r="FD160" i="2" s="1"/>
  <c r="BC38" i="2" a="1"/>
  <c r="BC38" i="2" s="1"/>
  <c r="BC83" i="2" a="1"/>
  <c r="BC83" i="2" s="1"/>
  <c r="BC164" i="2" a="1"/>
  <c r="BC164" i="2" s="1"/>
  <c r="BC185" i="2" a="1"/>
  <c r="BC185" i="2" s="1"/>
  <c r="BC130" i="2" a="1"/>
  <c r="BC130" i="2" s="1"/>
  <c r="BC114" i="2" a="1"/>
  <c r="BC114" i="2" s="1"/>
  <c r="BC47" i="2" a="1"/>
  <c r="BC47" i="2" s="1"/>
  <c r="BC32" i="2" a="1"/>
  <c r="BC32" i="2" s="1"/>
  <c r="BC65" i="2" a="1"/>
  <c r="BC65" i="2" s="1"/>
  <c r="BC192" i="2" a="1"/>
  <c r="BC192" i="2" s="1"/>
  <c r="BC126" i="2" a="1"/>
  <c r="BC126" i="2" s="1"/>
  <c r="BC151" i="2" a="1"/>
  <c r="BC151" i="2" s="1"/>
  <c r="BC7" i="2" a="1"/>
  <c r="BC7" i="2" s="1"/>
  <c r="BC55" i="2" a="1"/>
  <c r="BC55" i="2" s="1"/>
  <c r="BC82" i="2" a="1"/>
  <c r="BC82" i="2" s="1"/>
  <c r="BC143" i="2" a="1"/>
  <c r="BC143" i="2" s="1"/>
  <c r="BC68" i="2" a="1"/>
  <c r="BC68" i="2" s="1"/>
  <c r="BC31" i="2" a="1"/>
  <c r="BC31" i="2" s="1"/>
  <c r="BC117" i="2" a="1"/>
  <c r="BC117" i="2" s="1"/>
  <c r="BC58" i="2" a="1"/>
  <c r="BC58" i="2" s="1"/>
  <c r="BC84" i="2" a="1"/>
  <c r="BC84" i="2" s="1"/>
  <c r="BC181" i="2" a="1"/>
  <c r="BC181" i="2" s="1"/>
  <c r="BC34" i="2" a="1"/>
  <c r="BC34" i="2" s="1"/>
  <c r="FY142" i="2" a="1"/>
  <c r="FY142" i="2" s="1"/>
  <c r="FY30" i="2" a="1"/>
  <c r="FY30" i="2" s="1"/>
  <c r="AH199" i="2" a="1"/>
  <c r="AH199" i="2" s="1"/>
  <c r="CS38" i="2" a="1"/>
  <c r="CS38" i="2" s="1"/>
  <c r="CS52" i="2" a="1"/>
  <c r="CS52" i="2" s="1"/>
  <c r="CS72" i="2" a="1"/>
  <c r="CS72" i="2" s="1"/>
  <c r="CS129" i="2" a="1"/>
  <c r="CS129" i="2" s="1"/>
  <c r="CS105" i="2" a="1"/>
  <c r="CS105" i="2" s="1"/>
  <c r="CS66" i="2" a="1"/>
  <c r="CS66" i="2" s="1"/>
  <c r="CS120" i="2" a="1"/>
  <c r="CS120" i="2" s="1"/>
  <c r="CS56" i="2" a="1"/>
  <c r="CS56" i="2" s="1"/>
  <c r="CS161" i="2" a="1"/>
  <c r="CS161" i="2" s="1"/>
  <c r="CS185" i="2" a="1"/>
  <c r="CS185" i="2" s="1"/>
  <c r="CS114" i="2" a="1"/>
  <c r="CS114" i="2" s="1"/>
  <c r="CS77" i="2" a="1"/>
  <c r="CS77" i="2" s="1"/>
  <c r="CS134" i="2" a="1"/>
  <c r="CS134" i="2" s="1"/>
  <c r="CS137" i="2" a="1"/>
  <c r="CS137" i="2" s="1"/>
  <c r="CS24" i="2" a="1"/>
  <c r="CS24" i="2" s="1"/>
  <c r="CS116" i="2" a="1"/>
  <c r="CS116" i="2" s="1"/>
  <c r="AH19" i="2" a="1"/>
  <c r="AH19" i="2" s="1"/>
  <c r="FY104" i="2" a="1"/>
  <c r="FY104" i="2" s="1"/>
  <c r="FY196" i="2" a="1"/>
  <c r="FY196" i="2" s="1"/>
  <c r="FY186" i="2" a="1"/>
  <c r="FY186" i="2" s="1"/>
  <c r="FY69" i="2" a="1"/>
  <c r="FY69" i="2" s="1"/>
  <c r="DN162" i="2" a="1"/>
  <c r="DN162" i="2" s="1"/>
  <c r="DN63" i="2" a="1"/>
  <c r="DN63" i="2" s="1"/>
  <c r="DN177" i="2" a="1"/>
  <c r="DN177" i="2" s="1"/>
  <c r="DN184" i="2" a="1"/>
  <c r="DN184" i="2" s="1"/>
  <c r="DN45" i="2" a="1"/>
  <c r="DN45" i="2" s="1"/>
  <c r="FY190" i="2" a="1"/>
  <c r="FY190" i="2" s="1"/>
  <c r="FY78" i="2" a="1"/>
  <c r="FY78" i="2" s="1"/>
  <c r="FY35" i="2" a="1"/>
  <c r="FY35" i="2" s="1"/>
  <c r="DN65" i="2" a="1"/>
  <c r="DN65" i="2" s="1"/>
  <c r="DN49" i="2" a="1"/>
  <c r="DN49" i="2" s="1"/>
  <c r="DN168" i="2" a="1"/>
  <c r="DN168" i="2" s="1"/>
  <c r="DN123" i="2" a="1"/>
  <c r="DN123" i="2" s="1"/>
  <c r="DN115" i="2" a="1"/>
  <c r="DN115" i="2" s="1"/>
  <c r="DN152" i="2" a="1"/>
  <c r="DN152" i="2" s="1"/>
  <c r="DN124" i="2" a="1"/>
  <c r="DN124" i="2" s="1"/>
  <c r="DN164" i="2" a="1"/>
  <c r="DN164" i="2" s="1"/>
  <c r="DN153" i="2" a="1"/>
  <c r="DN153" i="2" s="1"/>
  <c r="DN29" i="2" a="1"/>
  <c r="DN29" i="2" s="1"/>
  <c r="DN132" i="2" a="1"/>
  <c r="DN132" i="2" s="1"/>
  <c r="DN187" i="2" a="1"/>
  <c r="DN187" i="2" s="1"/>
  <c r="DN30" i="2" a="1"/>
  <c r="DN30" i="2" s="1"/>
  <c r="DN55" i="2" a="1"/>
  <c r="DN55" i="2" s="1"/>
  <c r="DN135" i="2" a="1"/>
  <c r="DN135" i="2" s="1"/>
  <c r="DN150" i="2" a="1"/>
  <c r="DN150" i="2" s="1"/>
  <c r="DN170" i="2" a="1"/>
  <c r="DN170" i="2" s="1"/>
  <c r="DN41" i="2" a="1"/>
  <c r="DN41" i="2" s="1"/>
  <c r="DN155" i="2" a="1"/>
  <c r="DN155" i="2" s="1"/>
  <c r="DN70" i="2" a="1"/>
  <c r="DN70" i="2" s="1"/>
  <c r="DN46" i="2" a="1"/>
  <c r="DN46" i="2" s="1"/>
  <c r="DN110" i="2" a="1"/>
  <c r="DN110" i="2" s="1"/>
  <c r="DN38" i="2" a="1"/>
  <c r="DN38" i="2" s="1"/>
  <c r="DN192" i="2" a="1"/>
  <c r="DN192" i="2" s="1"/>
  <c r="DN129" i="2" a="1"/>
  <c r="DN129" i="2" s="1"/>
  <c r="DN43" i="2" a="1"/>
  <c r="DN43" i="2" s="1"/>
  <c r="DN31" i="2" a="1"/>
  <c r="DN31" i="2" s="1"/>
  <c r="DN66" i="2" a="1"/>
  <c r="DN66" i="2" s="1"/>
  <c r="DN50" i="2" a="1"/>
  <c r="DN50" i="2" s="1"/>
  <c r="DN186" i="2" a="1"/>
  <c r="DN186" i="2" s="1"/>
  <c r="DN176" i="2" a="1"/>
  <c r="DN176" i="2" s="1"/>
  <c r="DN167" i="2" a="1"/>
  <c r="DN167" i="2" s="1"/>
  <c r="DN114" i="2" a="1"/>
  <c r="DN114" i="2" s="1"/>
  <c r="DN188" i="2" a="1"/>
  <c r="DN188" i="2" s="1"/>
  <c r="DN113" i="2" a="1"/>
  <c r="DN113" i="2" s="1"/>
  <c r="DN137" i="2" a="1"/>
  <c r="DN137" i="2" s="1"/>
  <c r="DN190" i="2" a="1"/>
  <c r="DN190" i="2" s="1"/>
  <c r="DN16" i="2" a="1"/>
  <c r="DN16" i="2" s="1"/>
  <c r="DN80" i="2" a="1"/>
  <c r="DN80" i="2" s="1"/>
  <c r="DN103" i="2" a="1"/>
  <c r="DN103" i="2" s="1"/>
  <c r="DN86" i="2" a="1"/>
  <c r="DN86" i="2" s="1"/>
  <c r="DN25" i="2" a="1"/>
  <c r="DN25" i="2" s="1"/>
  <c r="DN56" i="2" a="1"/>
  <c r="DN56" i="2" s="1"/>
  <c r="GT107" i="2" a="1"/>
  <c r="GT107" i="2" s="1"/>
  <c r="GT189" i="2" a="1"/>
  <c r="GT189" i="2" s="1"/>
  <c r="GT121" i="2" a="1"/>
  <c r="GT121" i="2" s="1"/>
  <c r="GT174" i="2" a="1"/>
  <c r="GT174" i="2" s="1"/>
  <c r="GT198" i="2" a="1"/>
  <c r="GT198" i="2" s="1"/>
  <c r="GT122" i="2" a="1"/>
  <c r="GT122" i="2" s="1"/>
  <c r="GT191" i="2" a="1"/>
  <c r="GT191" i="2" s="1"/>
  <c r="GT12" i="2" a="1"/>
  <c r="GT12" i="2" s="1"/>
  <c r="GT102" i="2" a="1"/>
  <c r="GT102" i="2" s="1"/>
  <c r="GT68" i="2" a="1"/>
  <c r="GT68" i="2" s="1"/>
  <c r="GT38" i="2" a="1"/>
  <c r="GT38" i="2" s="1"/>
  <c r="GT147" i="2" a="1"/>
  <c r="GT147" i="2" s="1"/>
  <c r="GT181" i="2" a="1"/>
  <c r="GT181" i="2" s="1"/>
  <c r="GT126" i="2" a="1"/>
  <c r="GT126" i="2" s="1"/>
  <c r="GT152" i="2" a="1"/>
  <c r="GT152" i="2" s="1"/>
  <c r="GT184" i="2" a="1"/>
  <c r="GT184" i="2" s="1"/>
  <c r="GT15" i="2" a="1"/>
  <c r="GT15" i="2" s="1"/>
  <c r="GT74" i="2" a="1"/>
  <c r="GT74" i="2" s="1"/>
  <c r="GT33" i="2" a="1"/>
  <c r="GT33" i="2" s="1"/>
  <c r="GT115" i="2" a="1"/>
  <c r="GT115" i="2" s="1"/>
  <c r="GT138" i="2" a="1"/>
  <c r="GT138" i="2" s="1"/>
  <c r="GT178" i="2" a="1"/>
  <c r="GT178" i="2" s="1"/>
  <c r="GT133" i="2" a="1"/>
  <c r="GT133" i="2" s="1"/>
  <c r="AH163" i="2" a="1"/>
  <c r="AH163" i="2" s="1"/>
  <c r="AH62" i="2" a="1"/>
  <c r="AH62" i="2" s="1"/>
  <c r="EI35" i="2" a="1"/>
  <c r="EI35" i="2" s="1"/>
  <c r="EI34" i="2" a="1"/>
  <c r="EI34" i="2" s="1"/>
  <c r="EI166" i="2" a="1"/>
  <c r="EI166" i="2" s="1"/>
  <c r="EI139" i="2" a="1"/>
  <c r="EI139" i="2" s="1"/>
  <c r="EI165" i="2" a="1"/>
  <c r="EI165" i="2" s="1"/>
  <c r="EI67" i="2" a="1"/>
  <c r="EI67" i="2" s="1"/>
  <c r="EI71" i="2" a="1"/>
  <c r="EI71" i="2" s="1"/>
  <c r="EI170" i="2" a="1"/>
  <c r="EI170" i="2" s="1"/>
  <c r="EI57" i="2" a="1"/>
  <c r="EI57" i="2" s="1"/>
  <c r="EI195" i="2" a="1"/>
  <c r="EI195" i="2" s="1"/>
  <c r="AH92" i="2" a="1"/>
  <c r="AH92" i="2" s="1"/>
  <c r="EI16" i="2" a="1"/>
  <c r="EI16" i="2" s="1"/>
  <c r="EI36" i="2" a="1"/>
  <c r="EI36" i="2" s="1"/>
  <c r="EI113" i="2" a="1"/>
  <c r="EI113" i="2" s="1"/>
  <c r="EI87" i="2" a="1"/>
  <c r="EI87" i="2" s="1"/>
  <c r="EI128" i="2" a="1"/>
  <c r="EI128" i="2" s="1"/>
  <c r="EI109" i="2" a="1"/>
  <c r="EI109" i="2" s="1"/>
  <c r="EI142" i="2" a="1"/>
  <c r="EI142" i="2" s="1"/>
  <c r="AH151" i="2" a="1"/>
  <c r="AH151" i="2" s="1"/>
  <c r="AH166" i="2" a="1"/>
  <c r="AH166" i="2" s="1"/>
  <c r="AH90" i="2" a="1"/>
  <c r="AH90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EY203" i="2"/>
  <c r="FZ8" i="2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ED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GE11" i="2" l="1"/>
  <c r="GE195" i="2"/>
  <c r="GE130" i="2"/>
  <c r="GE134" i="2"/>
  <c r="GE17" i="2"/>
  <c r="GE181" i="2"/>
  <c r="GE172" i="2"/>
  <c r="GE51" i="2"/>
  <c r="GE147" i="2"/>
  <c r="GE192" i="2"/>
  <c r="GE58" i="2"/>
  <c r="GE124" i="2"/>
  <c r="GE27" i="2"/>
  <c r="GE98" i="2"/>
  <c r="GE96" i="2"/>
  <c r="GE77" i="2"/>
  <c r="GE176" i="2"/>
  <c r="GE106" i="2"/>
  <c r="GE132" i="2"/>
  <c r="GE110" i="2"/>
  <c r="GE161" i="2"/>
  <c r="GE183" i="2"/>
  <c r="GE179" i="2"/>
  <c r="GE104" i="2"/>
  <c r="GE63" i="2"/>
  <c r="GE64" i="2"/>
  <c r="GE29" i="2"/>
  <c r="GE37" i="2"/>
  <c r="GE168" i="2"/>
  <c r="GE73" i="2"/>
  <c r="GE136" i="2"/>
  <c r="GE187" i="2"/>
  <c r="GE198" i="2"/>
  <c r="GE126" i="2"/>
  <c r="GE148" i="2"/>
  <c r="GE60" i="2"/>
  <c r="GE144" i="2"/>
  <c r="GE197" i="2"/>
  <c r="GE91" i="2"/>
  <c r="GE118" i="2"/>
  <c r="GE174" i="2"/>
  <c r="GE30" i="2"/>
  <c r="GE65" i="2"/>
  <c r="GE137" i="2"/>
  <c r="GE169" i="2"/>
  <c r="GE167" i="2"/>
  <c r="GE175" i="2"/>
  <c r="GE123" i="2"/>
  <c r="GE36" i="2"/>
  <c r="GE59" i="2"/>
  <c r="GE180" i="2"/>
  <c r="GE47" i="2"/>
  <c r="GE28" i="2"/>
  <c r="GE152" i="2"/>
  <c r="GE13" i="2"/>
  <c r="GE71" i="2"/>
  <c r="GE141" i="2"/>
  <c r="GE39" i="2"/>
  <c r="GE135" i="2"/>
  <c r="GE199" i="2"/>
  <c r="GE67" i="2"/>
  <c r="GE53" i="2"/>
  <c r="GE108" i="2"/>
  <c r="GE70" i="2"/>
  <c r="GE4" i="2"/>
  <c r="GE75" i="2"/>
  <c r="GE185" i="2"/>
  <c r="GE38" i="2"/>
  <c r="GE26" i="2"/>
  <c r="GE100" i="2"/>
  <c r="GE90" i="2"/>
  <c r="GE24" i="2"/>
  <c r="GE12" i="2"/>
  <c r="GE80" i="2"/>
  <c r="GE138" i="2"/>
  <c r="GE85" i="2"/>
  <c r="GE155" i="2"/>
  <c r="GE5" i="2"/>
  <c r="GE23" i="2"/>
  <c r="GE74" i="2"/>
  <c r="GE203" i="2"/>
  <c r="GE56" i="2"/>
  <c r="GE87" i="2"/>
  <c r="GE145" i="2"/>
  <c r="GE111" i="2"/>
  <c r="GE119" i="2"/>
  <c r="GE92" i="2"/>
  <c r="GE41" i="2"/>
  <c r="GE122" i="2"/>
  <c r="GE34" i="2"/>
  <c r="GE201" i="2"/>
  <c r="GE40" i="2"/>
  <c r="GE102" i="2"/>
  <c r="GE164" i="2"/>
  <c r="GE61" i="2"/>
  <c r="GE19" i="2"/>
  <c r="GE99" i="2"/>
  <c r="GE200" i="2"/>
  <c r="GE151" i="2"/>
  <c r="GE97" i="2"/>
  <c r="GE81" i="2"/>
  <c r="GE120" i="2"/>
  <c r="GE42" i="2"/>
  <c r="GE127" i="2"/>
  <c r="GE88" i="2"/>
  <c r="GE121" i="2"/>
  <c r="GE170" i="2"/>
  <c r="GE15" i="2"/>
  <c r="GE84" i="2"/>
  <c r="GE95" i="2"/>
  <c r="GE107" i="2"/>
  <c r="GE142" i="2"/>
  <c r="GE157" i="2"/>
  <c r="GE22" i="2"/>
  <c r="GE105" i="2"/>
  <c r="GE166" i="2"/>
  <c r="GE150" i="2"/>
  <c r="GE52" i="2"/>
  <c r="GE21" i="2"/>
  <c r="GE129" i="2"/>
  <c r="GE43" i="2"/>
  <c r="GE163" i="2"/>
  <c r="GE125" i="2"/>
  <c r="GE177" i="2"/>
  <c r="GE139" i="2"/>
  <c r="GE44" i="2"/>
  <c r="GE162" i="2"/>
  <c r="GE33" i="2"/>
  <c r="GE79" i="2"/>
  <c r="GE114" i="2"/>
  <c r="GE171" i="2"/>
  <c r="GE32" i="2"/>
  <c r="GE62" i="2"/>
  <c r="GE8" i="2"/>
  <c r="GE101" i="2"/>
  <c r="GE131" i="2"/>
  <c r="GE72" i="2"/>
  <c r="GE6" i="2"/>
  <c r="GE186" i="2"/>
  <c r="GE143" i="2"/>
  <c r="GE86" i="2"/>
  <c r="GE112" i="2"/>
  <c r="GE7" i="2"/>
  <c r="GE25" i="2"/>
  <c r="GE156" i="2"/>
  <c r="GE194" i="2"/>
  <c r="GE76" i="2"/>
  <c r="GE94" i="2"/>
  <c r="GE153" i="2"/>
  <c r="GE202" i="2"/>
  <c r="GE18" i="2"/>
  <c r="GE146" i="2"/>
  <c r="GE165" i="2"/>
  <c r="GE182" i="2"/>
  <c r="GE117" i="2"/>
  <c r="GE83" i="2"/>
  <c r="GE196" i="2"/>
  <c r="GE48" i="2"/>
  <c r="GE16" i="2"/>
  <c r="GE45" i="2"/>
  <c r="GE113" i="2"/>
  <c r="GE46" i="2"/>
  <c r="GE3" i="2"/>
  <c r="C14" i="4" s="1"/>
  <c r="E14" i="4" s="1"/>
  <c r="F14" i="4" s="1"/>
  <c r="G14" i="4" s="1"/>
  <c r="L14" i="4" s="1"/>
  <c r="GE158" i="2"/>
  <c r="GE89" i="2"/>
  <c r="GE128" i="2"/>
  <c r="GE49" i="2"/>
  <c r="GE14" i="2"/>
  <c r="GE190" i="2"/>
  <c r="GE160" i="2"/>
  <c r="GE188" i="2"/>
  <c r="GE140" i="2"/>
  <c r="GE31" i="2"/>
  <c r="GE20" i="2"/>
  <c r="GE93" i="2"/>
  <c r="GE50" i="2"/>
  <c r="GE10" i="2"/>
  <c r="GE103" i="2"/>
  <c r="GE149" i="2"/>
  <c r="GE57" i="2"/>
  <c r="GE69" i="2"/>
  <c r="GE116" i="2"/>
  <c r="GE159" i="2"/>
  <c r="GE133" i="2"/>
  <c r="GE35" i="2"/>
  <c r="GE9" i="2"/>
  <c r="GE66" i="2"/>
  <c r="GE193" i="2"/>
  <c r="GE189" i="2"/>
  <c r="GE54" i="2"/>
  <c r="GE109" i="2"/>
  <c r="GE191" i="2"/>
  <c r="GE82" i="2"/>
  <c r="GE68" i="2"/>
  <c r="GE154" i="2"/>
  <c r="GE178" i="2"/>
  <c r="GE78" i="2"/>
  <c r="GE184" i="2"/>
  <c r="GE55" i="2"/>
  <c r="GE115" i="2"/>
  <c r="GE173" i="2"/>
  <c r="FE74" i="2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FJ11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186" i="2" l="1"/>
  <c r="FJ9" i="2"/>
  <c r="FJ93" i="2"/>
  <c r="FJ86" i="2"/>
  <c r="FJ135" i="2"/>
  <c r="FJ99" i="2"/>
  <c r="FJ179" i="2"/>
  <c r="FJ112" i="2"/>
  <c r="FJ78" i="2"/>
  <c r="FJ199" i="2"/>
  <c r="FJ15" i="2"/>
  <c r="FJ111" i="2"/>
  <c r="FJ127" i="2"/>
  <c r="FJ7" i="2"/>
  <c r="FJ72" i="2"/>
  <c r="FJ203" i="2"/>
  <c r="FJ90" i="2"/>
  <c r="FJ103" i="2"/>
  <c r="FJ17" i="2"/>
  <c r="FJ14" i="2"/>
  <c r="FJ120" i="2"/>
  <c r="FJ41" i="2"/>
  <c r="FJ50" i="2"/>
  <c r="FJ12" i="2"/>
  <c r="FJ160" i="2"/>
  <c r="FJ140" i="2"/>
  <c r="FJ134" i="2"/>
  <c r="FJ105" i="2"/>
  <c r="FJ144" i="2"/>
  <c r="FJ96" i="2"/>
  <c r="FJ192" i="2"/>
  <c r="FJ173" i="2"/>
  <c r="FJ125" i="2"/>
  <c r="FJ25" i="2"/>
  <c r="FJ189" i="2"/>
  <c r="FJ181" i="2"/>
  <c r="FJ76" i="2"/>
  <c r="FJ133" i="2"/>
  <c r="FJ176" i="2"/>
  <c r="FJ92" i="2"/>
  <c r="FJ73" i="2"/>
  <c r="FJ131" i="2"/>
  <c r="FJ88" i="2"/>
  <c r="FJ166" i="2"/>
  <c r="FJ118" i="2"/>
  <c r="FJ138" i="2"/>
  <c r="FJ89" i="2"/>
  <c r="FJ37" i="2"/>
  <c r="FJ8" i="2"/>
  <c r="FJ101" i="2"/>
  <c r="FJ136" i="2"/>
  <c r="FJ65" i="2"/>
  <c r="FJ130" i="2"/>
  <c r="FJ61" i="2"/>
  <c r="FJ157" i="2"/>
  <c r="FJ155" i="2"/>
  <c r="FJ196" i="2"/>
  <c r="FJ94" i="2"/>
  <c r="FJ114" i="2"/>
  <c r="FJ106" i="2"/>
  <c r="FJ22" i="2"/>
  <c r="FJ102" i="2"/>
  <c r="FJ68" i="2"/>
  <c r="FJ18" i="2"/>
  <c r="FJ63" i="2"/>
  <c r="FJ110" i="2"/>
  <c r="FJ139" i="2"/>
  <c r="FJ197" i="2"/>
  <c r="FJ3" i="2"/>
  <c r="C13" i="4" s="1"/>
  <c r="E13" i="4" s="1"/>
  <c r="F13" i="4" s="1"/>
  <c r="G13" i="4" s="1"/>
  <c r="L13" i="4" s="1"/>
  <c r="FJ35" i="2"/>
  <c r="FJ143" i="2"/>
  <c r="FJ83" i="2"/>
  <c r="FJ69" i="2"/>
  <c r="FJ60" i="2"/>
  <c r="FJ34" i="2"/>
  <c r="FJ6" i="2"/>
  <c r="FJ66" i="2"/>
  <c r="FJ149" i="2"/>
  <c r="FJ48" i="2"/>
  <c r="FJ171" i="2"/>
  <c r="FJ20" i="2"/>
  <c r="FJ91" i="2"/>
  <c r="FJ137" i="2"/>
  <c r="FJ97" i="2"/>
  <c r="FJ45" i="2"/>
  <c r="FJ40" i="2"/>
  <c r="FJ123" i="2"/>
  <c r="FJ4" i="2"/>
  <c r="FJ168" i="2"/>
  <c r="FJ95" i="2"/>
  <c r="FJ108" i="2"/>
  <c r="FJ24" i="2"/>
  <c r="FJ10" i="2"/>
  <c r="FJ158" i="2"/>
  <c r="FJ44" i="2"/>
  <c r="FJ161" i="2"/>
  <c r="FJ167" i="2"/>
  <c r="FJ109" i="2"/>
  <c r="FJ170" i="2"/>
  <c r="FJ201" i="2"/>
  <c r="FJ74" i="2"/>
  <c r="FJ182" i="2"/>
  <c r="FJ43" i="2"/>
  <c r="FJ58" i="2"/>
  <c r="FJ85" i="2"/>
  <c r="FJ82" i="2"/>
  <c r="FJ27" i="2"/>
  <c r="FJ55" i="2"/>
  <c r="FJ70" i="2"/>
  <c r="FJ29" i="2"/>
  <c r="FJ177" i="2"/>
  <c r="FJ16" i="2"/>
  <c r="FJ194" i="2"/>
  <c r="FJ115" i="2"/>
  <c r="FJ193" i="2"/>
  <c r="FJ21" i="2"/>
  <c r="FJ121" i="2"/>
  <c r="FJ51" i="2"/>
  <c r="FJ53" i="2"/>
  <c r="FJ174" i="2"/>
  <c r="FJ129" i="2"/>
  <c r="FJ169" i="2"/>
  <c r="FJ195" i="2"/>
  <c r="FJ154" i="2"/>
  <c r="FJ178" i="2"/>
  <c r="FJ147" i="2"/>
  <c r="FJ59" i="2"/>
  <c r="FJ202" i="2"/>
  <c r="FJ145" i="2"/>
  <c r="FJ32" i="2"/>
  <c r="FJ198" i="2"/>
  <c r="FJ36" i="2"/>
  <c r="FJ150" i="2"/>
  <c r="FJ33" i="2"/>
  <c r="FJ104" i="2"/>
  <c r="FJ191" i="2"/>
  <c r="FJ30" i="2"/>
  <c r="FJ107" i="2"/>
  <c r="FJ141" i="2"/>
  <c r="FJ98" i="2"/>
  <c r="FJ163" i="2"/>
  <c r="FJ142" i="2"/>
  <c r="FJ19" i="2"/>
  <c r="FJ184" i="2"/>
  <c r="FJ183" i="2"/>
  <c r="FJ13" i="2"/>
  <c r="FJ100" i="2"/>
  <c r="FJ84" i="2"/>
  <c r="FJ159" i="2"/>
  <c r="FJ54" i="2"/>
  <c r="FJ200" i="2"/>
  <c r="FJ57" i="2"/>
  <c r="FJ42" i="2"/>
  <c r="FJ49" i="2"/>
  <c r="FJ119" i="2"/>
  <c r="FJ126" i="2"/>
  <c r="FJ175" i="2"/>
  <c r="FJ39" i="2"/>
  <c r="FJ62" i="2"/>
  <c r="FJ124" i="2"/>
  <c r="FJ64" i="2"/>
  <c r="FJ162" i="2"/>
  <c r="FJ23" i="2"/>
  <c r="FJ5" i="2"/>
  <c r="FJ46" i="2"/>
  <c r="FJ187" i="2"/>
  <c r="FJ71" i="2"/>
  <c r="FJ79" i="2"/>
  <c r="FJ26" i="2"/>
  <c r="FJ116" i="2"/>
  <c r="FJ185" i="2"/>
  <c r="FJ31" i="2"/>
  <c r="FJ81" i="2"/>
  <c r="FJ47" i="2"/>
  <c r="FJ117" i="2"/>
  <c r="FJ156" i="2"/>
  <c r="FJ128" i="2"/>
  <c r="FJ164" i="2"/>
  <c r="FJ146" i="2"/>
  <c r="FJ56" i="2"/>
  <c r="FJ87" i="2"/>
  <c r="FJ172" i="2"/>
  <c r="FJ38" i="2"/>
  <c r="FJ190" i="2"/>
  <c r="FJ132" i="2"/>
  <c r="FJ77" i="2"/>
  <c r="FJ151" i="2"/>
  <c r="FJ180" i="2"/>
  <c r="FJ153" i="2"/>
  <c r="FJ11" i="2"/>
  <c r="FJ188" i="2"/>
  <c r="FJ148" i="2"/>
  <c r="FJ52" i="2"/>
  <c r="FJ75" i="2"/>
  <c r="FJ67" i="2"/>
  <c r="FJ152" i="2"/>
  <c r="FJ165" i="2"/>
  <c r="FJ28" i="2"/>
  <c r="FJ80" i="2"/>
  <c r="FJ122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<sst xmlns="http://schemas.openxmlformats.org/spreadsheetml/2006/main" count="1183" uniqueCount="328">
  <si>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</si>
  <si>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</si>
  <si>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</si>
  <si>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</si>
  <si>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</si>
  <si>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</si>
  <si>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</si>
  <si>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</si>
  <si>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</si>
  <si>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</si>
  <si>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</si>
  <si>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</si>
  <si>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</si>
  <si>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</si>
  <si>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</si>
  <si>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</si>
  <si>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Chêne sessile</t>
  </si>
  <si>
    <t>NB : La durée de révolution doit être identique à la dernière année indiquée dans la table de production renseignée en dessous</t>
  </si>
  <si>
    <t>Essence 2</t>
  </si>
  <si>
    <t>Pin maritime</t>
  </si>
  <si>
    <t>Essence 3</t>
  </si>
  <si>
    <t>Charme</t>
  </si>
  <si>
    <t>Essence 4</t>
  </si>
  <si>
    <t>Erable champêtre</t>
  </si>
  <si>
    <t>Essence 5</t>
  </si>
  <si>
    <t>Douglas</t>
  </si>
  <si>
    <t>Essence 6</t>
  </si>
  <si>
    <t>Merisier</t>
  </si>
  <si>
    <t>Essence 7</t>
  </si>
  <si>
    <t>Chêne rouge d'Amérique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</si>
  <si>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</si>
  <si>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</si>
  <si>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</si>
  <si>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</si>
  <si>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</si>
  <si>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</si>
  <si>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</si>
  <si>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</si>
  <si>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</si>
  <si>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</si>
  <si>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</si>
  <si>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</si>
  <si>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</si>
  <si>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</si>
  <si>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</si>
  <si>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</si>
  <si>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</si>
  <si>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</si>
  <si>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</si>
  <si>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</si>
  <si>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</si>
  <si>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</si>
  <si>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</si>
  <si>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</si>
  <si>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</si>
  <si>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</si>
  <si>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</si>
  <si>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</si>
  <si>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</si>
  <si>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</si>
  <si>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</si>
  <si>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</si>
  <si>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</si>
  <si>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</si>
  <si>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</si>
  <si>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</si>
  <si>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</si>
  <si>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</si>
  <si>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</si>
  <si>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</si>
  <si>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</si>
  <si>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</si>
  <si>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</si>
  <si>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</si>
  <si>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</si>
  <si>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</si>
  <si>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</si>
  <si>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</si>
  <si>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</si>
  <si>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</si>
  <si>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</si>
  <si>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</si>
  <si>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</si>
  <si>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</si>
  <si>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</si>
  <si>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</si>
  <si>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</si>
  <si>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</si>
  <si>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</si>
  <si>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</si>
  <si>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</si>
  <si>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</si>
  <si>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</si>
  <si>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</si>
  <si>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</si>
  <si>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</si>
  <si>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</si>
  <si>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</si>
  <si>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</si>
  <si>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</si>
  <si>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</si>
  <si>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</si>
  <si>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</si>
  <si>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</si>
  <si>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</si>
  <si>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</si>
  <si>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</si>
  <si>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</si>
  <si>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</si>
  <si>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</si>
  <si>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</si>
  <si>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</si>
  <si>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</si>
  <si>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</si>
  <si>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</si>
  <si>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</si>
  <si>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</si>
  <si>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</si>
  <si>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</si>
  <si>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</si>
  <si>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</si>
  <si>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</si>
  <si>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</si>
  <si>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</si>
  <si>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</si>
  <si>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</si>
  <si>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</si>
  <si>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</si>
  <si>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</si>
  <si>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</si>
  <si>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</si>
  <si>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</si>
  <si>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</si>
  <si>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</si>
  <si>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</si>
  <si>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</si>
  <si>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</si>
  <si>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</si>
  <si>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</si>
  <si>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</si>
  <si>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</si>
  <si>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</si>
  <si>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</si>
  <si>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</si>
  <si>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</si>
  <si>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</si>
  <si>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</si>
  <si>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</si>
  <si>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</si>
  <si>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</si>
  <si>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</si>
  <si>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</si>
  <si>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</si>
  <si>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</si>
  <si>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</si>
  <si>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</si>
  <si>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</si>
  <si>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</si>
  <si>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</si>
  <si>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</si>
  <si>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</si>
  <si>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Pseudotsuga menziesii</t>
  </si>
  <si>
    <t>Epicéa commun</t>
  </si>
  <si>
    <t>Picea abies</t>
  </si>
  <si>
    <t>Epicéa de Sitka</t>
  </si>
  <si>
    <t>Picea sitchensis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</si>
  <si>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</si>
  <si>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</si>
  <si>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</si>
  <si>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</si>
  <si>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</si>
  <si>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</si>
  <si>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</si>
  <si>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</si>
  <si>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</si>
  <si>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</si>
  <si>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</si>
  <si>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</si>
  <si>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</si>
  <si>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</si>
  <si>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</si>
  <si>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</si>
  <si>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</si>
  <si>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</si>
  <si>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</si>
  <si>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</si>
  <si>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</si>
  <si>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</si>
  <si>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</si>
  <si>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</si>
  <si>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</si>
  <si>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</si>
  <si>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</si>
  <si>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</si>
  <si>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</si>
  <si>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</si>
  <si>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</si>
  <si>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</si>
  <si>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</si>
  <si>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</si>
  <si>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</si>
  <si>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</si>
  <si>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</si>
  <si>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</si>
  <si>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</si>
  <si>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</si>
  <si>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</si>
  <si>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</si>
  <si>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</si>
  <si>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</si>
  <si>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</si>
  <si>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</si>
  <si>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</si>
  <si>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</si>
  <si>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</si>
  <si>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</si>
  <si>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</si>
  <si>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</si>
  <si>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</si>
  <si>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</si>
  <si>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</si>
  <si>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</si>
  <si>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</si>
  <si>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</si>
  <si>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</si>
  <si>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</si>
  <si>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</si>
  <si>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</si>
  <si>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</si>
  <si>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</si>
  <si>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</si>
  <si>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</si>
  <si>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</si>
  <si>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</si>
  <si>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</si>
  <si>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</si>
  <si>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</si>
  <si>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</si>
  <si>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</si>
  <si>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</si>
  <si>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</si>
  <si>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</si>
  <si>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</si>
  <si>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</si>
  <si>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</si>
  <si>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</si>
  <si>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</si>
  <si>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</si>
  <si>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</si>
  <si>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</si>
  <si>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</si>
  <si>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</si>
  <si>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</si>
  <si>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</si>
  <si>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</si>
  <si>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</si>
  <si>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</si>
  <si>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</si>
  <si>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</si>
  <si>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</si>
  <si>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</si>
  <si>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</si>
  <si>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</si>
  <si>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</si>
  <si>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</si>
  <si>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</si>
  <si>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</si>
  <si>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</si>
  <si>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</si>
  <si>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</si>
  <si>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</si>
  <si>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</si>
  <si>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</si>
  <si>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</si>
  <si>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</si>
  <si>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</si>
  <si>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</si>
  <si>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</si>
  <si>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</si>
  <si>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</si>
  <si>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</si>
  <si>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</si>
  <si>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</si>
  <si>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</si>
  <si>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</si>
  <si>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</si>
  <si>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</si>
  <si>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</si>
  <si>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</si>
  <si>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</si>
  <si>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</si>
  <si>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</si>
  <si>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</si>
  <si>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</si>
  <si>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</si>
  <si>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</si>
  <si>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</si>
  <si>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</si>
  <si>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</si>
  <si>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</si>
  <si>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</si>
  <si>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</si>
  <si>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</si>
  <si>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</si>
  <si>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</si>
  <si>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</si>
  <si>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</si>
  <si>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</si>
  <si>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</si>
  <si>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</si>
  <si>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</si>
  <si>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</si>
  <si>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</si>
  <si>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</si>
  <si>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</si>
  <si>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</si>
  <si>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</si>
  <si>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</si>
  <si>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</si>
  <si>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</si>
  <si>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</si>
  <si>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</si>
  <si>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</si>
  <si>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</si>
  <si>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S. Fournier_Central and northwerstern plains_Classe 1</t>
  </si>
  <si>
    <t>S. Fournier_Loire basin_Classe 1_plantation</t>
  </si>
  <si>
    <t>UK Forestry Com_S.A.B_Classe 10</t>
  </si>
  <si>
    <t>S. Fournier_Classe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</si>
</sst>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0"/>
      <color rgb="FFFF0000"/>
      <name val="Arial"/>
      <family val="2"/>
    </font>
    <font>
      <sz val="11"/>
      <color rgb="FF00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9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2" fillId="14" borderId="1" xfId="0" applyFont="1" applyFill="1" applyBorder="1" applyAlignment="1" applyProtection="1">
      <alignment horizontal="center"/>
      <protection locked="0"/>
    </xf>
    <xf numFmtId="9" fontId="32" fillId="14" borderId="1" xfId="1" applyFont="1" applyFill="1" applyBorder="1" applyAlignment="1" applyProtection="1">
      <alignment horizontal="center"/>
      <protection locked="0"/>
    </xf>
    <xf numFmtId="0" fontId="33" fillId="21" borderId="1" xfId="0" applyFont="1" applyFill="1" applyBorder="1" applyAlignment="1" applyProtection="1">
      <alignment horizontal="center" vertical="center"/>
      <protection locked="0"/>
    </xf>
    <xf numFmtId="9" fontId="33" fillId="21" borderId="1" xfId="0" applyNumberFormat="1" applyFont="1" applyFill="1" applyBorder="1" applyAlignment="1" applyProtection="1">
      <alignment horizontal="center" vertical="center"/>
      <protection locked="0"/>
    </xf>
    <xf numFmtId="168" fontId="0" fillId="0" borderId="0" xfId="0" applyNumberFormat="1" applyProtection="1">
      <protection locked="0"/>
    </xf>
    <xf numFmtId="9" fontId="15" fillId="0" borderId="0" xfId="0" applyNumberFormat="1" applyFont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2.6737980304323585</c:v>
                </c:pt>
                <c:pt idx="2">
                  <c:v>3.0943090739629628</c:v>
                </c:pt>
                <c:pt idx="3">
                  <c:v>3.5811929339565567</c:v>
                </c:pt>
                <c:pt idx="4">
                  <c:v>4.1449613785168511</c:v>
                </c:pt>
                <c:pt idx="5">
                  <c:v>4.7977962608357618</c:v>
                </c:pt>
                <c:pt idx="6">
                  <c:v>5.5538156415632898</c:v>
                </c:pt>
                <c:pt idx="7">
                  <c:v>6.4293824324905131</c:v>
                </c:pt>
                <c:pt idx="8">
                  <c:v>7.4434623726649827</c:v>
                </c:pt>
                <c:pt idx="9">
                  <c:v>8.6180392415700524</c:v>
                </c:pt>
                <c:pt idx="10">
                  <c:v>9.9785964834391248</c:v>
                </c:pt>
                <c:pt idx="11">
                  <c:v>11.554675890499484</c:v>
                </c:pt>
                <c:pt idx="12">
                  <c:v>13.38052570388389</c:v>
                </c:pt>
                <c:pt idx="13">
                  <c:v>15.495852477366185</c:v>
                </c:pt>
                <c:pt idx="14">
                  <c:v>17.946693355403458</c:v>
                </c:pt>
                <c:pt idx="15">
                  <c:v>20.786428094814809</c:v>
                </c:pt>
                <c:pt idx="16">
                  <c:v>24.076953268748301</c:v>
                </c:pt>
                <c:pt idx="17">
                  <c:v>27.890044702026973</c:v>
                </c:pt>
                <c:pt idx="18">
                  <c:v>32.30893837942314</c:v>
                </c:pt>
                <c:pt idx="19">
                  <c:v>37.430164936871329</c:v>
                </c:pt>
                <c:pt idx="20">
                  <c:v>43.365678499276271</c:v>
                </c:pt>
                <c:pt idx="21">
                  <c:v>50.245327194245732</c:v>
                </c:pt>
                <c:pt idx="22">
                  <c:v>58.219720296145177</c:v>
                </c:pt>
                <c:pt idx="23">
                  <c:v>67.463555810539106</c:v>
                </c:pt>
                <c:pt idx="24">
                  <c:v>78.179482594275399</c:v>
                </c:pt>
                <c:pt idx="25">
                  <c:v>90.60258305230083</c:v>
                </c:pt>
                <c:pt idx="26">
                  <c:v>105.005576327306</c:v>
                </c:pt>
                <c:pt idx="27">
                  <c:v>121.70485801451069</c:v>
                </c:pt>
                <c:pt idx="28">
                  <c:v>141.06751115386842</c:v>
                </c:pt>
                <c:pt idx="29">
                  <c:v>163.51944499698146</c:v>
                </c:pt>
                <c:pt idx="30">
                  <c:v>189.5548433056081</c:v>
                </c:pt>
                <c:pt idx="31">
                  <c:v>219.74713328168124</c:v>
                </c:pt>
                <c:pt idx="32">
                  <c:v>254.76172031629076</c:v>
                </c:pt>
                <c:pt idx="33">
                  <c:v>295.37077334531978</c:v>
                </c:pt>
                <c:pt idx="34">
                  <c:v>342.47039160511548</c:v>
                </c:pt>
                <c:pt idx="35">
                  <c:v>298.49846155904305</c:v>
                </c:pt>
                <c:pt idx="36">
                  <c:v>325.52045225626819</c:v>
                </c:pt>
                <c:pt idx="37">
                  <c:v>352.49289391837186</c:v>
                </c:pt>
                <c:pt idx="38">
                  <c:v>379.42010762458534</c:v>
                </c:pt>
                <c:pt idx="39">
                  <c:v>406.30575129176503</c:v>
                </c:pt>
                <c:pt idx="40">
                  <c:v>433.15295950772139</c:v>
                </c:pt>
                <c:pt idx="41">
                  <c:v>459.9644468634869</c:v>
                </c:pt>
                <c:pt idx="42">
                  <c:v>486.74258592712107</c:v>
                </c:pt>
                <c:pt idx="43">
                  <c:v>402.6863801134038</c:v>
                </c:pt>
                <c:pt idx="44">
                  <c:v>430.29805347853835</c:v>
                </c:pt>
                <c:pt idx="45">
                  <c:v>457.87166664968487</c:v>
                </c:pt>
                <c:pt idx="46">
                  <c:v>485.40983120164657</c:v>
                </c:pt>
                <c:pt idx="47">
                  <c:v>512.91483849860072</c:v>
                </c:pt>
                <c:pt idx="48">
                  <c:v>540.38871436673799</c:v>
                </c:pt>
                <c:pt idx="49">
                  <c:v>567.83326207225002</c:v>
                </c:pt>
                <c:pt idx="50">
                  <c:v>595.25009656142754</c:v>
                </c:pt>
                <c:pt idx="51">
                  <c:v>486.84565545428495</c:v>
                </c:pt>
                <c:pt idx="52">
                  <c:v>513.81747826911885</c:v>
                </c:pt>
                <c:pt idx="53">
                  <c:v>540.7594227694326</c:v>
                </c:pt>
                <c:pt idx="54">
                  <c:v>567.67318501986585</c:v>
                </c:pt>
                <c:pt idx="55">
                  <c:v>594.56028733429628</c:v>
                </c:pt>
                <c:pt idx="56">
                  <c:v>621.42210328406259</c:v>
                </c:pt>
                <c:pt idx="57">
                  <c:v>648.25987816020552</c:v>
                </c:pt>
                <c:pt idx="58">
                  <c:v>675.07474587368461</c:v>
                </c:pt>
                <c:pt idx="59">
                  <c:v>575.30805370400878</c:v>
                </c:pt>
                <c:pt idx="60">
                  <c:v>601.13070346995141</c:v>
                </c:pt>
                <c:pt idx="61">
                  <c:v>626.93030959755595</c:v>
                </c:pt>
                <c:pt idx="62">
                  <c:v>652.70795254564484</c:v>
                </c:pt>
                <c:pt idx="63">
                  <c:v>678.46462058239911</c:v>
                </c:pt>
                <c:pt idx="64">
                  <c:v>704.20122092209192</c:v>
                </c:pt>
                <c:pt idx="65">
                  <c:v>729.91858915073738</c:v>
                </c:pt>
                <c:pt idx="66">
                  <c:v>755.61749725572326</c:v>
                </c:pt>
                <c:pt idx="67">
                  <c:v>634.39698138943356</c:v>
                </c:pt>
                <c:pt idx="68">
                  <c:v>658.78701023794144</c:v>
                </c:pt>
                <c:pt idx="69">
                  <c:v>683.158451920331</c:v>
                </c:pt>
                <c:pt idx="70">
                  <c:v>707.51206197606132</c:v>
                </c:pt>
                <c:pt idx="71">
                  <c:v>731.84853975815815</c:v>
                </c:pt>
                <c:pt idx="72">
                  <c:v>756.16853437807106</c:v>
                </c:pt>
                <c:pt idx="73">
                  <c:v>780.47264984684045</c:v>
                </c:pt>
                <c:pt idx="74">
                  <c:v>804.76144954334825</c:v>
                </c:pt>
                <c:pt idx="75">
                  <c:v>684.6197833537384</c:v>
                </c:pt>
                <c:pt idx="76">
                  <c:v>707.61670982448493</c:v>
                </c:pt>
                <c:pt idx="77">
                  <c:v>730.59836192905857</c:v>
                </c:pt>
                <c:pt idx="78">
                  <c:v>753.56528715170464</c:v>
                </c:pt>
                <c:pt idx="79">
                  <c:v>776.51799692714212</c:v>
                </c:pt>
                <c:pt idx="80">
                  <c:v>799.45697003086968</c:v>
                </c:pt>
                <c:pt idx="81">
                  <c:v>822.38265556060048</c:v>
                </c:pt>
                <c:pt idx="82">
                  <c:v>845.29547556837406</c:v>
                </c:pt>
                <c:pt idx="83">
                  <c:v>757.09482840743919</c:v>
                </c:pt>
                <c:pt idx="84">
                  <c:v>779.25733761234221</c:v>
                </c:pt>
                <c:pt idx="85">
                  <c:v>801.40708912663069</c:v>
                </c:pt>
                <c:pt idx="86">
                  <c:v>823.54448473067441</c:v>
                </c:pt>
                <c:pt idx="87">
                  <c:v>845.66990287278952</c:v>
                </c:pt>
                <c:pt idx="88">
                  <c:v>867.78370061131125</c:v>
                </c:pt>
                <c:pt idx="89">
                  <c:v>889.88621534867627</c:v>
                </c:pt>
                <c:pt idx="90">
                  <c:v>911.9777663845033</c:v>
                </c:pt>
                <c:pt idx="91">
                  <c:v>803.45959274206746</c:v>
                </c:pt>
                <c:pt idx="92">
                  <c:v>824.86845553628189</c:v>
                </c:pt>
                <c:pt idx="93">
                  <c:v>846.26613593714671</c:v>
                </c:pt>
                <c:pt idx="94">
                  <c:v>867.65295612366288</c:v>
                </c:pt>
                <c:pt idx="95">
                  <c:v>889.02922111887312</c:v>
                </c:pt>
                <c:pt idx="96">
                  <c:v>910.39522010217399</c:v>
                </c:pt>
                <c:pt idx="97">
                  <c:v>931.75122759220085</c:v>
                </c:pt>
                <c:pt idx="98">
                  <c:v>953.09750451577702</c:v>
                </c:pt>
                <c:pt idx="99">
                  <c:v>974.43429917626281</c:v>
                </c:pt>
                <c:pt idx="100">
                  <c:v>995.76184813280258</c:v>
                </c:pt>
                <c:pt idx="101">
                  <c:v>840.17828387797579</c:v>
                </c:pt>
                <c:pt idx="102">
                  <c:v>860.72861734504897</c:v>
                </c:pt>
                <c:pt idx="103">
                  <c:v>881.26911871096502</c:v>
                </c:pt>
                <c:pt idx="104">
                  <c:v>901.80004910721084</c:v>
                </c:pt>
                <c:pt idx="105">
                  <c:v>922.32165682199127</c:v>
                </c:pt>
                <c:pt idx="106">
                  <c:v>942.83417820931766</c:v>
                </c:pt>
                <c:pt idx="107">
                  <c:v>963.33783851498117</c:v>
                </c:pt>
                <c:pt idx="108">
                  <c:v>983.83285262865172</c:v>
                </c:pt>
                <c:pt idx="109">
                  <c:v>1004.3194257701401</c:v>
                </c:pt>
                <c:pt idx="110">
                  <c:v>1024.7977541168391</c:v>
                </c:pt>
                <c:pt idx="111">
                  <c:v>906.48026452257966</c:v>
                </c:pt>
                <c:pt idx="112">
                  <c:v>926.78215925861196</c:v>
                </c:pt>
                <c:pt idx="113">
                  <c:v>947.07520827387407</c:v>
                </c:pt>
                <c:pt idx="114">
                  <c:v>967.35962753381591</c:v>
                </c:pt>
                <c:pt idx="115">
                  <c:v>987.63562322140353</c:v>
                </c:pt>
                <c:pt idx="116">
                  <c:v>1007.9033923759724</c:v>
                </c:pt>
                <c:pt idx="117">
                  <c:v>1028.1631234781019</c:v>
                </c:pt>
                <c:pt idx="118">
                  <c:v>1048.4149969860646</c:v>
                </c:pt>
                <c:pt idx="119">
                  <c:v>1068.6591858287338</c:v>
                </c:pt>
                <c:pt idx="120">
                  <c:v>1088.8958558592624</c:v>
                </c:pt>
                <c:pt idx="121">
                  <c:v>984.47170812959484</c:v>
                </c:pt>
                <c:pt idx="122">
                  <c:v>1004.7785351985522</c:v>
                </c:pt>
                <c:pt idx="123">
                  <c:v>1025.0772655736414</c:v>
                </c:pt>
                <c:pt idx="124">
                  <c:v>1045.3680819280014</c:v>
                </c:pt>
                <c:pt idx="125">
                  <c:v>1065.6511592760337</c:v>
                </c:pt>
                <c:pt idx="126">
                  <c:v>1085.9266654370654</c:v>
                </c:pt>
                <c:pt idx="127">
                  <c:v>1106.1947614626372</c:v>
                </c:pt>
                <c:pt idx="128">
                  <c:v>1126.4556020309005</c:v>
                </c:pt>
                <c:pt idx="129">
                  <c:v>1146.709335811212</c:v>
                </c:pt>
                <c:pt idx="130">
                  <c:v>1166.95610580167</c:v>
                </c:pt>
                <c:pt idx="131">
                  <c:v>1044.4619025340414</c:v>
                </c:pt>
                <c:pt idx="132">
                  <c:v>1064.9302649523968</c:v>
                </c:pt>
                <c:pt idx="133">
                  <c:v>1085.3909114956843</c:v>
                </c:pt>
                <c:pt idx="134">
                  <c:v>1105.8440078721535</c:v>
                </c:pt>
                <c:pt idx="135">
                  <c:v>1126.2897131704797</c:v>
                </c:pt>
                <c:pt idx="136">
                  <c:v>1146.7281802419484</c:v>
                </c:pt>
                <c:pt idx="137">
                  <c:v>1167.1595560540247</c:v>
                </c:pt>
                <c:pt idx="138">
                  <c:v>1187.5839820179174</c:v>
                </c:pt>
                <c:pt idx="139">
                  <c:v>1208.0015942924804</c:v>
                </c:pt>
                <c:pt idx="140">
                  <c:v>1228.4125240665323</c:v>
                </c:pt>
                <c:pt idx="141">
                  <c:v>1108.2370093829725</c:v>
                </c:pt>
                <c:pt idx="142">
                  <c:v>1128.7402956172302</c:v>
                </c:pt>
                <c:pt idx="143">
                  <c:v>1149.2363202035792</c:v>
                </c:pt>
                <c:pt idx="144">
                  <c:v>1169.7252306767962</c:v>
                </c:pt>
                <c:pt idx="145">
                  <c:v>1190.2071689905461</c:v>
                </c:pt>
                <c:pt idx="146">
                  <c:v>1210.6822718228229</c:v>
                </c:pt>
                <c:pt idx="147">
                  <c:v>1231.1506708596933</c:v>
                </c:pt>
                <c:pt idx="148">
                  <c:v>1251.6124930592212</c:v>
                </c:pt>
                <c:pt idx="149">
                  <c:v>1272.0678608972707</c:v>
                </c:pt>
                <c:pt idx="150">
                  <c:v>1292.5168925967034</c:v>
                </c:pt>
                <c:pt idx="151">
                  <c:v>816.01334617680141</c:v>
                </c:pt>
                <c:pt idx="152">
                  <c:v>829.51908601437174</c:v>
                </c:pt>
                <c:pt idx="153">
                  <c:v>843.0204025614504</c:v>
                </c:pt>
                <c:pt idx="154">
                  <c:v>553.29262833385587</c:v>
                </c:pt>
                <c:pt idx="155">
                  <c:v>561.10044728949822</c:v>
                </c:pt>
                <c:pt idx="156">
                  <c:v>568.90599291549813</c:v>
                </c:pt>
                <c:pt idx="157">
                  <c:v>388.08375787348422</c:v>
                </c:pt>
                <c:pt idx="158">
                  <c:v>392.7077850319518</c:v>
                </c:pt>
                <c:pt idx="159">
                  <c:v>397.33063149976448</c:v>
                </c:pt>
                <c:pt idx="160">
                  <c:v>8.7420875242334695E-12</c:v>
                </c:pt>
                <c:pt idx="161">
                  <c:v>8.7420875242334695E-12</c:v>
                </c:pt>
                <c:pt idx="162">
                  <c:v>8.7420875242334695E-12</c:v>
                </c:pt>
                <c:pt idx="163">
                  <c:v>8.7420875242334695E-12</c:v>
                </c:pt>
                <c:pt idx="164">
                  <c:v>8.7420875242334695E-12</c:v>
                </c:pt>
                <c:pt idx="165">
                  <c:v>8.7420875242334695E-12</c:v>
                </c:pt>
                <c:pt idx="166">
                  <c:v>8.7420875242334695E-12</c:v>
                </c:pt>
                <c:pt idx="167">
                  <c:v>8.7420875242334695E-12</c:v>
                </c:pt>
                <c:pt idx="168">
                  <c:v>8.7420875242334695E-12</c:v>
                </c:pt>
                <c:pt idx="169">
                  <c:v>8.7420875242334695E-12</c:v>
                </c:pt>
                <c:pt idx="170">
                  <c:v>8.7420875242334695E-12</c:v>
                </c:pt>
                <c:pt idx="171">
                  <c:v>8.7420875242334695E-12</c:v>
                </c:pt>
                <c:pt idx="172">
                  <c:v>8.7420875242334695E-12</c:v>
                </c:pt>
                <c:pt idx="173">
                  <c:v>8.7420875242334695E-12</c:v>
                </c:pt>
                <c:pt idx="174">
                  <c:v>8.7420875242334695E-12</c:v>
                </c:pt>
                <c:pt idx="175">
                  <c:v>8.7420875242334695E-12</c:v>
                </c:pt>
                <c:pt idx="176">
                  <c:v>8.7420875242334695E-12</c:v>
                </c:pt>
                <c:pt idx="177">
                  <c:v>8.7420875242334695E-12</c:v>
                </c:pt>
                <c:pt idx="178">
                  <c:v>8.7420875242334695E-12</c:v>
                </c:pt>
                <c:pt idx="179">
                  <c:v>8.7420875242334695E-12</c:v>
                </c:pt>
                <c:pt idx="180">
                  <c:v>8.7420875242334695E-12</c:v>
                </c:pt>
                <c:pt idx="181">
                  <c:v>8.7420875242334695E-12</c:v>
                </c:pt>
                <c:pt idx="182">
                  <c:v>8.7420875242334695E-12</c:v>
                </c:pt>
                <c:pt idx="183">
                  <c:v>8.7420875242334695E-12</c:v>
                </c:pt>
                <c:pt idx="184">
                  <c:v>8.7420875242334695E-12</c:v>
                </c:pt>
                <c:pt idx="185">
                  <c:v>8.7420875242334695E-12</c:v>
                </c:pt>
                <c:pt idx="186">
                  <c:v>8.7420875242334695E-12</c:v>
                </c:pt>
                <c:pt idx="187">
                  <c:v>8.7420875242334695E-12</c:v>
                </c:pt>
                <c:pt idx="188">
                  <c:v>8.7420875242334695E-12</c:v>
                </c:pt>
                <c:pt idx="189">
                  <c:v>8.7420875242334695E-12</c:v>
                </c:pt>
                <c:pt idx="190">
                  <c:v>8.7420875242334695E-12</c:v>
                </c:pt>
                <c:pt idx="191">
                  <c:v>8.7420875242334695E-12</c:v>
                </c:pt>
                <c:pt idx="192">
                  <c:v>8.7420875242334695E-12</c:v>
                </c:pt>
                <c:pt idx="193">
                  <c:v>8.7420875242334695E-12</c:v>
                </c:pt>
                <c:pt idx="194">
                  <c:v>8.7420875242334695E-12</c:v>
                </c:pt>
                <c:pt idx="195">
                  <c:v>8.7420875242334695E-12</c:v>
                </c:pt>
                <c:pt idx="196">
                  <c:v>8.7420875242334695E-12</c:v>
                </c:pt>
                <c:pt idx="197">
                  <c:v>8.7420875242334695E-12</c:v>
                </c:pt>
                <c:pt idx="198">
                  <c:v>8.7420875242334695E-12</c:v>
                </c:pt>
                <c:pt idx="199">
                  <c:v>8.7420875242334695E-12</c:v>
                </c:pt>
                <c:pt idx="200">
                  <c:v>8.7420875242334695E-12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2.1334285104713615</c:v>
                </c:pt>
                <c:pt idx="2">
                  <c:v>2.9353408895492845</c:v>
                </c:pt>
                <c:pt idx="3">
                  <c:v>4.039964437386435</c:v>
                </c:pt>
                <c:pt idx="4">
                  <c:v>5.56202642625703</c:v>
                </c:pt>
                <c:pt idx="5">
                  <c:v>7.6598976599795643</c:v>
                </c:pt>
                <c:pt idx="6">
                  <c:v>10.55225204441256</c:v>
                </c:pt>
                <c:pt idx="7">
                  <c:v>14.541105476202981</c:v>
                </c:pt>
                <c:pt idx="8">
                  <c:v>20.043683844100759</c:v>
                </c:pt>
                <c:pt idx="9">
                  <c:v>27.636513156144243</c:v>
                </c:pt>
                <c:pt idx="10">
                  <c:v>38.116432033448227</c:v>
                </c:pt>
                <c:pt idx="11">
                  <c:v>52.585038820898312</c:v>
                </c:pt>
                <c:pt idx="12">
                  <c:v>72.565597674284803</c:v>
                </c:pt>
                <c:pt idx="13">
                  <c:v>100.16491122227438</c:v>
                </c:pt>
                <c:pt idx="14">
                  <c:v>138.2974979090055</c:v>
                </c:pt>
                <c:pt idx="15">
                  <c:v>190.99611197319894</c:v>
                </c:pt>
                <c:pt idx="16">
                  <c:v>155.256978631686</c:v>
                </c:pt>
                <c:pt idx="17">
                  <c:v>185.00517186105367</c:v>
                </c:pt>
                <c:pt idx="18">
                  <c:v>214.64142025602294</c:v>
                </c:pt>
                <c:pt idx="19">
                  <c:v>244.18337108523338</c:v>
                </c:pt>
                <c:pt idx="20">
                  <c:v>273.64403918646246</c:v>
                </c:pt>
                <c:pt idx="21">
                  <c:v>233.89014607034687</c:v>
                </c:pt>
                <c:pt idx="22">
                  <c:v>265.06349566455668</c:v>
                </c:pt>
                <c:pt idx="23">
                  <c:v>296.15414676007953</c:v>
                </c:pt>
                <c:pt idx="24">
                  <c:v>327.17199695479388</c:v>
                </c:pt>
                <c:pt idx="25">
                  <c:v>358.12491265217704</c:v>
                </c:pt>
                <c:pt idx="26">
                  <c:v>389.01928929133305</c:v>
                </c:pt>
                <c:pt idx="27">
                  <c:v>349.30264839689653</c:v>
                </c:pt>
                <c:pt idx="28">
                  <c:v>381.18143660146501</c:v>
                </c:pt>
                <c:pt idx="29">
                  <c:v>413.00225010505613</c:v>
                </c:pt>
                <c:pt idx="30">
                  <c:v>444.77017787716136</c:v>
                </c:pt>
                <c:pt idx="31">
                  <c:v>476.48952312680632</c:v>
                </c:pt>
                <c:pt idx="32">
                  <c:v>508.16396992698787</c:v>
                </c:pt>
                <c:pt idx="33">
                  <c:v>436.83767056079637</c:v>
                </c:pt>
                <c:pt idx="34">
                  <c:v>466.44941609934472</c:v>
                </c:pt>
                <c:pt idx="35">
                  <c:v>496.0211046581191</c:v>
                </c:pt>
                <c:pt idx="36">
                  <c:v>525.55545685100537</c:v>
                </c:pt>
                <c:pt idx="37">
                  <c:v>555.0548629154506</c:v>
                </c:pt>
                <c:pt idx="38">
                  <c:v>584.52143860798708</c:v>
                </c:pt>
                <c:pt idx="39">
                  <c:v>613.95706924671242</c:v>
                </c:pt>
                <c:pt idx="40">
                  <c:v>643.36344487291547</c:v>
                </c:pt>
                <c:pt idx="41">
                  <c:v>520.78320077784304</c:v>
                </c:pt>
                <c:pt idx="42">
                  <c:v>545.51100151163848</c:v>
                </c:pt>
                <c:pt idx="43">
                  <c:v>570.21528899315069</c:v>
                </c:pt>
                <c:pt idx="44">
                  <c:v>594.89722403219321</c:v>
                </c:pt>
                <c:pt idx="45">
                  <c:v>619.55786337057941</c:v>
                </c:pt>
                <c:pt idx="46">
                  <c:v>644.19817286540308</c:v>
                </c:pt>
                <c:pt idx="47">
                  <c:v>668.81903855203529</c:v>
                </c:pt>
                <c:pt idx="48">
                  <c:v>693.4212759948449</c:v>
                </c:pt>
                <c:pt idx="49">
                  <c:v>580.12446097271857</c:v>
                </c:pt>
                <c:pt idx="50">
                  <c:v>600.8029190934418</c:v>
                </c:pt>
                <c:pt idx="51">
                  <c:v>621.46659067212056</c:v>
                </c:pt>
                <c:pt idx="52">
                  <c:v>642.11603608146129</c:v>
                </c:pt>
                <c:pt idx="53">
                  <c:v>662.75177675014834</c:v>
                </c:pt>
                <c:pt idx="54">
                  <c:v>683.37429902203985</c:v>
                </c:pt>
                <c:pt idx="55">
                  <c:v>703.9840575257158</c:v>
                </c:pt>
                <c:pt idx="56">
                  <c:v>724.58147812929258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3.171537705264786</c:v>
                </c:pt>
                <c:pt idx="2">
                  <c:v>4.1478376386178262</c:v>
                </c:pt>
                <c:pt idx="3">
                  <c:v>5.4258756086438202</c:v>
                </c:pt>
                <c:pt idx="4">
                  <c:v>7.0992568922991808</c:v>
                </c:pt>
                <c:pt idx="5">
                  <c:v>9.2907261115114661</c:v>
                </c:pt>
                <c:pt idx="6">
                  <c:v>12.161267465036687</c:v>
                </c:pt>
                <c:pt idx="7">
                  <c:v>15.922055342361537</c:v>
                </c:pt>
                <c:pt idx="8">
                  <c:v>20.850150517464684</c:v>
                </c:pt>
                <c:pt idx="9">
                  <c:v>27.309118953279931</c:v>
                </c:pt>
                <c:pt idx="10">
                  <c:v>35.776121004679347</c:v>
                </c:pt>
                <c:pt idx="11">
                  <c:v>46.877506601434355</c:v>
                </c:pt>
                <c:pt idx="12">
                  <c:v>61.435593838998706</c:v>
                </c:pt>
                <c:pt idx="13">
                  <c:v>80.530153047704303</c:v>
                </c:pt>
                <c:pt idx="14">
                  <c:v>105.57923004246095</c:v>
                </c:pt>
                <c:pt idx="15">
                  <c:v>138.44540542012751</c:v>
                </c:pt>
                <c:pt idx="16">
                  <c:v>100.54272832946701</c:v>
                </c:pt>
                <c:pt idx="17">
                  <c:v>129.3083151232984</c:v>
                </c:pt>
                <c:pt idx="18">
                  <c:v>157.91830320040603</c:v>
                </c:pt>
                <c:pt idx="19">
                  <c:v>186.40498132674267</c:v>
                </c:pt>
                <c:pt idx="20">
                  <c:v>214.78988574334596</c:v>
                </c:pt>
                <c:pt idx="21">
                  <c:v>173.20754892119149</c:v>
                </c:pt>
                <c:pt idx="22">
                  <c:v>203.6937850409083</c:v>
                </c:pt>
                <c:pt idx="23">
                  <c:v>234.07428927207073</c:v>
                </c:pt>
                <c:pt idx="24">
                  <c:v>264.36472206956597</c:v>
                </c:pt>
                <c:pt idx="25">
                  <c:v>294.5768533264087</c:v>
                </c:pt>
                <c:pt idx="26">
                  <c:v>252.09484919970495</c:v>
                </c:pt>
                <c:pt idx="27">
                  <c:v>281.11291365958584</c:v>
                </c:pt>
                <c:pt idx="28">
                  <c:v>310.06382318143233</c:v>
                </c:pt>
                <c:pt idx="29">
                  <c:v>338.95472510936924</c:v>
                </c:pt>
                <c:pt idx="30">
                  <c:v>367.79144865380209</c:v>
                </c:pt>
                <c:pt idx="31">
                  <c:v>322.68517169265391</c:v>
                </c:pt>
                <c:pt idx="32">
                  <c:v>348.70815209801594</c:v>
                </c:pt>
                <c:pt idx="33">
                  <c:v>374.68853067082654</c:v>
                </c:pt>
                <c:pt idx="34">
                  <c:v>400.62967395850939</c:v>
                </c:pt>
                <c:pt idx="35">
                  <c:v>426.53447718930823</c:v>
                </c:pt>
                <c:pt idx="36">
                  <c:v>378.74434206791716</c:v>
                </c:pt>
                <c:pt idx="37">
                  <c:v>401.84475247496647</c:v>
                </c:pt>
                <c:pt idx="38">
                  <c:v>424.91644236173039</c:v>
                </c:pt>
                <c:pt idx="39">
                  <c:v>447.96118916963223</c:v>
                </c:pt>
                <c:pt idx="40">
                  <c:v>470.98057267368972</c:v>
                </c:pt>
                <c:pt idx="41">
                  <c:v>420.06153993571371</c:v>
                </c:pt>
                <c:pt idx="42">
                  <c:v>439.87827870613796</c:v>
                </c:pt>
                <c:pt idx="43">
                  <c:v>459.67588238780223</c:v>
                </c:pt>
                <c:pt idx="44">
                  <c:v>479.45529052095412</c:v>
                </c:pt>
                <c:pt idx="45">
                  <c:v>499.21735885305537</c:v>
                </c:pt>
                <c:pt idx="46">
                  <c:v>468.15494792329127</c:v>
                </c:pt>
                <c:pt idx="47">
                  <c:v>485.50670733159899</c:v>
                </c:pt>
                <c:pt idx="48">
                  <c:v>502.84530459139006</c:v>
                </c:pt>
                <c:pt idx="49">
                  <c:v>520.17125719416083</c:v>
                </c:pt>
                <c:pt idx="50">
                  <c:v>537.48504536608027</c:v>
                </c:pt>
                <c:pt idx="51">
                  <c:v>514.12872559596792</c:v>
                </c:pt>
                <c:pt idx="52">
                  <c:v>529.03096526266245</c:v>
                </c:pt>
                <c:pt idx="53">
                  <c:v>543.92437106523573</c:v>
                </c:pt>
                <c:pt idx="54">
                  <c:v>558.8092188560729</c:v>
                </c:pt>
                <c:pt idx="55">
                  <c:v>573.68576860024848</c:v>
                </c:pt>
                <c:pt idx="56">
                  <c:v>553.9826221295549</c:v>
                </c:pt>
                <c:pt idx="57">
                  <c:v>566.44954889170663</c:v>
                </c:pt>
                <c:pt idx="58">
                  <c:v>578.91074057866115</c:v>
                </c:pt>
                <c:pt idx="59">
                  <c:v>591.36633800009133</c:v>
                </c:pt>
                <c:pt idx="60">
                  <c:v>603.81647555227892</c:v>
                </c:pt>
                <c:pt idx="61">
                  <c:v>586.14369528207681</c:v>
                </c:pt>
                <c:pt idx="62">
                  <c:v>596.58802062611369</c:v>
                </c:pt>
                <c:pt idx="63">
                  <c:v>607.02854378886241</c:v>
                </c:pt>
                <c:pt idx="64">
                  <c:v>617.46533937261336</c:v>
                </c:pt>
                <c:pt idx="65">
                  <c:v>627.89847925254264</c:v>
                </c:pt>
                <c:pt idx="66">
                  <c:v>611.04313308566145</c:v>
                </c:pt>
                <c:pt idx="67">
                  <c:v>620.27461834045573</c:v>
                </c:pt>
                <c:pt idx="68">
                  <c:v>629.50325767404001</c:v>
                </c:pt>
                <c:pt idx="69">
                  <c:v>638.72909868554518</c:v>
                </c:pt>
                <c:pt idx="70">
                  <c:v>647.95218748710613</c:v>
                </c:pt>
                <c:pt idx="71">
                  <c:v>630.30561513176042</c:v>
                </c:pt>
                <c:pt idx="72">
                  <c:v>638.72909868554518</c:v>
                </c:pt>
                <c:pt idx="73">
                  <c:v>647.15028788033294</c:v>
                </c:pt>
                <c:pt idx="74">
                  <c:v>655.56921677912885</c:v>
                </c:pt>
                <c:pt idx="75">
                  <c:v>663.98591849879494</c:v>
                </c:pt>
                <c:pt idx="76">
                  <c:v>647.15028788033294</c:v>
                </c:pt>
                <c:pt idx="77">
                  <c:v>654.36664977103567</c:v>
                </c:pt>
                <c:pt idx="78">
                  <c:v>661.5813719473548</c:v>
                </c:pt>
                <c:pt idx="79">
                  <c:v>668.79447481225372</c:v>
                </c:pt>
                <c:pt idx="80">
                  <c:v>676.00597829271317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2.9205980688266564</c:v>
                </c:pt>
                <c:pt idx="2">
                  <c:v>3.8193886180668186</c:v>
                </c:pt>
                <c:pt idx="3">
                  <c:v>4.9958857422955205</c:v>
                </c:pt>
                <c:pt idx="4">
                  <c:v>6.5362176188514516</c:v>
                </c:pt>
                <c:pt idx="5">
                  <c:v>8.5533177888034189</c:v>
                </c:pt>
                <c:pt idx="6">
                  <c:v>11.195294658284743</c:v>
                </c:pt>
                <c:pt idx="7">
                  <c:v>14.656421978560983</c:v>
                </c:pt>
                <c:pt idx="8">
                  <c:v>19.191573306246756</c:v>
                </c:pt>
                <c:pt idx="9">
                  <c:v>25.135182506128984</c:v>
                </c:pt>
                <c:pt idx="10">
                  <c:v>32.9261531469324</c:v>
                </c:pt>
                <c:pt idx="11">
                  <c:v>43.140587989048477</c:v>
                </c:pt>
                <c:pt idx="12">
                  <c:v>56.534799687422179</c:v>
                </c:pt>
                <c:pt idx="13">
                  <c:v>74.101840122506715</c:v>
                </c:pt>
                <c:pt idx="14">
                  <c:v>97.145807411654872</c:v>
                </c:pt>
                <c:pt idx="15">
                  <c:v>127.37953432582198</c:v>
                </c:pt>
                <c:pt idx="16">
                  <c:v>92.512559752041952</c:v>
                </c:pt>
                <c:pt idx="17">
                  <c:v>118.97444364040366</c:v>
                </c:pt>
                <c:pt idx="18">
                  <c:v>145.29205371594367</c:v>
                </c:pt>
                <c:pt idx="19">
                  <c:v>171.49532867914351</c:v>
                </c:pt>
                <c:pt idx="20">
                  <c:v>197.6042373039995</c:v>
                </c:pt>
                <c:pt idx="21">
                  <c:v>159.35586286360191</c:v>
                </c:pt>
                <c:pt idx="22">
                  <c:v>187.39794043392263</c:v>
                </c:pt>
                <c:pt idx="23">
                  <c:v>215.34198157425362</c:v>
                </c:pt>
                <c:pt idx="24">
                  <c:v>243.20250692836802</c:v>
                </c:pt>
                <c:pt idx="25">
                  <c:v>270.99042974399345</c:v>
                </c:pt>
                <c:pt idx="26">
                  <c:v>231.91700149088217</c:v>
                </c:pt>
                <c:pt idx="27">
                  <c:v>258.60689820869135</c:v>
                </c:pt>
                <c:pt idx="28">
                  <c:v>285.23452771013774</c:v>
                </c:pt>
                <c:pt idx="29">
                  <c:v>311.80651713592084</c:v>
                </c:pt>
                <c:pt idx="30">
                  <c:v>338.32827143043039</c:v>
                </c:pt>
                <c:pt idx="31">
                  <c:v>296.842883014341</c:v>
                </c:pt>
                <c:pt idx="32">
                  <c:v>320.77699701276748</c:v>
                </c:pt>
                <c:pt idx="33">
                  <c:v>344.67160985755481</c:v>
                </c:pt>
                <c:pt idx="34">
                  <c:v>368.52984306951663</c:v>
                </c:pt>
                <c:pt idx="35">
                  <c:v>392.35438115419714</c:v>
                </c:pt>
                <c:pt idx="36">
                  <c:v>348.40178403373949</c:v>
                </c:pt>
                <c:pt idx="37">
                  <c:v>369.64735159591169</c:v>
                </c:pt>
                <c:pt idx="38">
                  <c:v>390.86628899650526</c:v>
                </c:pt>
                <c:pt idx="39">
                  <c:v>412.06024430985258</c:v>
                </c:pt>
                <c:pt idx="40">
                  <c:v>433.23068233058711</c:v>
                </c:pt>
                <c:pt idx="41">
                  <c:v>386.40127265666041</c:v>
                </c:pt>
                <c:pt idx="42">
                  <c:v>404.62651852552534</c:v>
                </c:pt>
                <c:pt idx="43">
                  <c:v>422.83402201018424</c:v>
                </c:pt>
                <c:pt idx="44">
                  <c:v>441.02465426855332</c:v>
                </c:pt>
                <c:pt idx="45">
                  <c:v>459.19920876443285</c:v>
                </c:pt>
                <c:pt idx="46">
                  <c:v>430.63202519963079</c:v>
                </c:pt>
                <c:pt idx="47">
                  <c:v>446.58996615169781</c:v>
                </c:pt>
                <c:pt idx="48">
                  <c:v>462.53570293273191</c:v>
                </c:pt>
                <c:pt idx="49">
                  <c:v>478.46971536977009</c:v>
                </c:pt>
                <c:pt idx="50">
                  <c:v>494.3924487367965</c:v>
                </c:pt>
                <c:pt idx="51">
                  <c:v>472.91264200880101</c:v>
                </c:pt>
                <c:pt idx="52">
                  <c:v>486.61761247073986</c:v>
                </c:pt>
                <c:pt idx="53">
                  <c:v>500.3143920215611</c:v>
                </c:pt>
                <c:pt idx="54">
                  <c:v>514.00323643635181</c:v>
                </c:pt>
                <c:pt idx="55">
                  <c:v>527.68438675921152</c:v>
                </c:pt>
                <c:pt idx="56">
                  <c:v>509.56446562910031</c:v>
                </c:pt>
                <c:pt idx="57">
                  <c:v>521.02963842518261</c:v>
                </c:pt>
                <c:pt idx="58">
                  <c:v>532.48949356066385</c:v>
                </c:pt>
                <c:pt idx="59">
                  <c:v>543.94416159669981</c:v>
                </c:pt>
                <c:pt idx="60">
                  <c:v>555.39376714784089</c:v>
                </c:pt>
                <c:pt idx="61">
                  <c:v>539.1412145256478</c:v>
                </c:pt>
                <c:pt idx="62">
                  <c:v>548.74621845390379</c:v>
                </c:pt>
                <c:pt idx="63">
                  <c:v>558.34769693411636</c:v>
                </c:pt>
                <c:pt idx="64">
                  <c:v>567.94571913881475</c:v>
                </c:pt>
                <c:pt idx="65">
                  <c:v>577.54035171190208</c:v>
                </c:pt>
                <c:pt idx="66">
                  <c:v>562.03964926820083</c:v>
                </c:pt>
                <c:pt idx="67">
                  <c:v>570.52922017836795</c:v>
                </c:pt>
                <c:pt idx="68">
                  <c:v>579.01615230132256</c:v>
                </c:pt>
                <c:pt idx="69">
                  <c:v>587.50048977179972</c:v>
                </c:pt>
                <c:pt idx="70">
                  <c:v>595.98227534576563</c:v>
                </c:pt>
                <c:pt idx="71">
                  <c:v>579.75402315407757</c:v>
                </c:pt>
                <c:pt idx="72">
                  <c:v>587.50048977179972</c:v>
                </c:pt>
                <c:pt idx="73">
                  <c:v>595.24482902030275</c:v>
                </c:pt>
                <c:pt idx="74">
                  <c:v>602.98707248339201</c:v>
                </c:pt>
                <c:pt idx="75">
                  <c:v>610.72725086759363</c:v>
                </c:pt>
                <c:pt idx="76">
                  <c:v>595.24482902030275</c:v>
                </c:pt>
                <c:pt idx="77">
                  <c:v>601.88116484326292</c:v>
                </c:pt>
                <c:pt idx="78">
                  <c:v>608.51598029477634</c:v>
                </c:pt>
                <c:pt idx="79">
                  <c:v>615.14929429282256</c:v>
                </c:pt>
                <c:pt idx="80">
                  <c:v>621.78112531404156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1.8509788036473005</c:v>
                </c:pt>
                <c:pt idx="2">
                  <c:v>2.35728653712914</c:v>
                </c:pt>
                <c:pt idx="3">
                  <c:v>3.0026432755444432</c:v>
                </c:pt>
                <c:pt idx="4">
                  <c:v>3.8253807493365612</c:v>
                </c:pt>
                <c:pt idx="5">
                  <c:v>4.8744348843974343</c:v>
                </c:pt>
                <c:pt idx="6">
                  <c:v>6.2122889663030882</c:v>
                </c:pt>
                <c:pt idx="7">
                  <c:v>7.9187361310716495</c:v>
                </c:pt>
                <c:pt idx="8">
                  <c:v>10.095689897699605</c:v>
                </c:pt>
                <c:pt idx="9">
                  <c:v>12.873335463924604</c:v>
                </c:pt>
                <c:pt idx="10">
                  <c:v>16.417996445784841</c:v>
                </c:pt>
                <c:pt idx="11">
                  <c:v>20.942196699493092</c:v>
                </c:pt>
                <c:pt idx="12">
                  <c:v>26.717531287639904</c:v>
                </c:pt>
                <c:pt idx="13">
                  <c:v>34.091132829068357</c:v>
                </c:pt>
                <c:pt idx="14">
                  <c:v>43.50674002669458</c:v>
                </c:pt>
                <c:pt idx="15">
                  <c:v>55.531657718475003</c:v>
                </c:pt>
                <c:pt idx="16">
                  <c:v>70.891259802074913</c:v>
                </c:pt>
                <c:pt idx="17">
                  <c:v>90.513150226451685</c:v>
                </c:pt>
                <c:pt idx="18">
                  <c:v>115.58369162191825</c:v>
                </c:pt>
                <c:pt idx="19">
                  <c:v>147.62037285270299</c:v>
                </c:pt>
                <c:pt idx="20">
                  <c:v>188.56446301037093</c:v>
                </c:pt>
                <c:pt idx="21">
                  <c:v>240.89965063717693</c:v>
                </c:pt>
                <c:pt idx="22">
                  <c:v>189.04202807994034</c:v>
                </c:pt>
                <c:pt idx="23">
                  <c:v>215.15342463898321</c:v>
                </c:pt>
                <c:pt idx="24">
                  <c:v>241.19184691434074</c:v>
                </c:pt>
                <c:pt idx="25">
                  <c:v>267.16628064802683</c:v>
                </c:pt>
                <c:pt idx="26">
                  <c:v>293.08381945726882</c:v>
                </c:pt>
                <c:pt idx="27">
                  <c:v>318.95019910944154</c:v>
                </c:pt>
                <c:pt idx="28">
                  <c:v>344.77014888445569</c:v>
                </c:pt>
                <c:pt idx="29">
                  <c:v>291.71133121384406</c:v>
                </c:pt>
                <c:pt idx="30">
                  <c:v>319.55482794919106</c:v>
                </c:pt>
                <c:pt idx="31">
                  <c:v>347.34463397985468</c:v>
                </c:pt>
                <c:pt idx="32">
                  <c:v>375.08564490548923</c:v>
                </c:pt>
                <c:pt idx="33">
                  <c:v>402.7819732878761</c:v>
                </c:pt>
                <c:pt idx="34">
                  <c:v>430.43712024820735</c:v>
                </c:pt>
                <c:pt idx="35">
                  <c:v>458.05410062543029</c:v>
                </c:pt>
                <c:pt idx="36">
                  <c:v>382.17113729816555</c:v>
                </c:pt>
                <c:pt idx="37">
                  <c:v>409.36399949084267</c:v>
                </c:pt>
                <c:pt idx="38">
                  <c:v>436.51786568126948</c:v>
                </c:pt>
                <c:pt idx="39">
                  <c:v>463.6354999741024</c:v>
                </c:pt>
                <c:pt idx="40">
                  <c:v>490.71931703138534</c:v>
                </c:pt>
                <c:pt idx="41">
                  <c:v>517.77144348721811</c:v>
                </c:pt>
                <c:pt idx="42">
                  <c:v>544.79376586036392</c:v>
                </c:pt>
                <c:pt idx="43">
                  <c:v>452.34750719947556</c:v>
                </c:pt>
                <c:pt idx="44">
                  <c:v>478.4005360751608</c:v>
                </c:pt>
                <c:pt idx="45">
                  <c:v>504.42340900612658</c:v>
                </c:pt>
                <c:pt idx="46">
                  <c:v>530.41789868871319</c:v>
                </c:pt>
                <c:pt idx="47">
                  <c:v>556.38559007869458</c:v>
                </c:pt>
                <c:pt idx="48">
                  <c:v>582.32790828367308</c:v>
                </c:pt>
                <c:pt idx="49">
                  <c:v>608.24614122919252</c:v>
                </c:pt>
                <c:pt idx="50">
                  <c:v>499.13793525894647</c:v>
                </c:pt>
                <c:pt idx="51">
                  <c:v>523.22859347726126</c:v>
                </c:pt>
                <c:pt idx="52">
                  <c:v>547.29588672843067</c:v>
                </c:pt>
                <c:pt idx="53">
                  <c:v>571.34098589377538</c:v>
                </c:pt>
                <c:pt idx="54">
                  <c:v>595.36495536808297</c:v>
                </c:pt>
                <c:pt idx="55">
                  <c:v>619.36876673610948</c:v>
                </c:pt>
                <c:pt idx="56">
                  <c:v>643.35331022019807</c:v>
                </c:pt>
                <c:pt idx="57">
                  <c:v>553.64128580472936</c:v>
                </c:pt>
                <c:pt idx="58">
                  <c:v>575.62834503087436</c:v>
                </c:pt>
                <c:pt idx="59">
                  <c:v>597.59788119005009</c:v>
                </c:pt>
                <c:pt idx="60">
                  <c:v>619.55062847605086</c:v>
                </c:pt>
                <c:pt idx="61">
                  <c:v>641.48726486437431</c:v>
                </c:pt>
                <c:pt idx="62">
                  <c:v>663.40841823076346</c:v>
                </c:pt>
                <c:pt idx="63">
                  <c:v>685.31467161968374</c:v>
                </c:pt>
                <c:pt idx="64">
                  <c:v>587.63009692280377</c:v>
                </c:pt>
                <c:pt idx="65">
                  <c:v>607.30952025630938</c:v>
                </c:pt>
                <c:pt idx="66">
                  <c:v>626.97570890133682</c:v>
                </c:pt>
                <c:pt idx="67">
                  <c:v>646.62913604618188</c:v>
                </c:pt>
                <c:pt idx="68">
                  <c:v>666.27024379726197</c:v>
                </c:pt>
                <c:pt idx="69">
                  <c:v>685.89944609535667</c:v>
                </c:pt>
                <c:pt idx="70">
                  <c:v>705.51713128095355</c:v>
                </c:pt>
                <c:pt idx="71">
                  <c:v>7.820597394917325E-12</c:v>
                </c:pt>
                <c:pt idx="72">
                  <c:v>7.820597394917325E-12</c:v>
                </c:pt>
                <c:pt idx="73">
                  <c:v>7.820597394917325E-12</c:v>
                </c:pt>
                <c:pt idx="74">
                  <c:v>7.820597394917325E-12</c:v>
                </c:pt>
                <c:pt idx="75">
                  <c:v>7.820597394917325E-12</c:v>
                </c:pt>
                <c:pt idx="76">
                  <c:v>7.820597394917325E-12</c:v>
                </c:pt>
                <c:pt idx="77">
                  <c:v>7.820597394917325E-12</c:v>
                </c:pt>
                <c:pt idx="78">
                  <c:v>7.820597394917325E-12</c:v>
                </c:pt>
                <c:pt idx="79">
                  <c:v>7.820597394917325E-12</c:v>
                </c:pt>
                <c:pt idx="80">
                  <c:v>7.820597394917325E-12</c:v>
                </c:pt>
                <c:pt idx="81">
                  <c:v>7.820597394917325E-12</c:v>
                </c:pt>
                <c:pt idx="82">
                  <c:v>7.820597394917325E-12</c:v>
                </c:pt>
                <c:pt idx="83">
                  <c:v>7.820597394917325E-12</c:v>
                </c:pt>
                <c:pt idx="84">
                  <c:v>7.820597394917325E-12</c:v>
                </c:pt>
                <c:pt idx="85">
                  <c:v>7.820597394917325E-12</c:v>
                </c:pt>
                <c:pt idx="86">
                  <c:v>7.820597394917325E-12</c:v>
                </c:pt>
                <c:pt idx="87">
                  <c:v>7.820597394917325E-12</c:v>
                </c:pt>
                <c:pt idx="88">
                  <c:v>7.820597394917325E-12</c:v>
                </c:pt>
                <c:pt idx="89">
                  <c:v>7.820597394917325E-12</c:v>
                </c:pt>
                <c:pt idx="90">
                  <c:v>7.820597394917325E-12</c:v>
                </c:pt>
                <c:pt idx="91">
                  <c:v>7.820597394917325E-12</c:v>
                </c:pt>
                <c:pt idx="92">
                  <c:v>7.820597394917325E-12</c:v>
                </c:pt>
                <c:pt idx="93">
                  <c:v>7.820597394917325E-12</c:v>
                </c:pt>
                <c:pt idx="94">
                  <c:v>7.820597394917325E-12</c:v>
                </c:pt>
                <c:pt idx="95">
                  <c:v>7.820597394917325E-12</c:v>
                </c:pt>
                <c:pt idx="96">
                  <c:v>7.820597394917325E-12</c:v>
                </c:pt>
                <c:pt idx="97">
                  <c:v>7.820597394917325E-12</c:v>
                </c:pt>
                <c:pt idx="98">
                  <c:v>7.820597394917325E-12</c:v>
                </c:pt>
                <c:pt idx="99">
                  <c:v>7.820597394917325E-12</c:v>
                </c:pt>
                <c:pt idx="100">
                  <c:v>7.820597394917325E-12</c:v>
                </c:pt>
                <c:pt idx="101">
                  <c:v>7.820597394917325E-12</c:v>
                </c:pt>
                <c:pt idx="102">
                  <c:v>7.820597394917325E-12</c:v>
                </c:pt>
                <c:pt idx="103">
                  <c:v>7.820597394917325E-12</c:v>
                </c:pt>
                <c:pt idx="104">
                  <c:v>7.820597394917325E-12</c:v>
                </c:pt>
                <c:pt idx="105">
                  <c:v>7.820597394917325E-12</c:v>
                </c:pt>
                <c:pt idx="106">
                  <c:v>7.820597394917325E-12</c:v>
                </c:pt>
                <c:pt idx="107">
                  <c:v>7.820597394917325E-12</c:v>
                </c:pt>
                <c:pt idx="108">
                  <c:v>7.820597394917325E-12</c:v>
                </c:pt>
                <c:pt idx="109">
                  <c:v>7.820597394917325E-12</c:v>
                </c:pt>
                <c:pt idx="110">
                  <c:v>7.820597394917325E-12</c:v>
                </c:pt>
                <c:pt idx="111">
                  <c:v>7.820597394917325E-12</c:v>
                </c:pt>
                <c:pt idx="112">
                  <c:v>7.820597394917325E-12</c:v>
                </c:pt>
                <c:pt idx="113">
                  <c:v>7.820597394917325E-12</c:v>
                </c:pt>
                <c:pt idx="114">
                  <c:v>7.820597394917325E-12</c:v>
                </c:pt>
                <c:pt idx="115">
                  <c:v>7.820597394917325E-12</c:v>
                </c:pt>
                <c:pt idx="116">
                  <c:v>7.820597394917325E-12</c:v>
                </c:pt>
                <c:pt idx="117">
                  <c:v>7.820597394917325E-12</c:v>
                </c:pt>
                <c:pt idx="118">
                  <c:v>7.820597394917325E-12</c:v>
                </c:pt>
                <c:pt idx="119">
                  <c:v>7.820597394917325E-12</c:v>
                </c:pt>
                <c:pt idx="120">
                  <c:v>7.820597394917325E-12</c:v>
                </c:pt>
                <c:pt idx="121">
                  <c:v>7.820597394917325E-12</c:v>
                </c:pt>
                <c:pt idx="122">
                  <c:v>7.820597394917325E-12</c:v>
                </c:pt>
                <c:pt idx="123">
                  <c:v>7.820597394917325E-12</c:v>
                </c:pt>
                <c:pt idx="124">
                  <c:v>7.820597394917325E-12</c:v>
                </c:pt>
                <c:pt idx="125">
                  <c:v>7.820597394917325E-12</c:v>
                </c:pt>
                <c:pt idx="126">
                  <c:v>7.820597394917325E-12</c:v>
                </c:pt>
                <c:pt idx="127">
                  <c:v>7.820597394917325E-12</c:v>
                </c:pt>
                <c:pt idx="128">
                  <c:v>7.820597394917325E-12</c:v>
                </c:pt>
                <c:pt idx="129">
                  <c:v>7.820597394917325E-12</c:v>
                </c:pt>
                <c:pt idx="130">
                  <c:v>7.820597394917325E-12</c:v>
                </c:pt>
                <c:pt idx="131">
                  <c:v>7.820597394917325E-12</c:v>
                </c:pt>
                <c:pt idx="132">
                  <c:v>7.820597394917325E-12</c:v>
                </c:pt>
                <c:pt idx="133">
                  <c:v>7.820597394917325E-12</c:v>
                </c:pt>
                <c:pt idx="134">
                  <c:v>7.820597394917325E-12</c:v>
                </c:pt>
                <c:pt idx="135">
                  <c:v>7.820597394917325E-12</c:v>
                </c:pt>
                <c:pt idx="136">
                  <c:v>7.820597394917325E-12</c:v>
                </c:pt>
                <c:pt idx="137">
                  <c:v>7.820597394917325E-12</c:v>
                </c:pt>
                <c:pt idx="138">
                  <c:v>7.820597394917325E-12</c:v>
                </c:pt>
                <c:pt idx="139">
                  <c:v>7.820597394917325E-12</c:v>
                </c:pt>
                <c:pt idx="140">
                  <c:v>7.820597394917325E-12</c:v>
                </c:pt>
                <c:pt idx="141">
                  <c:v>7.820597394917325E-12</c:v>
                </c:pt>
                <c:pt idx="142">
                  <c:v>7.820597394917325E-12</c:v>
                </c:pt>
                <c:pt idx="143">
                  <c:v>7.820597394917325E-12</c:v>
                </c:pt>
                <c:pt idx="144">
                  <c:v>7.820597394917325E-12</c:v>
                </c:pt>
                <c:pt idx="145">
                  <c:v>7.820597394917325E-12</c:v>
                </c:pt>
                <c:pt idx="146">
                  <c:v>7.820597394917325E-12</c:v>
                </c:pt>
                <c:pt idx="147">
                  <c:v>7.820597394917325E-12</c:v>
                </c:pt>
                <c:pt idx="148">
                  <c:v>7.820597394917325E-12</c:v>
                </c:pt>
                <c:pt idx="149">
                  <c:v>7.820597394917325E-12</c:v>
                </c:pt>
                <c:pt idx="150">
                  <c:v>7.820597394917325E-12</c:v>
                </c:pt>
                <c:pt idx="151">
                  <c:v>7.820597394917325E-12</c:v>
                </c:pt>
                <c:pt idx="152">
                  <c:v>7.820597394917325E-12</c:v>
                </c:pt>
                <c:pt idx="153">
                  <c:v>7.820597394917325E-12</c:v>
                </c:pt>
                <c:pt idx="154">
                  <c:v>7.820597394917325E-12</c:v>
                </c:pt>
                <c:pt idx="155">
                  <c:v>7.820597394917325E-12</c:v>
                </c:pt>
                <c:pt idx="156">
                  <c:v>7.820597394917325E-12</c:v>
                </c:pt>
                <c:pt idx="157">
                  <c:v>7.820597394917325E-12</c:v>
                </c:pt>
                <c:pt idx="158">
                  <c:v>7.820597394917325E-12</c:v>
                </c:pt>
                <c:pt idx="159">
                  <c:v>7.820597394917325E-12</c:v>
                </c:pt>
                <c:pt idx="160">
                  <c:v>7.820597394917325E-12</c:v>
                </c:pt>
                <c:pt idx="161">
                  <c:v>7.820597394917325E-12</c:v>
                </c:pt>
                <c:pt idx="162">
                  <c:v>7.820597394917325E-12</c:v>
                </c:pt>
                <c:pt idx="163">
                  <c:v>7.820597394917325E-12</c:v>
                </c:pt>
                <c:pt idx="164">
                  <c:v>7.820597394917325E-12</c:v>
                </c:pt>
                <c:pt idx="165">
                  <c:v>7.820597394917325E-12</c:v>
                </c:pt>
                <c:pt idx="166">
                  <c:v>7.820597394917325E-12</c:v>
                </c:pt>
                <c:pt idx="167">
                  <c:v>7.820597394917325E-12</c:v>
                </c:pt>
                <c:pt idx="168">
                  <c:v>7.820597394917325E-12</c:v>
                </c:pt>
                <c:pt idx="169">
                  <c:v>7.820597394917325E-12</c:v>
                </c:pt>
                <c:pt idx="170">
                  <c:v>7.820597394917325E-12</c:v>
                </c:pt>
                <c:pt idx="171">
                  <c:v>7.820597394917325E-12</c:v>
                </c:pt>
                <c:pt idx="172">
                  <c:v>7.820597394917325E-12</c:v>
                </c:pt>
                <c:pt idx="173">
                  <c:v>7.820597394917325E-12</c:v>
                </c:pt>
                <c:pt idx="174">
                  <c:v>7.820597394917325E-12</c:v>
                </c:pt>
                <c:pt idx="175">
                  <c:v>7.820597394917325E-12</c:v>
                </c:pt>
                <c:pt idx="176">
                  <c:v>7.820597394917325E-12</c:v>
                </c:pt>
                <c:pt idx="177">
                  <c:v>7.820597394917325E-12</c:v>
                </c:pt>
                <c:pt idx="178">
                  <c:v>7.820597394917325E-12</c:v>
                </c:pt>
                <c:pt idx="179">
                  <c:v>7.820597394917325E-12</c:v>
                </c:pt>
                <c:pt idx="180">
                  <c:v>7.820597394917325E-12</c:v>
                </c:pt>
                <c:pt idx="181">
                  <c:v>7.820597394917325E-12</c:v>
                </c:pt>
                <c:pt idx="182">
                  <c:v>7.820597394917325E-12</c:v>
                </c:pt>
                <c:pt idx="183">
                  <c:v>7.820597394917325E-12</c:v>
                </c:pt>
                <c:pt idx="184">
                  <c:v>7.820597394917325E-12</c:v>
                </c:pt>
                <c:pt idx="185">
                  <c:v>7.820597394917325E-12</c:v>
                </c:pt>
                <c:pt idx="186">
                  <c:v>7.820597394917325E-12</c:v>
                </c:pt>
                <c:pt idx="187">
                  <c:v>7.820597394917325E-12</c:v>
                </c:pt>
                <c:pt idx="188">
                  <c:v>7.820597394917325E-12</c:v>
                </c:pt>
                <c:pt idx="189">
                  <c:v>7.820597394917325E-12</c:v>
                </c:pt>
                <c:pt idx="190">
                  <c:v>7.820597394917325E-12</c:v>
                </c:pt>
                <c:pt idx="191">
                  <c:v>7.820597394917325E-12</c:v>
                </c:pt>
                <c:pt idx="192">
                  <c:v>7.820597394917325E-12</c:v>
                </c:pt>
                <c:pt idx="193">
                  <c:v>7.820597394917325E-12</c:v>
                </c:pt>
                <c:pt idx="194">
                  <c:v>7.820597394917325E-12</c:v>
                </c:pt>
                <c:pt idx="195">
                  <c:v>7.820597394917325E-12</c:v>
                </c:pt>
                <c:pt idx="196">
                  <c:v>7.820597394917325E-12</c:v>
                </c:pt>
                <c:pt idx="197">
                  <c:v>7.820597394917325E-12</c:v>
                </c:pt>
                <c:pt idx="198">
                  <c:v>7.820597394917325E-12</c:v>
                </c:pt>
                <c:pt idx="199">
                  <c:v>7.820597394917325E-12</c:v>
                </c:pt>
                <c:pt idx="200">
                  <c:v>7.820597394917325E-12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2.6184761586988996</c:v>
                </c:pt>
                <c:pt idx="2">
                  <c:v>3.4239782523437792</c:v>
                </c:pt>
                <c:pt idx="3">
                  <c:v>4.4782718932017138</c:v>
                </c:pt>
                <c:pt idx="4">
                  <c:v>5.8584911974102418</c:v>
                </c:pt>
                <c:pt idx="5">
                  <c:v>7.6657688621638007</c:v>
                </c:pt>
                <c:pt idx="6">
                  <c:v>10.032727116351175</c:v>
                </c:pt>
                <c:pt idx="7">
                  <c:v>13.133313899270847</c:v>
                </c:pt>
                <c:pt idx="8">
                  <c:v>17.19572050306477</c:v>
                </c:pt>
                <c:pt idx="9">
                  <c:v>22.519348612900952</c:v>
                </c:pt>
                <c:pt idx="10">
                  <c:v>29.497099457519852</c:v>
                </c:pt>
                <c:pt idx="11">
                  <c:v>38.644658738193797</c:v>
                </c:pt>
                <c:pt idx="12">
                  <c:v>50.638978545826575</c:v>
                </c:pt>
                <c:pt idx="13">
                  <c:v>66.368851645018722</c:v>
                </c:pt>
                <c:pt idx="14">
                  <c:v>87.001387028916199</c:v>
                </c:pt>
                <c:pt idx="15">
                  <c:v>114.06939797149329</c:v>
                </c:pt>
                <c:pt idx="16">
                  <c:v>82.85309935773347</c:v>
                </c:pt>
                <c:pt idx="17">
                  <c:v>106.54457398371414</c:v>
                </c:pt>
                <c:pt idx="18">
                  <c:v>130.10552217830411</c:v>
                </c:pt>
                <c:pt idx="19">
                  <c:v>153.56302988078724</c:v>
                </c:pt>
                <c:pt idx="20">
                  <c:v>176.93516310576447</c:v>
                </c:pt>
                <c:pt idx="21">
                  <c:v>142.69574583435204</c:v>
                </c:pt>
                <c:pt idx="22">
                  <c:v>167.79880331835713</c:v>
                </c:pt>
                <c:pt idx="23">
                  <c:v>192.81316594428253</c:v>
                </c:pt>
                <c:pt idx="24">
                  <c:v>217.75197073107935</c:v>
                </c:pt>
                <c:pt idx="25">
                  <c:v>242.62509103866606</c:v>
                </c:pt>
                <c:pt idx="26">
                  <c:v>207.65006023420588</c:v>
                </c:pt>
                <c:pt idx="27">
                  <c:v>231.54060536306474</c:v>
                </c:pt>
                <c:pt idx="28">
                  <c:v>255.37481651567725</c:v>
                </c:pt>
                <c:pt idx="29">
                  <c:v>279.15868935410367</c:v>
                </c:pt>
                <c:pt idx="30">
                  <c:v>302.89711380319778</c:v>
                </c:pt>
                <c:pt idx="31">
                  <c:v>265.76520570407013</c:v>
                </c:pt>
                <c:pt idx="32">
                  <c:v>287.1878127127286</c:v>
                </c:pt>
                <c:pt idx="33">
                  <c:v>308.57468250394254</c:v>
                </c:pt>
                <c:pt idx="34">
                  <c:v>329.92863915898073</c:v>
                </c:pt>
                <c:pt idx="35">
                  <c:v>351.25211138560275</c:v>
                </c:pt>
                <c:pt idx="36">
                  <c:v>311.91334190386982</c:v>
                </c:pt>
                <c:pt idx="37">
                  <c:v>330.92884034916193</c:v>
                </c:pt>
                <c:pt idx="38">
                  <c:v>349.92024613418363</c:v>
                </c:pt>
                <c:pt idx="39">
                  <c:v>368.88905029363553</c:v>
                </c:pt>
                <c:pt idx="40">
                  <c:v>387.83657804664421</c:v>
                </c:pt>
                <c:pt idx="41">
                  <c:v>345.92398101265053</c:v>
                </c:pt>
                <c:pt idx="42">
                  <c:v>362.23581728407822</c:v>
                </c:pt>
                <c:pt idx="43">
                  <c:v>378.53160178526809</c:v>
                </c:pt>
                <c:pt idx="44">
                  <c:v>394.81212266433727</c:v>
                </c:pt>
                <c:pt idx="45">
                  <c:v>411.07809777850667</c:v>
                </c:pt>
                <c:pt idx="46">
                  <c:v>385.51079352962591</c:v>
                </c:pt>
                <c:pt idx="47">
                  <c:v>399.79301616201775</c:v>
                </c:pt>
                <c:pt idx="48">
                  <c:v>414.06419751906054</c:v>
                </c:pt>
                <c:pt idx="49">
                  <c:v>428.32477170663691</c:v>
                </c:pt>
                <c:pt idx="50">
                  <c:v>442.57514157002379</c:v>
                </c:pt>
                <c:pt idx="51">
                  <c:v>423.35133170920335</c:v>
                </c:pt>
                <c:pt idx="52">
                  <c:v>435.61690924842782</c:v>
                </c:pt>
                <c:pt idx="53">
                  <c:v>447.87507636176088</c:v>
                </c:pt>
                <c:pt idx="54">
                  <c:v>460.12606445231467</c:v>
                </c:pt>
                <c:pt idx="55">
                  <c:v>472.37009159588246</c:v>
                </c:pt>
                <c:pt idx="56">
                  <c:v>456.15354401210885</c:v>
                </c:pt>
                <c:pt idx="57">
                  <c:v>466.41439408694367</c:v>
                </c:pt>
                <c:pt idx="58">
                  <c:v>476.67043320372545</c:v>
                </c:pt>
                <c:pt idx="59">
                  <c:v>486.92177948286343</c:v>
                </c:pt>
                <c:pt idx="60">
                  <c:v>497.16854566479333</c:v>
                </c:pt>
                <c:pt idx="61">
                  <c:v>482.62339181174929</c:v>
                </c:pt>
                <c:pt idx="62">
                  <c:v>491.21936176570597</c:v>
                </c:pt>
                <c:pt idx="63">
                  <c:v>499.81214220007342</c:v>
                </c:pt>
                <c:pt idx="64">
                  <c:v>508.40179569615702</c:v>
                </c:pt>
                <c:pt idx="65">
                  <c:v>516.98838254757811</c:v>
                </c:pt>
                <c:pt idx="66">
                  <c:v>503.11622179266823</c:v>
                </c:pt>
                <c:pt idx="67">
                  <c:v>510.71386829632746</c:v>
                </c:pt>
                <c:pt idx="68">
                  <c:v>518.30912745420756</c:v>
                </c:pt>
                <c:pt idx="69">
                  <c:v>525.90203919558905</c:v>
                </c:pt>
                <c:pt idx="70">
                  <c:v>533.49264220236114</c:v>
                </c:pt>
                <c:pt idx="71">
                  <c:v>518.96947327099531</c:v>
                </c:pt>
                <c:pt idx="72">
                  <c:v>525.90203919558905</c:v>
                </c:pt>
                <c:pt idx="73">
                  <c:v>532.83268046104354</c:v>
                </c:pt>
                <c:pt idx="74">
                  <c:v>539.76142564164627</c:v>
                </c:pt>
                <c:pt idx="75">
                  <c:v>546.68830251799852</c:v>
                </c:pt>
                <c:pt idx="76">
                  <c:v>532.83268046104354</c:v>
                </c:pt>
                <c:pt idx="77">
                  <c:v>538.77171992708634</c:v>
                </c:pt>
                <c:pt idx="78">
                  <c:v>544.70938389292269</c:v>
                </c:pt>
                <c:pt idx="79">
                  <c:v>550.64568947389932</c:v>
                </c:pt>
                <c:pt idx="80">
                  <c:v>556.58065338607753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2.9205980688266564</c:v>
                </c:pt>
                <c:pt idx="2">
                  <c:v>3.8193886180668186</c:v>
                </c:pt>
                <c:pt idx="3">
                  <c:v>4.9958857422955205</c:v>
                </c:pt>
                <c:pt idx="4">
                  <c:v>6.5362176188514516</c:v>
                </c:pt>
                <c:pt idx="5">
                  <c:v>8.5533177888034189</c:v>
                </c:pt>
                <c:pt idx="6">
                  <c:v>11.195294658284743</c:v>
                </c:pt>
                <c:pt idx="7">
                  <c:v>14.656421978560983</c:v>
                </c:pt>
                <c:pt idx="8">
                  <c:v>19.191573306246756</c:v>
                </c:pt>
                <c:pt idx="9">
                  <c:v>25.135182506128984</c:v>
                </c:pt>
                <c:pt idx="10">
                  <c:v>32.9261531469324</c:v>
                </c:pt>
                <c:pt idx="11">
                  <c:v>43.140587989048477</c:v>
                </c:pt>
                <c:pt idx="12">
                  <c:v>56.534799687422179</c:v>
                </c:pt>
                <c:pt idx="13">
                  <c:v>74.101840122506715</c:v>
                </c:pt>
                <c:pt idx="14">
                  <c:v>97.145807411654872</c:v>
                </c:pt>
                <c:pt idx="15">
                  <c:v>127.37953432582198</c:v>
                </c:pt>
                <c:pt idx="16">
                  <c:v>92.512559752041952</c:v>
                </c:pt>
                <c:pt idx="17">
                  <c:v>118.97444364040366</c:v>
                </c:pt>
                <c:pt idx="18">
                  <c:v>145.29205371594367</c:v>
                </c:pt>
                <c:pt idx="19">
                  <c:v>171.49532867914351</c:v>
                </c:pt>
                <c:pt idx="20">
                  <c:v>197.6042373039995</c:v>
                </c:pt>
                <c:pt idx="21">
                  <c:v>159.35586286360191</c:v>
                </c:pt>
                <c:pt idx="22">
                  <c:v>187.39794043392263</c:v>
                </c:pt>
                <c:pt idx="23">
                  <c:v>215.34198157425362</c:v>
                </c:pt>
                <c:pt idx="24">
                  <c:v>243.20250692836802</c:v>
                </c:pt>
                <c:pt idx="25">
                  <c:v>270.99042974399345</c:v>
                </c:pt>
                <c:pt idx="26">
                  <c:v>231.91700149088217</c:v>
                </c:pt>
                <c:pt idx="27">
                  <c:v>258.60689820869135</c:v>
                </c:pt>
                <c:pt idx="28">
                  <c:v>285.23452771013774</c:v>
                </c:pt>
                <c:pt idx="29">
                  <c:v>311.80651713592084</c:v>
                </c:pt>
                <c:pt idx="30">
                  <c:v>338.32827143043039</c:v>
                </c:pt>
                <c:pt idx="31">
                  <c:v>296.842883014341</c:v>
                </c:pt>
                <c:pt idx="32">
                  <c:v>320.77699701276748</c:v>
                </c:pt>
                <c:pt idx="33">
                  <c:v>344.67160985755481</c:v>
                </c:pt>
                <c:pt idx="34">
                  <c:v>368.52984306951663</c:v>
                </c:pt>
                <c:pt idx="35">
                  <c:v>392.35438115419714</c:v>
                </c:pt>
                <c:pt idx="36">
                  <c:v>348.40178403373949</c:v>
                </c:pt>
                <c:pt idx="37">
                  <c:v>369.64735159591169</c:v>
                </c:pt>
                <c:pt idx="38">
                  <c:v>390.86628899650526</c:v>
                </c:pt>
                <c:pt idx="39">
                  <c:v>412.06024430985258</c:v>
                </c:pt>
                <c:pt idx="40">
                  <c:v>433.23068233058711</c:v>
                </c:pt>
                <c:pt idx="41">
                  <c:v>386.40127265666041</c:v>
                </c:pt>
                <c:pt idx="42">
                  <c:v>404.62651852552534</c:v>
                </c:pt>
                <c:pt idx="43">
                  <c:v>422.83402201018424</c:v>
                </c:pt>
                <c:pt idx="44">
                  <c:v>441.02465426855332</c:v>
                </c:pt>
                <c:pt idx="45">
                  <c:v>459.19920876443285</c:v>
                </c:pt>
                <c:pt idx="46">
                  <c:v>430.63202519963079</c:v>
                </c:pt>
                <c:pt idx="47">
                  <c:v>446.58996615169781</c:v>
                </c:pt>
                <c:pt idx="48">
                  <c:v>462.53570293273191</c:v>
                </c:pt>
                <c:pt idx="49">
                  <c:v>478.46971536977009</c:v>
                </c:pt>
                <c:pt idx="50">
                  <c:v>494.3924487367965</c:v>
                </c:pt>
                <c:pt idx="51">
                  <c:v>472.91264200880101</c:v>
                </c:pt>
                <c:pt idx="52">
                  <c:v>486.61761247073986</c:v>
                </c:pt>
                <c:pt idx="53">
                  <c:v>500.3143920215611</c:v>
                </c:pt>
                <c:pt idx="54">
                  <c:v>514.00323643635181</c:v>
                </c:pt>
                <c:pt idx="55">
                  <c:v>527.68438675921152</c:v>
                </c:pt>
                <c:pt idx="56">
                  <c:v>509.56446562910031</c:v>
                </c:pt>
                <c:pt idx="57">
                  <c:v>521.02963842518261</c:v>
                </c:pt>
                <c:pt idx="58">
                  <c:v>532.48949356066385</c:v>
                </c:pt>
                <c:pt idx="59">
                  <c:v>543.94416159669981</c:v>
                </c:pt>
                <c:pt idx="60">
                  <c:v>555.39376714784089</c:v>
                </c:pt>
                <c:pt idx="61">
                  <c:v>539.1412145256478</c:v>
                </c:pt>
                <c:pt idx="62">
                  <c:v>548.74621845390379</c:v>
                </c:pt>
                <c:pt idx="63">
                  <c:v>558.34769693411636</c:v>
                </c:pt>
                <c:pt idx="64">
                  <c:v>567.94571913881475</c:v>
                </c:pt>
                <c:pt idx="65">
                  <c:v>577.54035171190208</c:v>
                </c:pt>
                <c:pt idx="66">
                  <c:v>562.03964926820083</c:v>
                </c:pt>
                <c:pt idx="67">
                  <c:v>570.52922017836795</c:v>
                </c:pt>
                <c:pt idx="68">
                  <c:v>579.01615230132256</c:v>
                </c:pt>
                <c:pt idx="69">
                  <c:v>587.50048977179972</c:v>
                </c:pt>
                <c:pt idx="70">
                  <c:v>595.98227534576563</c:v>
                </c:pt>
                <c:pt idx="71">
                  <c:v>579.75402315407757</c:v>
                </c:pt>
                <c:pt idx="72">
                  <c:v>587.50048977179972</c:v>
                </c:pt>
                <c:pt idx="73">
                  <c:v>595.24482902030275</c:v>
                </c:pt>
                <c:pt idx="74">
                  <c:v>602.98707248339201</c:v>
                </c:pt>
                <c:pt idx="75">
                  <c:v>610.72725086759363</c:v>
                </c:pt>
                <c:pt idx="76">
                  <c:v>595.24482902030275</c:v>
                </c:pt>
                <c:pt idx="77">
                  <c:v>601.88116484326292</c:v>
                </c:pt>
                <c:pt idx="78">
                  <c:v>608.51598029477634</c:v>
                </c:pt>
                <c:pt idx="79">
                  <c:v>615.14929429282256</c:v>
                </c:pt>
                <c:pt idx="80">
                  <c:v>621.78112531404156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2.7193115141557311</c:v>
                </c:pt>
                <c:pt idx="2">
                  <c:v>3.5559454568361653</c:v>
                </c:pt>
                <c:pt idx="3">
                  <c:v>4.6510192406473019</c:v>
                </c:pt>
                <c:pt idx="4">
                  <c:v>6.0846677762653014</c:v>
                </c:pt>
                <c:pt idx="5">
                  <c:v>7.9619609229961332</c:v>
                </c:pt>
                <c:pt idx="6">
                  <c:v>10.420687505232264</c:v>
                </c:pt>
                <c:pt idx="7">
                  <c:v>13.641576533971696</c:v>
                </c:pt>
                <c:pt idx="8">
                  <c:v>17.861720807718925</c:v>
                </c:pt>
                <c:pt idx="9">
                  <c:v>23.392208891031569</c:v>
                </c:pt>
                <c:pt idx="10">
                  <c:v>30.641288256631608</c:v>
                </c:pt>
                <c:pt idx="11">
                  <c:v>40.14479913782214</c:v>
                </c:pt>
                <c:pt idx="12">
                  <c:v>52.606166983560222</c:v>
                </c:pt>
                <c:pt idx="13">
                  <c:v>68.948962963662908</c:v>
                </c:pt>
                <c:pt idx="14">
                  <c:v>90.385991550742531</c:v>
                </c:pt>
                <c:pt idx="15">
                  <c:v>118.51011399861339</c:v>
                </c:pt>
                <c:pt idx="16">
                  <c:v>86.075914671005776</c:v>
                </c:pt>
                <c:pt idx="17">
                  <c:v>110.69162732463077</c:v>
                </c:pt>
                <c:pt idx="18">
                  <c:v>135.17221080393281</c:v>
                </c:pt>
                <c:pt idx="19">
                  <c:v>159.54570617746938</c:v>
                </c:pt>
                <c:pt idx="20">
                  <c:v>183.83081652024472</c:v>
                </c:pt>
                <c:pt idx="21">
                  <c:v>148.25402389766143</c:v>
                </c:pt>
                <c:pt idx="22">
                  <c:v>174.33753126581527</c:v>
                </c:pt>
                <c:pt idx="23">
                  <c:v>200.32921613632394</c:v>
                </c:pt>
                <c:pt idx="24">
                  <c:v>226.24267877776924</c:v>
                </c:pt>
                <c:pt idx="25">
                  <c:v>252.08814071355724</c:v>
                </c:pt>
                <c:pt idx="26">
                  <c:v>215.74593348274445</c:v>
                </c:pt>
                <c:pt idx="27">
                  <c:v>240.57031057620057</c:v>
                </c:pt>
                <c:pt idx="28">
                  <c:v>265.33636719298863</c:v>
                </c:pt>
                <c:pt idx="29">
                  <c:v>290.05031041971233</c:v>
                </c:pt>
                <c:pt idx="30">
                  <c:v>314.7172026142477</c:v>
                </c:pt>
                <c:pt idx="31">
                  <c:v>276.13305084516702</c:v>
                </c:pt>
                <c:pt idx="32">
                  <c:v>298.39345366223546</c:v>
                </c:pt>
                <c:pt idx="33">
                  <c:v>320.6168590632679</c:v>
                </c:pt>
                <c:pt idx="34">
                  <c:v>342.80619071488059</c:v>
                </c:pt>
                <c:pt idx="35">
                  <c:v>364.96396296815789</c:v>
                </c:pt>
                <c:pt idx="36">
                  <c:v>324.08611998804474</c:v>
                </c:pt>
                <c:pt idx="37">
                  <c:v>343.84552311327383</c:v>
                </c:pt>
                <c:pt idx="38">
                  <c:v>363.5799840007133</c:v>
                </c:pt>
                <c:pt idx="39">
                  <c:v>383.29104626329899</c:v>
                </c:pt>
                <c:pt idx="40">
                  <c:v>402.9800818512519</c:v>
                </c:pt>
                <c:pt idx="41">
                  <c:v>359.4273541272596</c:v>
                </c:pt>
                <c:pt idx="42">
                  <c:v>376.37745953930607</c:v>
                </c:pt>
                <c:pt idx="43">
                  <c:v>393.31094714884654</c:v>
                </c:pt>
                <c:pt idx="44">
                  <c:v>410.22863289640105</c:v>
                </c:pt>
                <c:pt idx="45">
                  <c:v>427.13125995293154</c:v>
                </c:pt>
                <c:pt idx="46">
                  <c:v>400.56327392899146</c:v>
                </c:pt>
                <c:pt idx="47">
                  <c:v>415.40447321133956</c:v>
                </c:pt>
                <c:pt idx="48">
                  <c:v>430.23424187074426</c:v>
                </c:pt>
                <c:pt idx="49">
                  <c:v>445.05302932092837</c:v>
                </c:pt>
                <c:pt idx="50">
                  <c:v>459.86125261266943</c:v>
                </c:pt>
                <c:pt idx="51">
                  <c:v>439.88490533840962</c:v>
                </c:pt>
                <c:pt idx="52">
                  <c:v>452.63062434570611</c:v>
                </c:pt>
                <c:pt idx="53">
                  <c:v>465.3686716138655</c:v>
                </c:pt>
                <c:pt idx="54">
                  <c:v>478.09928670594991</c:v>
                </c:pt>
                <c:pt idx="55">
                  <c:v>490.82269538774045</c:v>
                </c:pt>
                <c:pt idx="56">
                  <c:v>473.97123882058969</c:v>
                </c:pt>
                <c:pt idx="57">
                  <c:v>484.63381543198619</c:v>
                </c:pt>
                <c:pt idx="58">
                  <c:v>495.29141143690708</c:v>
                </c:pt>
                <c:pt idx="59">
                  <c:v>505.94414912103224</c:v>
                </c:pt>
                <c:pt idx="60">
                  <c:v>516.59214520035403</c:v>
                </c:pt>
                <c:pt idx="61">
                  <c:v>501.47745591010658</c:v>
                </c:pt>
                <c:pt idx="62">
                  <c:v>510.41000854334516</c:v>
                </c:pt>
                <c:pt idx="63">
                  <c:v>519.33925918522516</c:v>
                </c:pt>
                <c:pt idx="64">
                  <c:v>528.26527262385048</c:v>
                </c:pt>
                <c:pt idx="65">
                  <c:v>537.18811127897254</c:v>
                </c:pt>
                <c:pt idx="66">
                  <c:v>522.77272091773659</c:v>
                </c:pt>
                <c:pt idx="67">
                  <c:v>530.66788510705476</c:v>
                </c:pt>
                <c:pt idx="68">
                  <c:v>538.56057776581395</c:v>
                </c:pt>
                <c:pt idx="69">
                  <c:v>546.4508402313171</c:v>
                </c:pt>
                <c:pt idx="70">
                  <c:v>554.33871254949031</c:v>
                </c:pt>
                <c:pt idx="71">
                  <c:v>539.24678343342578</c:v>
                </c:pt>
                <c:pt idx="72">
                  <c:v>546.4508402313171</c:v>
                </c:pt>
                <c:pt idx="73">
                  <c:v>553.65290450097075</c:v>
                </c:pt>
                <c:pt idx="74">
                  <c:v>560.85300582428658</c:v>
                </c:pt>
                <c:pt idx="75">
                  <c:v>568.05117296149081</c:v>
                </c:pt>
                <c:pt idx="76">
                  <c:v>553.65290450097075</c:v>
                </c:pt>
                <c:pt idx="77">
                  <c:v>559.8245390026176</c:v>
                </c:pt>
                <c:pt idx="78">
                  <c:v>565.99474949990611</c:v>
                </c:pt>
                <c:pt idx="79">
                  <c:v>572.16355371171983</c:v>
                </c:pt>
                <c:pt idx="80">
                  <c:v>578.33096894357811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8" sqref="B18:M31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62" t="s">
        <v>0</v>
      </c>
      <c r="C12" s="262"/>
      <c r="D12" s="262"/>
      <c r="E12" s="262"/>
      <c r="F12" s="262"/>
      <c r="G12" s="262"/>
      <c r="H12" s="262"/>
      <c r="I12" s="262"/>
      <c r="J12" s="262"/>
      <c r="K12" s="262"/>
      <c r="L12" s="262"/>
      <c r="M12" s="262"/>
    </row>
    <row r="13" spans="2:13" ht="15" customHeight="1" x14ac:dyDescent="0.35">
      <c r="B13" s="262"/>
      <c r="C13" s="262"/>
      <c r="D13" s="262"/>
      <c r="E13" s="262"/>
      <c r="F13" s="262"/>
      <c r="G13" s="262"/>
      <c r="H13" s="262"/>
      <c r="I13" s="262"/>
      <c r="J13" s="262"/>
      <c r="K13" s="262"/>
      <c r="L13" s="262"/>
      <c r="M13" s="262"/>
    </row>
    <row r="14" spans="2:13" ht="15" customHeight="1" x14ac:dyDescent="0.35">
      <c r="B14" s="262"/>
      <c r="C14" s="262"/>
      <c r="D14" s="262"/>
      <c r="E14" s="262"/>
      <c r="F14" s="262"/>
      <c r="G14" s="262"/>
      <c r="H14" s="262"/>
      <c r="I14" s="262"/>
      <c r="J14" s="262"/>
      <c r="K14" s="262"/>
      <c r="L14" s="262"/>
      <c r="M14" s="262"/>
    </row>
    <row r="15" spans="2:13" ht="18.75" customHeight="1" x14ac:dyDescent="0.35">
      <c r="B15" s="262"/>
      <c r="C15" s="262"/>
      <c r="D15" s="262"/>
      <c r="E15" s="262"/>
      <c r="F15" s="262"/>
      <c r="G15" s="262"/>
      <c r="H15" s="262"/>
      <c r="I15" s="262"/>
      <c r="J15" s="262"/>
      <c r="K15" s="262"/>
      <c r="L15" s="262"/>
      <c r="M15" s="262"/>
    </row>
    <row r="16" spans="2:13" ht="18.75" customHeight="1" x14ac:dyDescent="0.35">
      <c r="B16" s="262"/>
      <c r="C16" s="262"/>
      <c r="D16" s="262"/>
      <c r="E16" s="262"/>
      <c r="F16" s="262"/>
      <c r="G16" s="262"/>
      <c r="H16" s="262"/>
      <c r="I16" s="262"/>
      <c r="J16" s="262"/>
      <c r="K16" s="262"/>
      <c r="L16" s="262"/>
      <c r="M16" s="262"/>
    </row>
    <row r="18" spans="2:13" ht="12" customHeight="1" x14ac:dyDescent="0.35">
      <c r="B18" s="262" t="s">
        <v>1</v>
      </c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</row>
    <row r="19" spans="2:13" ht="12" customHeight="1" x14ac:dyDescent="0.35">
      <c r="B19" s="262"/>
      <c r="C19" s="262"/>
      <c r="D19" s="262"/>
      <c r="E19" s="262"/>
      <c r="F19" s="262"/>
      <c r="G19" s="262"/>
      <c r="H19" s="262"/>
      <c r="I19" s="262"/>
      <c r="J19" s="262"/>
      <c r="K19" s="262"/>
      <c r="L19" s="262"/>
      <c r="M19" s="262"/>
    </row>
    <row r="20" spans="2:13" ht="12" customHeight="1" x14ac:dyDescent="0.35">
      <c r="B20" s="262"/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2"/>
    </row>
    <row r="21" spans="2:13" ht="12" customHeight="1" x14ac:dyDescent="0.35">
      <c r="B21" s="262"/>
      <c r="C21" s="262"/>
      <c r="D21" s="262"/>
      <c r="E21" s="262"/>
      <c r="F21" s="262"/>
      <c r="G21" s="262"/>
      <c r="H21" s="262"/>
      <c r="I21" s="262"/>
      <c r="J21" s="262"/>
      <c r="K21" s="262"/>
      <c r="L21" s="262"/>
      <c r="M21" s="262"/>
    </row>
    <row r="22" spans="2:13" ht="12" customHeight="1" x14ac:dyDescent="0.35"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</row>
    <row r="23" spans="2:13" ht="12" customHeight="1" x14ac:dyDescent="0.35">
      <c r="B23" s="262"/>
      <c r="C23" s="262"/>
      <c r="D23" s="262"/>
      <c r="E23" s="262"/>
      <c r="F23" s="262"/>
      <c r="G23" s="262"/>
      <c r="H23" s="262"/>
      <c r="I23" s="262"/>
      <c r="J23" s="262"/>
      <c r="K23" s="262"/>
      <c r="L23" s="262"/>
      <c r="M23" s="262"/>
    </row>
    <row r="24" spans="2:13" ht="12" customHeight="1" x14ac:dyDescent="0.35"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</row>
    <row r="25" spans="2:13" ht="12" customHeight="1" x14ac:dyDescent="0.35"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</row>
    <row r="26" spans="2:13" ht="12" customHeight="1" x14ac:dyDescent="0.35">
      <c r="B26" s="262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</row>
    <row r="27" spans="2:13" ht="12" customHeight="1" x14ac:dyDescent="0.35">
      <c r="B27" s="262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</row>
    <row r="28" spans="2:13" ht="12" customHeight="1" x14ac:dyDescent="0.35">
      <c r="B28" s="262"/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262"/>
    </row>
    <row r="29" spans="2:13" ht="12" customHeight="1" x14ac:dyDescent="0.35">
      <c r="B29" s="262"/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2"/>
    </row>
    <row r="30" spans="2:13" ht="12" customHeight="1" x14ac:dyDescent="0.35">
      <c r="B30" s="262"/>
      <c r="C30" s="262"/>
      <c r="D30" s="262"/>
      <c r="E30" s="262"/>
      <c r="F30" s="262"/>
      <c r="G30" s="262"/>
      <c r="H30" s="262"/>
      <c r="I30" s="262"/>
      <c r="J30" s="262"/>
      <c r="K30" s="262"/>
      <c r="L30" s="262"/>
      <c r="M30" s="262"/>
    </row>
    <row r="31" spans="2:13" ht="12" customHeight="1" x14ac:dyDescent="0.35">
      <c r="B31" s="262"/>
      <c r="C31" s="262"/>
      <c r="D31" s="262"/>
      <c r="E31" s="262"/>
      <c r="F31" s="262"/>
      <c r="G31" s="262"/>
      <c r="H31" s="262"/>
      <c r="I31" s="262"/>
      <c r="J31" s="262"/>
      <c r="K31" s="262"/>
      <c r="L31" s="262"/>
      <c r="M31" s="26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5" zoomScaleNormal="85" workbookViewId="0">
      <selection activeCell="C26" sqref="C26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7" t="s">
        <v>2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0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8" t="s">
        <v>4</v>
      </c>
      <c r="C3" s="269"/>
      <c r="D3" s="269"/>
      <c r="E3" s="269"/>
      <c r="F3" s="270"/>
      <c r="G3" s="88"/>
      <c r="I3" s="210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89"/>
      <c r="B4" s="89"/>
      <c r="C4" s="89"/>
      <c r="D4" s="89"/>
      <c r="E4" s="89"/>
      <c r="F4" s="89"/>
      <c r="G4" s="217"/>
      <c r="I4" s="210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3" t="s">
        <v>7</v>
      </c>
      <c r="B5" s="273"/>
      <c r="C5" s="24">
        <v>15.6</v>
      </c>
      <c r="D5" s="274" t="s">
        <v>8</v>
      </c>
      <c r="E5" s="275"/>
      <c r="F5" s="89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0"/>
      <c r="B6" s="90"/>
      <c r="C6" s="4"/>
      <c r="D6" s="85"/>
      <c r="E6" s="85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2" t="s">
        <v>9</v>
      </c>
      <c r="B7" s="272"/>
      <c r="C7" s="89"/>
      <c r="D7" s="89"/>
      <c r="E7" s="4"/>
      <c r="F7" s="89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16</v>
      </c>
      <c r="C9" s="32">
        <v>0.56999999999999995</v>
      </c>
      <c r="D9" s="33">
        <f t="shared" ref="D9:D18" si="0">C9*$C$5</f>
        <v>8.8919999999999995</v>
      </c>
      <c r="E9" s="34">
        <v>159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17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18</v>
      </c>
      <c r="B10" s="31" t="s">
        <v>19</v>
      </c>
      <c r="C10" s="32">
        <v>0.03</v>
      </c>
      <c r="D10" s="33">
        <f t="shared" si="0"/>
        <v>0.46799999999999997</v>
      </c>
      <c r="E10" s="34">
        <v>56</v>
      </c>
      <c r="F10" s="35" t="str">
        <f t="array" ref="F10">IF(E10="","",IF(INDEX(A:A,MAX(IF(ISNUMBER($A$62:$A$81),ROW($A$62:$A$81),"")))&lt;&gt;E10,"Corrigez : révolution incorrecte","OK"))</f>
        <v>OK</v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20</v>
      </c>
      <c r="B11" s="31" t="s">
        <v>21</v>
      </c>
      <c r="C11" s="32">
        <v>0.18</v>
      </c>
      <c r="D11" s="33">
        <f t="shared" si="0"/>
        <v>2.8079999999999998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22</v>
      </c>
      <c r="B12" s="31" t="s">
        <v>23</v>
      </c>
      <c r="C12" s="32">
        <v>0.18</v>
      </c>
      <c r="D12" s="33">
        <f t="shared" si="0"/>
        <v>2.8079999999999998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24</v>
      </c>
      <c r="B13" s="31" t="s">
        <v>25</v>
      </c>
      <c r="C13" s="32">
        <v>0.01</v>
      </c>
      <c r="D13" s="33">
        <f t="shared" si="0"/>
        <v>0.156</v>
      </c>
      <c r="E13" s="34">
        <v>70</v>
      </c>
      <c r="F13" s="35" t="str">
        <f t="array" ref="F13">IF(E13="","",IF(INDEX(A:A,MAX(IF(ISNUMBER($A$140:$A$159),ROW($A$140:$A$159),"")))&lt;&gt;E13,"Corrigez : révolution incorrecte","OK"))</f>
        <v>OK</v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26</v>
      </c>
      <c r="B14" s="31" t="s">
        <v>27</v>
      </c>
      <c r="C14" s="32">
        <v>0.01</v>
      </c>
      <c r="D14" s="33">
        <f t="shared" si="0"/>
        <v>0.156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28</v>
      </c>
      <c r="B15" s="31" t="s">
        <v>29</v>
      </c>
      <c r="C15" s="32">
        <v>0.01</v>
      </c>
      <c r="D15" s="33">
        <f t="shared" si="0"/>
        <v>0.156</v>
      </c>
      <c r="E15" s="34">
        <v>80</v>
      </c>
      <c r="F15" s="35" t="str">
        <f t="array" ref="F15">IF(E15="","",IF(INDEX(A:A,MAX(IF(ISNUMBER($A$192:$A$211),ROW($A$192:$A$211),"")))&lt;&gt;E15,"Corrigez : révolution incorrecte","OK"))</f>
        <v>OK</v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30</v>
      </c>
      <c r="B16" s="31" t="s">
        <v>127</v>
      </c>
      <c r="C16" s="259">
        <v>0.01</v>
      </c>
      <c r="D16" s="33">
        <f t="shared" si="0"/>
        <v>0.156</v>
      </c>
      <c r="E16" s="34">
        <v>80</v>
      </c>
      <c r="F16" s="35" t="str">
        <f t="array" ref="F16">IF(E16="","",IF(INDEX(A:A,MAX(IF(ISNUMBER($A$218:$A$237),ROW($A$218:$A$237),"")))&lt;&gt;E16,"Corrigez : révolution incorrecte","OK"))</f>
        <v>OK</v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31</v>
      </c>
      <c r="B17" s="258"/>
      <c r="C17" s="259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32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7"/>
      <c r="B19" s="36" t="s">
        <v>33</v>
      </c>
      <c r="C19" s="37">
        <f>SUM(C9:C18)</f>
        <v>1</v>
      </c>
      <c r="D19" s="38">
        <f>SUM(D9:D18)</f>
        <v>15.600000000000001</v>
      </c>
      <c r="E19" s="4"/>
      <c r="F19" s="91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7"/>
      <c r="B20" s="39" t="s">
        <v>14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1" t="s">
        <v>34</v>
      </c>
      <c r="B22" s="271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35</v>
      </c>
      <c r="B24" s="42" t="s">
        <v>36</v>
      </c>
      <c r="C24" s="43">
        <v>0</v>
      </c>
      <c r="D24" s="44" t="s">
        <v>37</v>
      </c>
      <c r="E24" s="92"/>
      <c r="F24" s="92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38</v>
      </c>
      <c r="B25" s="42" t="s">
        <v>39</v>
      </c>
      <c r="C25" s="45">
        <v>0.1</v>
      </c>
      <c r="D25" s="93"/>
      <c r="E25" s="4"/>
      <c r="F25" s="93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40</v>
      </c>
      <c r="B26" s="42" t="s">
        <v>41</v>
      </c>
      <c r="C26" s="43">
        <v>0.1</v>
      </c>
      <c r="D26" s="44" t="s">
        <v>42</v>
      </c>
      <c r="E26" s="92"/>
      <c r="F26" s="92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43</v>
      </c>
      <c r="B27" s="42" t="s">
        <v>44</v>
      </c>
      <c r="C27" s="43">
        <v>0</v>
      </c>
      <c r="D27" s="44" t="s">
        <v>45</v>
      </c>
      <c r="E27" s="92"/>
      <c r="F27" s="92"/>
      <c r="G27" s="201"/>
      <c r="I27" s="201"/>
      <c r="J27" s="261">
        <v>0.03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2" t="s">
        <v>46</v>
      </c>
      <c r="B30" s="272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C31" s="23" t="s">
        <v>325</v>
      </c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Chêne sessile</v>
      </c>
      <c r="D32" s="228" t="s">
        <v>47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4" t="s">
        <v>48</v>
      </c>
      <c r="C34" s="263" t="s">
        <v>49</v>
      </c>
      <c r="D34" s="263"/>
      <c r="E34" s="264" t="s">
        <v>50</v>
      </c>
      <c r="F34" s="265"/>
      <c r="G34" s="265"/>
      <c r="H34" s="266"/>
      <c r="I34" s="94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51</v>
      </c>
      <c r="B35" s="36" t="s">
        <v>52</v>
      </c>
      <c r="C35" s="48" t="s">
        <v>53</v>
      </c>
      <c r="D35" s="48" t="s">
        <v>54</v>
      </c>
      <c r="E35" s="36" t="s">
        <v>55</v>
      </c>
      <c r="F35" s="36" t="s">
        <v>56</v>
      </c>
      <c r="G35" s="36" t="s">
        <v>57</v>
      </c>
      <c r="H35" s="36" t="s">
        <v>58</v>
      </c>
      <c r="I35" s="48" t="s">
        <v>59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56">
        <v>34</v>
      </c>
      <c r="B36" s="256">
        <v>173.04</v>
      </c>
      <c r="C36" s="256">
        <v>1</v>
      </c>
      <c r="D36" s="256">
        <v>36.679999999999978</v>
      </c>
      <c r="E36" s="257">
        <v>0</v>
      </c>
      <c r="F36" s="257">
        <v>0.8</v>
      </c>
      <c r="G36" s="257">
        <v>0.2</v>
      </c>
      <c r="H36" s="257">
        <v>0</v>
      </c>
      <c r="I36" s="49">
        <f>IFERROR(B36/A36,"")</f>
        <v>5.0894117647058819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56">
        <v>42</v>
      </c>
      <c r="B37" s="256">
        <v>248.01</v>
      </c>
      <c r="C37" s="256">
        <v>2</v>
      </c>
      <c r="D37" s="256">
        <v>58.099999999999994</v>
      </c>
      <c r="E37" s="257">
        <v>0</v>
      </c>
      <c r="F37" s="257">
        <v>0.8</v>
      </c>
      <c r="G37" s="257">
        <v>0.2</v>
      </c>
      <c r="H37" s="257">
        <v>0</v>
      </c>
      <c r="I37" s="53">
        <f t="shared" ref="I37:I55" si="1">IF(A37&lt;&gt;0,(B37-(B36-D36))/(A37-A36),"")</f>
        <v>13.956249999999997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56">
        <v>50</v>
      </c>
      <c r="B38" s="256">
        <v>304.72000000000003</v>
      </c>
      <c r="C38" s="256">
        <v>3</v>
      </c>
      <c r="D38" s="256">
        <v>70.730000000000018</v>
      </c>
      <c r="E38" s="257">
        <v>0</v>
      </c>
      <c r="F38" s="257">
        <v>0.8</v>
      </c>
      <c r="G38" s="257">
        <v>0.2</v>
      </c>
      <c r="H38" s="257">
        <v>0</v>
      </c>
      <c r="I38" s="53">
        <f t="shared" si="1"/>
        <v>14.351250000000004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56">
        <v>58</v>
      </c>
      <c r="B39" s="256">
        <v>346.58</v>
      </c>
      <c r="C39" s="256">
        <v>4</v>
      </c>
      <c r="D39" s="256">
        <v>65.819999999999993</v>
      </c>
      <c r="E39" s="257">
        <v>0.35</v>
      </c>
      <c r="F39" s="257">
        <v>0.2</v>
      </c>
      <c r="G39" s="257">
        <v>0.1</v>
      </c>
      <c r="H39" s="257">
        <v>0.35</v>
      </c>
      <c r="I39" s="49">
        <f t="shared" si="1"/>
        <v>14.073749999999997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56">
        <v>66</v>
      </c>
      <c r="B40" s="256">
        <v>388.92</v>
      </c>
      <c r="C40" s="256">
        <v>5</v>
      </c>
      <c r="D40" s="256">
        <v>76.480000000000018</v>
      </c>
      <c r="E40" s="257">
        <v>0.35</v>
      </c>
      <c r="F40" s="257">
        <v>0.2</v>
      </c>
      <c r="G40" s="257">
        <v>0.1</v>
      </c>
      <c r="H40" s="257">
        <v>0.35</v>
      </c>
      <c r="I40" s="49">
        <f t="shared" si="1"/>
        <v>13.520000000000003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56">
        <v>74</v>
      </c>
      <c r="B41" s="256">
        <v>414.8</v>
      </c>
      <c r="C41" s="256">
        <v>6</v>
      </c>
      <c r="D41" s="256">
        <v>75.29000000000002</v>
      </c>
      <c r="E41" s="257">
        <v>0.35</v>
      </c>
      <c r="F41" s="257">
        <v>0.2</v>
      </c>
      <c r="G41" s="257">
        <v>0.1</v>
      </c>
      <c r="H41" s="257">
        <v>0.35</v>
      </c>
      <c r="I41" s="53">
        <f t="shared" si="1"/>
        <v>12.795000000000002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56">
        <v>82</v>
      </c>
      <c r="B42" s="256">
        <v>436.17</v>
      </c>
      <c r="C42" s="256">
        <v>7</v>
      </c>
      <c r="D42" s="256">
        <v>58.140000000000043</v>
      </c>
      <c r="E42" s="257">
        <v>0.35</v>
      </c>
      <c r="F42" s="257">
        <v>0.2</v>
      </c>
      <c r="G42" s="257">
        <v>0.1</v>
      </c>
      <c r="H42" s="257">
        <v>0.35</v>
      </c>
      <c r="I42" s="53">
        <f t="shared" si="1"/>
        <v>12.082500000000003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56">
        <v>90</v>
      </c>
      <c r="B43" s="256">
        <v>471.37</v>
      </c>
      <c r="C43" s="256">
        <v>8</v>
      </c>
      <c r="D43" s="256">
        <v>68.54000000000002</v>
      </c>
      <c r="E43" s="257">
        <v>0.35</v>
      </c>
      <c r="F43" s="257">
        <v>0.2</v>
      </c>
      <c r="G43" s="257">
        <v>0.1</v>
      </c>
      <c r="H43" s="257">
        <v>0.35</v>
      </c>
      <c r="I43" s="49">
        <f t="shared" si="1"/>
        <v>11.667500000000004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56">
        <v>100</v>
      </c>
      <c r="B44" s="256">
        <v>515.66999999999996</v>
      </c>
      <c r="C44" s="256">
        <v>9</v>
      </c>
      <c r="D44" s="256">
        <v>93.039999999999964</v>
      </c>
      <c r="E44" s="257">
        <v>0.5</v>
      </c>
      <c r="F44" s="257">
        <v>0.2</v>
      </c>
      <c r="G44" s="257">
        <v>0</v>
      </c>
      <c r="H44" s="257">
        <v>0.3</v>
      </c>
      <c r="I44" s="49">
        <f t="shared" si="1"/>
        <v>11.283999999999997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56">
        <v>110</v>
      </c>
      <c r="B45" s="256">
        <v>531.04</v>
      </c>
      <c r="C45" s="256">
        <v>10</v>
      </c>
      <c r="D45" s="256">
        <v>73.299999999999955</v>
      </c>
      <c r="E45" s="257">
        <v>0.5</v>
      </c>
      <c r="F45" s="257">
        <v>0.2</v>
      </c>
      <c r="G45" s="257">
        <v>0</v>
      </c>
      <c r="H45" s="257">
        <v>0.3</v>
      </c>
      <c r="I45" s="49">
        <f t="shared" si="1"/>
        <v>10.840999999999998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56">
        <v>120</v>
      </c>
      <c r="B46" s="60">
        <v>565</v>
      </c>
      <c r="C46" s="256">
        <v>11</v>
      </c>
      <c r="D46" s="60">
        <v>66.050000000000011</v>
      </c>
      <c r="E46" s="257">
        <v>0.5</v>
      </c>
      <c r="F46" s="257">
        <v>0.2</v>
      </c>
      <c r="G46" s="257">
        <v>0</v>
      </c>
      <c r="H46" s="257">
        <v>0.3</v>
      </c>
      <c r="I46" s="49">
        <f t="shared" si="1"/>
        <v>10.725999999999999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56">
        <v>130</v>
      </c>
      <c r="B47" s="60">
        <v>606.41</v>
      </c>
      <c r="C47" s="256">
        <v>12</v>
      </c>
      <c r="D47" s="60">
        <v>75.799999999999955</v>
      </c>
      <c r="E47" s="257">
        <v>0.5</v>
      </c>
      <c r="F47" s="257">
        <v>0.2</v>
      </c>
      <c r="G47" s="257">
        <v>0</v>
      </c>
      <c r="H47" s="257">
        <v>0.3</v>
      </c>
      <c r="I47" s="49">
        <f t="shared" si="1"/>
        <v>10.745999999999999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56">
        <v>140</v>
      </c>
      <c r="B48" s="60">
        <v>639.04999999999995</v>
      </c>
      <c r="C48" s="256">
        <v>13</v>
      </c>
      <c r="D48" s="60">
        <v>74.669999999999959</v>
      </c>
      <c r="E48" s="257">
        <v>0.5</v>
      </c>
      <c r="F48" s="257">
        <v>0.2</v>
      </c>
      <c r="G48" s="257">
        <v>0</v>
      </c>
      <c r="H48" s="257">
        <v>0.3</v>
      </c>
      <c r="I48" s="49">
        <f t="shared" si="1"/>
        <v>10.843999999999994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>
        <v>150</v>
      </c>
      <c r="B49" s="50">
        <v>673.13</v>
      </c>
      <c r="C49" s="256">
        <v>14</v>
      </c>
      <c r="D49" s="50">
        <v>259.52</v>
      </c>
      <c r="E49" s="51">
        <v>0.45</v>
      </c>
      <c r="F49" s="51">
        <v>0.05</v>
      </c>
      <c r="G49" s="51">
        <v>0.05</v>
      </c>
      <c r="H49" s="257">
        <v>0.45</v>
      </c>
      <c r="I49" s="49">
        <f t="shared" si="1"/>
        <v>10.875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56">
        <v>153</v>
      </c>
      <c r="B50" s="60">
        <v>434.97</v>
      </c>
      <c r="C50" s="256">
        <v>15</v>
      </c>
      <c r="D50" s="60">
        <v>156.29000000000002</v>
      </c>
      <c r="E50" s="51">
        <v>0.45</v>
      </c>
      <c r="F50" s="51">
        <v>0.05</v>
      </c>
      <c r="G50" s="51">
        <v>0.05</v>
      </c>
      <c r="H50" s="257">
        <v>0.45</v>
      </c>
      <c r="I50" s="49">
        <f t="shared" si="1"/>
        <v>7.1200000000000045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>
        <v>156</v>
      </c>
      <c r="B51" s="50">
        <v>290.93</v>
      </c>
      <c r="C51" s="256">
        <v>16</v>
      </c>
      <c r="D51" s="50">
        <v>96.65</v>
      </c>
      <c r="E51" s="51">
        <v>0.45</v>
      </c>
      <c r="F51" s="51">
        <v>0.05</v>
      </c>
      <c r="G51" s="51">
        <v>0.05</v>
      </c>
      <c r="H51" s="257">
        <v>0.45</v>
      </c>
      <c r="I51" s="49">
        <f t="shared" si="1"/>
        <v>4.083333333333333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>
        <v>159</v>
      </c>
      <c r="B52" s="50">
        <v>201.48</v>
      </c>
      <c r="C52" s="256">
        <v>17</v>
      </c>
      <c r="D52" s="50">
        <v>201.48</v>
      </c>
      <c r="E52" s="51">
        <v>0.45</v>
      </c>
      <c r="F52" s="51">
        <v>0.05</v>
      </c>
      <c r="G52" s="51">
        <v>0.05</v>
      </c>
      <c r="H52" s="257">
        <v>0.45</v>
      </c>
      <c r="I52" s="49">
        <f t="shared" si="1"/>
        <v>2.3999999999999964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256"/>
      <c r="D53" s="50"/>
      <c r="E53" s="51"/>
      <c r="F53" s="51"/>
      <c r="G53" s="51"/>
      <c r="H53" s="257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C57" s="23" t="s">
        <v>324</v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18</v>
      </c>
      <c r="B58" s="52" t="str">
        <f>IF(B10="","",B10)</f>
        <v>Pin maritime</v>
      </c>
      <c r="D58" s="228" t="s">
        <v>47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5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4" t="s">
        <v>48</v>
      </c>
      <c r="C60" s="263" t="s">
        <v>49</v>
      </c>
      <c r="D60" s="263"/>
      <c r="E60" s="264" t="s">
        <v>50</v>
      </c>
      <c r="F60" s="265"/>
      <c r="G60" s="265"/>
      <c r="H60" s="266"/>
      <c r="I60" s="94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51</v>
      </c>
      <c r="B61" s="36" t="s">
        <v>52</v>
      </c>
      <c r="C61" s="48" t="s">
        <v>53</v>
      </c>
      <c r="D61" s="48" t="s">
        <v>54</v>
      </c>
      <c r="E61" s="36" t="s">
        <v>55</v>
      </c>
      <c r="F61" s="36" t="s">
        <v>56</v>
      </c>
      <c r="G61" s="36" t="s">
        <v>57</v>
      </c>
      <c r="H61" s="36" t="s">
        <v>58</v>
      </c>
      <c r="I61" s="48" t="s">
        <v>59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15</v>
      </c>
      <c r="B62" s="60">
        <v>143.9</v>
      </c>
      <c r="C62" s="60">
        <v>1</v>
      </c>
      <c r="D62" s="60">
        <v>50.480000000000004</v>
      </c>
      <c r="E62" s="257">
        <v>0</v>
      </c>
      <c r="F62" s="257">
        <v>0.5</v>
      </c>
      <c r="G62" s="257">
        <v>0.5</v>
      </c>
      <c r="H62" s="257">
        <v>0</v>
      </c>
      <c r="I62" s="53">
        <f>IFERROR(B62/A62,"")</f>
        <v>9.5933333333333337</v>
      </c>
      <c r="J62" s="1">
        <v>16.05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20</v>
      </c>
      <c r="B63" s="60">
        <v>208.05</v>
      </c>
      <c r="C63" s="60">
        <v>2</v>
      </c>
      <c r="D63" s="60">
        <v>55.160000000000025</v>
      </c>
      <c r="E63" s="257">
        <v>0.25</v>
      </c>
      <c r="F63" s="257">
        <v>0.37</v>
      </c>
      <c r="G63" s="257">
        <v>0.38</v>
      </c>
      <c r="H63" s="257">
        <v>0</v>
      </c>
      <c r="I63" s="49">
        <f>IF(A63&lt;&gt;0,(B63-(B62-D62))/(A63-A62),"")</f>
        <v>22.926000000000002</v>
      </c>
      <c r="J63" s="1">
        <v>21.65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26</v>
      </c>
      <c r="B64" s="60">
        <v>298.32</v>
      </c>
      <c r="C64" s="60">
        <v>3</v>
      </c>
      <c r="D64" s="60">
        <v>56.150000000000006</v>
      </c>
      <c r="E64" s="257">
        <v>0.6</v>
      </c>
      <c r="F64" s="257">
        <v>0.2</v>
      </c>
      <c r="G64" s="257">
        <v>0.2</v>
      </c>
      <c r="H64" s="257">
        <v>0</v>
      </c>
      <c r="I64" s="49">
        <f>IF(A64&lt;&gt;0,(B64-(B63-D63))/(A64-A63),"")</f>
        <v>24.238333333333333</v>
      </c>
      <c r="J64" s="1">
        <v>25.17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32</v>
      </c>
      <c r="B65" s="60">
        <v>392.16</v>
      </c>
      <c r="C65" s="60">
        <v>4</v>
      </c>
      <c r="D65" s="60">
        <v>79.57000000000005</v>
      </c>
      <c r="E65" s="257">
        <v>0.6</v>
      </c>
      <c r="F65" s="257">
        <v>0.2</v>
      </c>
      <c r="G65" s="257">
        <v>0.2</v>
      </c>
      <c r="H65" s="257">
        <v>0</v>
      </c>
      <c r="I65" s="49">
        <f>IF(A65&lt;&gt;0,(B65-(B64-D64))/(A65-A64),"")</f>
        <v>24.998333333333338</v>
      </c>
      <c r="J65" s="1">
        <v>31.47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40</v>
      </c>
      <c r="B66" s="60">
        <v>499.21</v>
      </c>
      <c r="C66" s="60">
        <v>5</v>
      </c>
      <c r="D66" s="60">
        <v>116.63</v>
      </c>
      <c r="E66" s="257">
        <v>0.6</v>
      </c>
      <c r="F66" s="257">
        <v>0.2</v>
      </c>
      <c r="G66" s="257">
        <v>0.2</v>
      </c>
      <c r="H66" s="257">
        <v>0</v>
      </c>
      <c r="I66" s="49">
        <f t="shared" ref="I66:I81" si="2">IF(A66&lt;&gt;0,(B66-(B65-D65))/(A66-A65),"")</f>
        <v>23.327500000000001</v>
      </c>
      <c r="J66" s="1">
        <v>36.92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48</v>
      </c>
      <c r="B67" s="60">
        <v>538.97</v>
      </c>
      <c r="C67" s="60">
        <v>6</v>
      </c>
      <c r="D67" s="60">
        <v>106.28000000000003</v>
      </c>
      <c r="E67" s="257">
        <v>0.6</v>
      </c>
      <c r="F67" s="257">
        <v>0.2</v>
      </c>
      <c r="G67" s="257">
        <v>0.2</v>
      </c>
      <c r="H67" s="257">
        <v>0</v>
      </c>
      <c r="I67" s="49">
        <f t="shared" si="2"/>
        <v>19.548750000000005</v>
      </c>
      <c r="J67" s="1">
        <v>41.17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56</v>
      </c>
      <c r="B68" s="60">
        <v>563.75</v>
      </c>
      <c r="C68" s="60">
        <v>7</v>
      </c>
      <c r="D68" s="60">
        <v>563.75</v>
      </c>
      <c r="E68" s="257">
        <v>0.6</v>
      </c>
      <c r="F68" s="257">
        <v>0.2</v>
      </c>
      <c r="G68" s="257">
        <v>0.2</v>
      </c>
      <c r="H68" s="257">
        <v>0</v>
      </c>
      <c r="I68" s="49">
        <f t="shared" si="2"/>
        <v>16.3825</v>
      </c>
      <c r="J68" s="1">
        <v>46.04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60"/>
      <c r="D69" s="60"/>
      <c r="E69" s="257"/>
      <c r="F69" s="257"/>
      <c r="G69" s="257"/>
      <c r="H69" s="257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60"/>
      <c r="D70" s="60"/>
      <c r="E70" s="257"/>
      <c r="F70" s="257"/>
      <c r="G70" s="257"/>
      <c r="H70" s="257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60"/>
      <c r="D71" s="60"/>
      <c r="E71" s="257"/>
      <c r="F71" s="257"/>
      <c r="G71" s="257"/>
      <c r="H71" s="257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60"/>
      <c r="D72" s="50"/>
      <c r="E72" s="257"/>
      <c r="F72" s="257"/>
      <c r="G72" s="257"/>
      <c r="H72" s="257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60"/>
      <c r="D73" s="50"/>
      <c r="E73" s="257"/>
      <c r="F73" s="257"/>
      <c r="G73" s="257"/>
      <c r="H73" s="257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60"/>
      <c r="D74" s="50"/>
      <c r="E74" s="257"/>
      <c r="F74" s="257"/>
      <c r="G74" s="257"/>
      <c r="H74" s="257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60"/>
      <c r="D75" s="50"/>
      <c r="E75" s="257"/>
      <c r="F75" s="257"/>
      <c r="G75" s="257"/>
      <c r="H75" s="257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60"/>
      <c r="D76" s="50"/>
      <c r="E76" s="257"/>
      <c r="F76" s="257"/>
      <c r="G76" s="257"/>
      <c r="H76" s="257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6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6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6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6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6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C83" s="23" t="s">
        <v>326</v>
      </c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20</v>
      </c>
      <c r="B84" s="52" t="str">
        <f>IF(B11="","",B11)</f>
        <v>Charme</v>
      </c>
      <c r="D84" s="228" t="s">
        <v>47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5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4" t="s">
        <v>48</v>
      </c>
      <c r="C86" s="263" t="s">
        <v>49</v>
      </c>
      <c r="D86" s="263"/>
      <c r="E86" s="264" t="s">
        <v>50</v>
      </c>
      <c r="F86" s="265"/>
      <c r="G86" s="265"/>
      <c r="H86" s="266"/>
      <c r="I86" s="9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51</v>
      </c>
      <c r="B87" s="36" t="s">
        <v>52</v>
      </c>
      <c r="C87" s="48" t="s">
        <v>53</v>
      </c>
      <c r="D87" s="48" t="s">
        <v>54</v>
      </c>
      <c r="E87" s="36" t="s">
        <v>55</v>
      </c>
      <c r="F87" s="36" t="s">
        <v>56</v>
      </c>
      <c r="G87" s="36" t="s">
        <v>57</v>
      </c>
      <c r="H87" s="36" t="s">
        <v>58</v>
      </c>
      <c r="I87" s="48" t="s">
        <v>59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15</v>
      </c>
      <c r="B88" s="60">
        <v>65</v>
      </c>
      <c r="C88" s="60">
        <v>1</v>
      </c>
      <c r="D88" s="60">
        <v>32</v>
      </c>
      <c r="E88" s="51">
        <v>0</v>
      </c>
      <c r="F88" s="51">
        <v>0.25</v>
      </c>
      <c r="G88" s="51">
        <v>0.25</v>
      </c>
      <c r="H88" s="51">
        <v>0.5</v>
      </c>
      <c r="I88" s="53">
        <f>IFERROR(B88/A88,"")</f>
        <v>4.333333333333333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20</v>
      </c>
      <c r="B89" s="60">
        <f>67+D89</f>
        <v>102</v>
      </c>
      <c r="C89" s="60">
        <v>2</v>
      </c>
      <c r="D89" s="60">
        <v>35</v>
      </c>
      <c r="E89" s="51">
        <v>0</v>
      </c>
      <c r="F89" s="51">
        <v>0.25</v>
      </c>
      <c r="G89" s="51">
        <v>0.25</v>
      </c>
      <c r="H89" s="51">
        <v>0.5</v>
      </c>
      <c r="I89" s="53">
        <f t="shared" ref="I89:I107" si="3">IF(A89&lt;&gt;0,(B89-(B88-D88))/(A89-A88),"")</f>
        <v>13.8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25</v>
      </c>
      <c r="B90" s="60">
        <f>106+D90</f>
        <v>141</v>
      </c>
      <c r="C90" s="60">
        <v>3</v>
      </c>
      <c r="D90" s="60">
        <v>35</v>
      </c>
      <c r="E90" s="51">
        <v>0</v>
      </c>
      <c r="F90" s="51">
        <v>0.25</v>
      </c>
      <c r="G90" s="51">
        <v>0.25</v>
      </c>
      <c r="H90" s="51">
        <v>0.5</v>
      </c>
      <c r="I90" s="53">
        <f t="shared" si="3"/>
        <v>14.8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30</v>
      </c>
      <c r="B91" s="60">
        <f>142+D91</f>
        <v>177</v>
      </c>
      <c r="C91" s="60">
        <v>4</v>
      </c>
      <c r="D91" s="60">
        <v>35</v>
      </c>
      <c r="E91" s="51">
        <v>0.25</v>
      </c>
      <c r="F91" s="51">
        <v>0.25</v>
      </c>
      <c r="G91" s="51">
        <v>0.25</v>
      </c>
      <c r="H91" s="51">
        <v>0.25</v>
      </c>
      <c r="I91" s="53">
        <f t="shared" si="3"/>
        <v>14.2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35</v>
      </c>
      <c r="B92" s="60">
        <f>171+D92</f>
        <v>206</v>
      </c>
      <c r="C92" s="60">
        <v>5</v>
      </c>
      <c r="D92" s="60">
        <v>35</v>
      </c>
      <c r="E92" s="51">
        <v>0.25</v>
      </c>
      <c r="F92" s="51">
        <v>0.25</v>
      </c>
      <c r="G92" s="51">
        <v>0.25</v>
      </c>
      <c r="H92" s="51">
        <v>0.25</v>
      </c>
      <c r="I92" s="53">
        <f t="shared" si="3"/>
        <v>12.8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40</v>
      </c>
      <c r="B93" s="60">
        <f>193+D93</f>
        <v>228</v>
      </c>
      <c r="C93" s="60">
        <v>6</v>
      </c>
      <c r="D93" s="60">
        <v>35</v>
      </c>
      <c r="E93" s="51">
        <v>0.25</v>
      </c>
      <c r="F93" s="51">
        <v>0.25</v>
      </c>
      <c r="G93" s="51">
        <v>0.25</v>
      </c>
      <c r="H93" s="51">
        <v>0.25</v>
      </c>
      <c r="I93" s="53">
        <f t="shared" si="3"/>
        <v>11.4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45</v>
      </c>
      <c r="B94" s="60">
        <f>218+D94</f>
        <v>242</v>
      </c>
      <c r="C94" s="60">
        <v>7</v>
      </c>
      <c r="D94" s="60">
        <v>24</v>
      </c>
      <c r="E94" s="51">
        <v>0.25</v>
      </c>
      <c r="F94" s="51">
        <v>0.25</v>
      </c>
      <c r="G94" s="51">
        <v>0.25</v>
      </c>
      <c r="H94" s="51">
        <v>0.25</v>
      </c>
      <c r="I94" s="53">
        <f t="shared" si="3"/>
        <v>9.8000000000000007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50">
        <v>50</v>
      </c>
      <c r="B95" s="50">
        <v>261</v>
      </c>
      <c r="C95" s="60">
        <v>8</v>
      </c>
      <c r="D95" s="50">
        <v>19</v>
      </c>
      <c r="E95" s="51">
        <v>0.25</v>
      </c>
      <c r="F95" s="51">
        <v>0.25</v>
      </c>
      <c r="G95" s="51">
        <v>0.25</v>
      </c>
      <c r="H95" s="51">
        <v>0.25</v>
      </c>
      <c r="I95" s="53">
        <f t="shared" si="3"/>
        <v>8.6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50">
        <v>55</v>
      </c>
      <c r="B96" s="50">
        <v>279</v>
      </c>
      <c r="C96" s="60">
        <v>9</v>
      </c>
      <c r="D96" s="50">
        <v>16</v>
      </c>
      <c r="E96" s="51">
        <v>0.25</v>
      </c>
      <c r="F96" s="51">
        <v>0.25</v>
      </c>
      <c r="G96" s="51">
        <v>0.25</v>
      </c>
      <c r="H96" s="51">
        <v>0.25</v>
      </c>
      <c r="I96" s="53">
        <f t="shared" si="3"/>
        <v>7.4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50">
        <v>60</v>
      </c>
      <c r="B97" s="50">
        <v>294</v>
      </c>
      <c r="C97" s="60">
        <v>10</v>
      </c>
      <c r="D97" s="50">
        <v>14</v>
      </c>
      <c r="E97" s="51">
        <v>0.25</v>
      </c>
      <c r="F97" s="51">
        <v>0.25</v>
      </c>
      <c r="G97" s="51">
        <v>0.25</v>
      </c>
      <c r="H97" s="51">
        <v>0.25</v>
      </c>
      <c r="I97" s="53">
        <f t="shared" si="3"/>
        <v>6.2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50">
        <v>65</v>
      </c>
      <c r="B98" s="50">
        <v>306</v>
      </c>
      <c r="C98" s="60">
        <v>11</v>
      </c>
      <c r="D98" s="50">
        <v>13</v>
      </c>
      <c r="E98" s="51">
        <v>0.25</v>
      </c>
      <c r="F98" s="51">
        <v>0.25</v>
      </c>
      <c r="G98" s="51">
        <v>0.25</v>
      </c>
      <c r="H98" s="51">
        <v>0.25</v>
      </c>
      <c r="I98" s="53">
        <f t="shared" si="3"/>
        <v>5.2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50">
        <v>70</v>
      </c>
      <c r="B99" s="50">
        <v>316</v>
      </c>
      <c r="C99" s="60">
        <v>12</v>
      </c>
      <c r="D99" s="50">
        <v>13</v>
      </c>
      <c r="E99" s="51">
        <v>0.25</v>
      </c>
      <c r="F99" s="51">
        <v>0.25</v>
      </c>
      <c r="G99" s="51">
        <v>0.25</v>
      </c>
      <c r="H99" s="51">
        <v>0.25</v>
      </c>
      <c r="I99" s="53">
        <f t="shared" si="3"/>
        <v>4.5999999999999996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50">
        <v>75</v>
      </c>
      <c r="B100" s="50">
        <v>324</v>
      </c>
      <c r="C100" s="60">
        <v>13</v>
      </c>
      <c r="D100" s="50">
        <v>12</v>
      </c>
      <c r="E100" s="51">
        <v>0.25</v>
      </c>
      <c r="F100" s="51">
        <v>0.25</v>
      </c>
      <c r="G100" s="51">
        <v>0.25</v>
      </c>
      <c r="H100" s="51">
        <v>0.25</v>
      </c>
      <c r="I100" s="53">
        <f t="shared" si="3"/>
        <v>4.2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50">
        <v>80</v>
      </c>
      <c r="B101" s="50">
        <f>319+11</f>
        <v>330</v>
      </c>
      <c r="C101" s="60">
        <v>14</v>
      </c>
      <c r="D101" s="50">
        <v>330</v>
      </c>
      <c r="E101" s="51">
        <v>0.25</v>
      </c>
      <c r="F101" s="51">
        <v>0.25</v>
      </c>
      <c r="G101" s="51">
        <v>0.25</v>
      </c>
      <c r="H101" s="51">
        <v>0.25</v>
      </c>
      <c r="I101" s="53">
        <f t="shared" si="3"/>
        <v>3.6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C109" s="23" t="s">
        <v>326</v>
      </c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22</v>
      </c>
      <c r="B110" s="52" t="str">
        <f>IF(B12="","",B12)</f>
        <v>Erable champêtre</v>
      </c>
      <c r="D110" s="228" t="s">
        <v>47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5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4" t="s">
        <v>48</v>
      </c>
      <c r="C112" s="263" t="s">
        <v>49</v>
      </c>
      <c r="D112" s="263"/>
      <c r="E112" s="264" t="s">
        <v>50</v>
      </c>
      <c r="F112" s="265"/>
      <c r="G112" s="265"/>
      <c r="H112" s="266"/>
      <c r="I112" s="9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51</v>
      </c>
      <c r="B113" s="36" t="s">
        <v>52</v>
      </c>
      <c r="C113" s="48" t="s">
        <v>53</v>
      </c>
      <c r="D113" s="48" t="s">
        <v>54</v>
      </c>
      <c r="E113" s="36" t="s">
        <v>55</v>
      </c>
      <c r="F113" s="36" t="s">
        <v>56</v>
      </c>
      <c r="G113" s="36" t="s">
        <v>57</v>
      </c>
      <c r="H113" s="36" t="s">
        <v>58</v>
      </c>
      <c r="I113" s="48" t="s">
        <v>59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>
        <v>15</v>
      </c>
      <c r="B114" s="60">
        <v>65</v>
      </c>
      <c r="C114" s="60">
        <v>1</v>
      </c>
      <c r="D114" s="60">
        <v>32</v>
      </c>
      <c r="E114" s="51">
        <v>0</v>
      </c>
      <c r="F114" s="51">
        <v>0.25</v>
      </c>
      <c r="G114" s="51">
        <v>0.25</v>
      </c>
      <c r="H114" s="51">
        <v>0.5</v>
      </c>
      <c r="I114" s="53">
        <f>IFERROR(B114/A114,"")</f>
        <v>4.333333333333333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>
        <v>20</v>
      </c>
      <c r="B115" s="60">
        <f>67+D115</f>
        <v>102</v>
      </c>
      <c r="C115" s="60">
        <v>2</v>
      </c>
      <c r="D115" s="60">
        <v>35</v>
      </c>
      <c r="E115" s="51">
        <v>0</v>
      </c>
      <c r="F115" s="51">
        <v>0.25</v>
      </c>
      <c r="G115" s="51">
        <v>0.25</v>
      </c>
      <c r="H115" s="51">
        <v>0.5</v>
      </c>
      <c r="I115" s="53">
        <f t="shared" ref="I115:I133" si="4">IF(A115&lt;&gt;0,(B115-(B114-D114))/(A115-A114),"")</f>
        <v>13.8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>
        <v>25</v>
      </c>
      <c r="B116" s="60">
        <f>106+D116</f>
        <v>141</v>
      </c>
      <c r="C116" s="60">
        <v>3</v>
      </c>
      <c r="D116" s="60">
        <v>35</v>
      </c>
      <c r="E116" s="51">
        <v>0</v>
      </c>
      <c r="F116" s="51">
        <v>0.25</v>
      </c>
      <c r="G116" s="51">
        <v>0.25</v>
      </c>
      <c r="H116" s="51">
        <v>0.5</v>
      </c>
      <c r="I116" s="53">
        <f t="shared" si="4"/>
        <v>14.8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>
        <v>30</v>
      </c>
      <c r="B117" s="60">
        <f>142+D117</f>
        <v>177</v>
      </c>
      <c r="C117" s="60">
        <v>4</v>
      </c>
      <c r="D117" s="60">
        <v>35</v>
      </c>
      <c r="E117" s="51">
        <v>0.25</v>
      </c>
      <c r="F117" s="51">
        <v>0.25</v>
      </c>
      <c r="G117" s="51">
        <v>0.25</v>
      </c>
      <c r="H117" s="51">
        <v>0.25</v>
      </c>
      <c r="I117" s="53">
        <f t="shared" si="4"/>
        <v>14.2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>
        <v>35</v>
      </c>
      <c r="B118" s="60">
        <f>171+D118</f>
        <v>206</v>
      </c>
      <c r="C118" s="60">
        <v>5</v>
      </c>
      <c r="D118" s="60">
        <v>35</v>
      </c>
      <c r="E118" s="51">
        <v>0.25</v>
      </c>
      <c r="F118" s="51">
        <v>0.25</v>
      </c>
      <c r="G118" s="51">
        <v>0.25</v>
      </c>
      <c r="H118" s="51">
        <v>0.25</v>
      </c>
      <c r="I118" s="53">
        <f t="shared" si="4"/>
        <v>12.8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>
        <v>40</v>
      </c>
      <c r="B119" s="60">
        <f>193+D119</f>
        <v>228</v>
      </c>
      <c r="C119" s="60">
        <v>6</v>
      </c>
      <c r="D119" s="60">
        <v>35</v>
      </c>
      <c r="E119" s="51">
        <v>0.25</v>
      </c>
      <c r="F119" s="51">
        <v>0.25</v>
      </c>
      <c r="G119" s="51">
        <v>0.25</v>
      </c>
      <c r="H119" s="51">
        <v>0.25</v>
      </c>
      <c r="I119" s="53">
        <f t="shared" si="4"/>
        <v>11.4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50">
        <v>45</v>
      </c>
      <c r="B120" s="60">
        <f>218+D120</f>
        <v>242</v>
      </c>
      <c r="C120" s="60">
        <v>7</v>
      </c>
      <c r="D120" s="60">
        <v>24</v>
      </c>
      <c r="E120" s="51">
        <v>0.25</v>
      </c>
      <c r="F120" s="51">
        <v>0.25</v>
      </c>
      <c r="G120" s="51">
        <v>0.25</v>
      </c>
      <c r="H120" s="51">
        <v>0.25</v>
      </c>
      <c r="I120" s="53">
        <f t="shared" si="4"/>
        <v>9.8000000000000007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50">
        <v>50</v>
      </c>
      <c r="B121" s="50">
        <v>261</v>
      </c>
      <c r="C121" s="60">
        <v>8</v>
      </c>
      <c r="D121" s="50">
        <v>19</v>
      </c>
      <c r="E121" s="51">
        <v>0.25</v>
      </c>
      <c r="F121" s="51">
        <v>0.25</v>
      </c>
      <c r="G121" s="51">
        <v>0.25</v>
      </c>
      <c r="H121" s="51">
        <v>0.25</v>
      </c>
      <c r="I121" s="53">
        <f t="shared" si="4"/>
        <v>8.6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50">
        <v>55</v>
      </c>
      <c r="B122" s="50">
        <v>279</v>
      </c>
      <c r="C122" s="60">
        <v>9</v>
      </c>
      <c r="D122" s="50">
        <v>16</v>
      </c>
      <c r="E122" s="51">
        <v>0.25</v>
      </c>
      <c r="F122" s="51">
        <v>0.25</v>
      </c>
      <c r="G122" s="51">
        <v>0.25</v>
      </c>
      <c r="H122" s="51">
        <v>0.25</v>
      </c>
      <c r="I122" s="53">
        <f t="shared" si="4"/>
        <v>7.4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50">
        <v>60</v>
      </c>
      <c r="B123" s="50">
        <v>294</v>
      </c>
      <c r="C123" s="60">
        <v>10</v>
      </c>
      <c r="D123" s="50">
        <v>14</v>
      </c>
      <c r="E123" s="51">
        <v>0.25</v>
      </c>
      <c r="F123" s="51">
        <v>0.25</v>
      </c>
      <c r="G123" s="51">
        <v>0.25</v>
      </c>
      <c r="H123" s="51">
        <v>0.25</v>
      </c>
      <c r="I123" s="53">
        <f t="shared" si="4"/>
        <v>6.2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50">
        <v>65</v>
      </c>
      <c r="B124" s="50">
        <v>306</v>
      </c>
      <c r="C124" s="60">
        <v>11</v>
      </c>
      <c r="D124" s="50">
        <v>13</v>
      </c>
      <c r="E124" s="51">
        <v>0.25</v>
      </c>
      <c r="F124" s="51">
        <v>0.25</v>
      </c>
      <c r="G124" s="51">
        <v>0.25</v>
      </c>
      <c r="H124" s="51">
        <v>0.25</v>
      </c>
      <c r="I124" s="53">
        <f t="shared" si="4"/>
        <v>5.2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50">
        <v>70</v>
      </c>
      <c r="B125" s="50">
        <v>316</v>
      </c>
      <c r="C125" s="60">
        <v>12</v>
      </c>
      <c r="D125" s="50">
        <v>13</v>
      </c>
      <c r="E125" s="51">
        <v>0.25</v>
      </c>
      <c r="F125" s="51">
        <v>0.25</v>
      </c>
      <c r="G125" s="51">
        <v>0.25</v>
      </c>
      <c r="H125" s="51">
        <v>0.25</v>
      </c>
      <c r="I125" s="53">
        <f t="shared" si="4"/>
        <v>4.5999999999999996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50">
        <v>75</v>
      </c>
      <c r="B126" s="50">
        <v>324</v>
      </c>
      <c r="C126" s="60">
        <v>13</v>
      </c>
      <c r="D126" s="50">
        <v>12</v>
      </c>
      <c r="E126" s="51">
        <v>0.25</v>
      </c>
      <c r="F126" s="51">
        <v>0.25</v>
      </c>
      <c r="G126" s="51">
        <v>0.25</v>
      </c>
      <c r="H126" s="51">
        <v>0.25</v>
      </c>
      <c r="I126" s="53">
        <f t="shared" si="4"/>
        <v>4.2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50">
        <v>80</v>
      </c>
      <c r="B127" s="50">
        <v>330</v>
      </c>
      <c r="C127" s="60">
        <v>14</v>
      </c>
      <c r="D127" s="50">
        <v>330</v>
      </c>
      <c r="E127" s="51">
        <v>0.25</v>
      </c>
      <c r="F127" s="51">
        <v>0.25</v>
      </c>
      <c r="G127" s="51">
        <v>0.25</v>
      </c>
      <c r="H127" s="51">
        <v>0.25</v>
      </c>
      <c r="I127" s="53">
        <f t="shared" si="4"/>
        <v>3.6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C135" s="23" t="s">
        <v>327</v>
      </c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24</v>
      </c>
      <c r="B136" s="52" t="str">
        <f>IF(B13="","",B13)</f>
        <v>Douglas</v>
      </c>
      <c r="D136" s="228" t="s">
        <v>47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5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4" t="s">
        <v>48</v>
      </c>
      <c r="C138" s="263" t="s">
        <v>49</v>
      </c>
      <c r="D138" s="263"/>
      <c r="E138" s="264" t="s">
        <v>50</v>
      </c>
      <c r="F138" s="265"/>
      <c r="G138" s="265"/>
      <c r="H138" s="266"/>
      <c r="I138" s="9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51</v>
      </c>
      <c r="B139" s="36" t="s">
        <v>52</v>
      </c>
      <c r="C139" s="48" t="s">
        <v>53</v>
      </c>
      <c r="D139" s="48" t="s">
        <v>54</v>
      </c>
      <c r="E139" s="36" t="s">
        <v>55</v>
      </c>
      <c r="F139" s="36" t="s">
        <v>56</v>
      </c>
      <c r="G139" s="36" t="s">
        <v>57</v>
      </c>
      <c r="H139" s="36" t="s">
        <v>58</v>
      </c>
      <c r="I139" s="48" t="s">
        <v>59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256">
        <v>21</v>
      </c>
      <c r="B140" s="256">
        <v>195.31</v>
      </c>
      <c r="C140" s="256">
        <v>1</v>
      </c>
      <c r="D140" s="256">
        <v>64.599999999999994</v>
      </c>
      <c r="E140" s="257">
        <v>0.25</v>
      </c>
      <c r="F140" s="257">
        <v>0.37</v>
      </c>
      <c r="G140" s="257">
        <v>0.38</v>
      </c>
      <c r="H140" s="257">
        <v>0</v>
      </c>
      <c r="I140" s="57">
        <f>IFERROR(B140/A140,"")</f>
        <v>9.300476190476191</v>
      </c>
      <c r="J140" s="1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256">
        <v>28</v>
      </c>
      <c r="B141" s="256">
        <v>282.01</v>
      </c>
      <c r="C141" s="256">
        <v>2</v>
      </c>
      <c r="D141" s="256">
        <v>67.639999999999986</v>
      </c>
      <c r="E141" s="257">
        <v>0.25</v>
      </c>
      <c r="F141" s="257">
        <v>0.37</v>
      </c>
      <c r="G141" s="257">
        <v>0.38</v>
      </c>
      <c r="H141" s="257">
        <v>0</v>
      </c>
      <c r="I141" s="57">
        <f t="shared" ref="I141:I159" si="5">IF(A141&lt;&gt;0,(B141-(B140-D140))/(A141-A140),"")</f>
        <v>21.61428571428571</v>
      </c>
      <c r="J141" s="1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256">
        <v>35</v>
      </c>
      <c r="B142" s="256">
        <v>377.23</v>
      </c>
      <c r="C142" s="256">
        <v>3</v>
      </c>
      <c r="D142" s="256">
        <v>86.700000000000045</v>
      </c>
      <c r="E142" s="257">
        <v>0.6</v>
      </c>
      <c r="F142" s="257">
        <v>0.2</v>
      </c>
      <c r="G142" s="257">
        <v>0.2</v>
      </c>
      <c r="H142" s="257">
        <v>0</v>
      </c>
      <c r="I142" s="57">
        <f t="shared" si="5"/>
        <v>23.265714285714289</v>
      </c>
      <c r="J142" s="1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256">
        <v>42</v>
      </c>
      <c r="B143" s="256">
        <v>450.49</v>
      </c>
      <c r="C143" s="256">
        <v>4</v>
      </c>
      <c r="D143" s="256">
        <v>100.04000000000002</v>
      </c>
      <c r="E143" s="257">
        <v>0.6</v>
      </c>
      <c r="F143" s="257">
        <v>0.2</v>
      </c>
      <c r="G143" s="257">
        <v>0.2</v>
      </c>
      <c r="H143" s="257">
        <v>0</v>
      </c>
      <c r="I143" s="57">
        <f t="shared" si="5"/>
        <v>22.851428571428578</v>
      </c>
      <c r="J143" s="1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256">
        <v>49</v>
      </c>
      <c r="B144" s="256">
        <v>504.24</v>
      </c>
      <c r="C144" s="256">
        <v>5</v>
      </c>
      <c r="D144" s="256">
        <v>112.69999999999999</v>
      </c>
      <c r="E144" s="257">
        <v>0.6</v>
      </c>
      <c r="F144" s="257">
        <v>0.2</v>
      </c>
      <c r="G144" s="257">
        <v>0.2</v>
      </c>
      <c r="H144" s="257">
        <v>0</v>
      </c>
      <c r="I144" s="57">
        <f t="shared" si="5"/>
        <v>21.970000000000002</v>
      </c>
      <c r="J144" s="1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256">
        <v>56</v>
      </c>
      <c r="B145" s="256">
        <v>534.03</v>
      </c>
      <c r="C145" s="256">
        <v>6</v>
      </c>
      <c r="D145" s="256">
        <v>94.669999999999959</v>
      </c>
      <c r="E145" s="257">
        <v>0.6</v>
      </c>
      <c r="F145" s="257">
        <v>0.2</v>
      </c>
      <c r="G145" s="257">
        <v>0.2</v>
      </c>
      <c r="H145" s="257">
        <v>0</v>
      </c>
      <c r="I145" s="57">
        <f t="shared" si="5"/>
        <v>20.355714285714278</v>
      </c>
      <c r="J145" s="1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256">
        <v>63</v>
      </c>
      <c r="B146" s="256">
        <v>569.67999999999995</v>
      </c>
      <c r="C146" s="256">
        <v>7</v>
      </c>
      <c r="D146" s="256">
        <v>99.599999999999966</v>
      </c>
      <c r="E146" s="257">
        <v>0.6</v>
      </c>
      <c r="F146" s="257">
        <v>0.2</v>
      </c>
      <c r="G146" s="257">
        <v>0.2</v>
      </c>
      <c r="H146" s="257">
        <v>0</v>
      </c>
      <c r="I146" s="57">
        <f t="shared" si="5"/>
        <v>18.617142857142849</v>
      </c>
      <c r="J146" s="1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60">
        <v>70</v>
      </c>
      <c r="B147" s="60">
        <v>586.86</v>
      </c>
      <c r="C147" s="256">
        <v>8</v>
      </c>
      <c r="D147" s="60">
        <v>586.86</v>
      </c>
      <c r="E147" s="257">
        <v>0.6</v>
      </c>
      <c r="F147" s="257">
        <v>0.2</v>
      </c>
      <c r="G147" s="257">
        <v>0.2</v>
      </c>
      <c r="H147" s="257">
        <v>0</v>
      </c>
      <c r="I147" s="57">
        <f>IF(A147&lt;&gt;0,(B147-(B146-D146))/(A147-A146),"")</f>
        <v>16.682857142857149</v>
      </c>
      <c r="J147" s="1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60"/>
      <c r="B148" s="60"/>
      <c r="C148" s="256"/>
      <c r="D148" s="60"/>
      <c r="E148" s="86"/>
      <c r="F148" s="86"/>
      <c r="G148" s="86"/>
      <c r="H148" s="257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C161" s="23" t="s">
        <v>326</v>
      </c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26</v>
      </c>
      <c r="B162" s="52" t="str">
        <f>IF(B14="","",B14)</f>
        <v>Merisier</v>
      </c>
      <c r="D162" s="228" t="s">
        <v>47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5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4" t="s">
        <v>48</v>
      </c>
      <c r="C164" s="263" t="s">
        <v>49</v>
      </c>
      <c r="D164" s="263"/>
      <c r="E164" s="264" t="s">
        <v>50</v>
      </c>
      <c r="F164" s="265"/>
      <c r="G164" s="265"/>
      <c r="H164" s="266"/>
      <c r="I164" s="9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51</v>
      </c>
      <c r="B165" s="36" t="s">
        <v>52</v>
      </c>
      <c r="C165" s="48" t="s">
        <v>53</v>
      </c>
      <c r="D165" s="48" t="s">
        <v>54</v>
      </c>
      <c r="E165" s="36" t="s">
        <v>55</v>
      </c>
      <c r="F165" s="36" t="s">
        <v>56</v>
      </c>
      <c r="G165" s="36" t="s">
        <v>57</v>
      </c>
      <c r="H165" s="36" t="s">
        <v>58</v>
      </c>
      <c r="I165" s="48" t="s">
        <v>59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>
        <v>15</v>
      </c>
      <c r="B166" s="60">
        <v>65</v>
      </c>
      <c r="C166" s="50">
        <v>1</v>
      </c>
      <c r="D166" s="60">
        <v>32</v>
      </c>
      <c r="E166" s="51">
        <v>0</v>
      </c>
      <c r="F166" s="51">
        <v>0.25</v>
      </c>
      <c r="G166" s="51">
        <v>0.25</v>
      </c>
      <c r="H166" s="51">
        <v>0.5</v>
      </c>
      <c r="I166" s="49">
        <f>IFERROR(B166/A166,"")</f>
        <v>4.333333333333333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>
        <v>20</v>
      </c>
      <c r="B167" s="60">
        <f>67+D167</f>
        <v>102</v>
      </c>
      <c r="C167" s="50">
        <v>2</v>
      </c>
      <c r="D167" s="60">
        <v>35</v>
      </c>
      <c r="E167" s="51">
        <v>0</v>
      </c>
      <c r="F167" s="51">
        <v>0.25</v>
      </c>
      <c r="G167" s="51">
        <v>0.25</v>
      </c>
      <c r="H167" s="51">
        <v>0.5</v>
      </c>
      <c r="I167" s="49">
        <f t="shared" ref="I167:I185" si="6">IF(A167&lt;&gt;0,(B167-(B166-D166))/(A167-A166),"")</f>
        <v>13.8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>
        <v>25</v>
      </c>
      <c r="B168" s="60">
        <f>106+D168</f>
        <v>141</v>
      </c>
      <c r="C168" s="50">
        <v>3</v>
      </c>
      <c r="D168" s="60">
        <v>35</v>
      </c>
      <c r="E168" s="51">
        <v>0</v>
      </c>
      <c r="F168" s="51">
        <v>0.25</v>
      </c>
      <c r="G168" s="51">
        <v>0.25</v>
      </c>
      <c r="H168" s="51">
        <v>0.5</v>
      </c>
      <c r="I168" s="49">
        <f t="shared" si="6"/>
        <v>14.8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>
        <v>30</v>
      </c>
      <c r="B169" s="60">
        <f>142+D169</f>
        <v>177</v>
      </c>
      <c r="C169" s="50">
        <v>4</v>
      </c>
      <c r="D169" s="60">
        <v>35</v>
      </c>
      <c r="E169" s="51">
        <v>0.25</v>
      </c>
      <c r="F169" s="51">
        <v>0.25</v>
      </c>
      <c r="G169" s="51">
        <v>0.25</v>
      </c>
      <c r="H169" s="51">
        <v>0.25</v>
      </c>
      <c r="I169" s="49">
        <f t="shared" si="6"/>
        <v>14.2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>
        <v>35</v>
      </c>
      <c r="B170" s="60">
        <f>171+D170</f>
        <v>206</v>
      </c>
      <c r="C170" s="50">
        <v>5</v>
      </c>
      <c r="D170" s="60">
        <v>35</v>
      </c>
      <c r="E170" s="51">
        <v>0.25</v>
      </c>
      <c r="F170" s="51">
        <v>0.25</v>
      </c>
      <c r="G170" s="51">
        <v>0.25</v>
      </c>
      <c r="H170" s="51">
        <v>0.25</v>
      </c>
      <c r="I170" s="49">
        <f t="shared" si="6"/>
        <v>12.8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>
        <v>40</v>
      </c>
      <c r="B171" s="60">
        <f>193+D171</f>
        <v>228</v>
      </c>
      <c r="C171" s="50">
        <v>6</v>
      </c>
      <c r="D171" s="60">
        <v>35</v>
      </c>
      <c r="E171" s="51">
        <v>0.25</v>
      </c>
      <c r="F171" s="51">
        <v>0.25</v>
      </c>
      <c r="G171" s="51">
        <v>0.25</v>
      </c>
      <c r="H171" s="51">
        <v>0.25</v>
      </c>
      <c r="I171" s="49">
        <f t="shared" si="6"/>
        <v>11.4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60">
        <v>45</v>
      </c>
      <c r="B172" s="60">
        <f>218+D172</f>
        <v>242</v>
      </c>
      <c r="C172" s="60">
        <v>7</v>
      </c>
      <c r="D172" s="60">
        <v>24</v>
      </c>
      <c r="E172" s="51">
        <v>0.25</v>
      </c>
      <c r="F172" s="51">
        <v>0.25</v>
      </c>
      <c r="G172" s="51">
        <v>0.25</v>
      </c>
      <c r="H172" s="51">
        <v>0.25</v>
      </c>
      <c r="I172" s="49">
        <f t="shared" si="6"/>
        <v>9.8000000000000007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60">
        <v>50</v>
      </c>
      <c r="B173" s="60">
        <v>261</v>
      </c>
      <c r="C173" s="60">
        <v>8</v>
      </c>
      <c r="D173" s="60">
        <v>19</v>
      </c>
      <c r="E173" s="51">
        <v>0.25</v>
      </c>
      <c r="F173" s="51">
        <v>0.25</v>
      </c>
      <c r="G173" s="51">
        <v>0.25</v>
      </c>
      <c r="H173" s="51">
        <v>0.25</v>
      </c>
      <c r="I173" s="49">
        <f t="shared" si="6"/>
        <v>8.6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60">
        <v>55</v>
      </c>
      <c r="B174" s="60">
        <v>279</v>
      </c>
      <c r="C174" s="60">
        <v>9</v>
      </c>
      <c r="D174" s="60">
        <v>16</v>
      </c>
      <c r="E174" s="51">
        <v>0.25</v>
      </c>
      <c r="F174" s="51">
        <v>0.25</v>
      </c>
      <c r="G174" s="51">
        <v>0.25</v>
      </c>
      <c r="H174" s="51">
        <v>0.25</v>
      </c>
      <c r="I174" s="49">
        <f t="shared" si="6"/>
        <v>7.4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>
        <v>60</v>
      </c>
      <c r="B175" s="50">
        <v>294</v>
      </c>
      <c r="C175" s="50">
        <v>10</v>
      </c>
      <c r="D175" s="50">
        <v>14</v>
      </c>
      <c r="E175" s="51">
        <v>0.25</v>
      </c>
      <c r="F175" s="51">
        <v>0.25</v>
      </c>
      <c r="G175" s="51">
        <v>0.25</v>
      </c>
      <c r="H175" s="51">
        <v>0.25</v>
      </c>
      <c r="I175" s="49">
        <f t="shared" si="6"/>
        <v>6.2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>
        <v>65</v>
      </c>
      <c r="B176" s="50">
        <v>306</v>
      </c>
      <c r="C176" s="50">
        <v>11</v>
      </c>
      <c r="D176" s="50">
        <v>13</v>
      </c>
      <c r="E176" s="51">
        <v>0.25</v>
      </c>
      <c r="F176" s="51">
        <v>0.25</v>
      </c>
      <c r="G176" s="51">
        <v>0.25</v>
      </c>
      <c r="H176" s="51">
        <v>0.25</v>
      </c>
      <c r="I176" s="49">
        <f t="shared" si="6"/>
        <v>5.2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>
        <v>70</v>
      </c>
      <c r="B177" s="50">
        <v>316</v>
      </c>
      <c r="C177" s="50">
        <v>12</v>
      </c>
      <c r="D177" s="50">
        <v>13</v>
      </c>
      <c r="E177" s="51">
        <v>0.25</v>
      </c>
      <c r="F177" s="51">
        <v>0.25</v>
      </c>
      <c r="G177" s="51">
        <v>0.25</v>
      </c>
      <c r="H177" s="51">
        <v>0.25</v>
      </c>
      <c r="I177" s="49">
        <f t="shared" si="6"/>
        <v>4.5999999999999996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>
        <v>75</v>
      </c>
      <c r="B178" s="50">
        <v>324</v>
      </c>
      <c r="C178" s="50">
        <v>13</v>
      </c>
      <c r="D178" s="50">
        <v>12</v>
      </c>
      <c r="E178" s="51">
        <v>0.25</v>
      </c>
      <c r="F178" s="51">
        <v>0.25</v>
      </c>
      <c r="G178" s="51">
        <v>0.25</v>
      </c>
      <c r="H178" s="51">
        <v>0.25</v>
      </c>
      <c r="I178" s="49">
        <f t="shared" si="6"/>
        <v>4.2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>
        <v>80</v>
      </c>
      <c r="B179" s="50">
        <v>330</v>
      </c>
      <c r="C179" s="50">
        <v>14</v>
      </c>
      <c r="D179" s="50">
        <v>330</v>
      </c>
      <c r="E179" s="51">
        <v>0.25</v>
      </c>
      <c r="F179" s="51">
        <v>0.25</v>
      </c>
      <c r="G179" s="51">
        <v>0.25</v>
      </c>
      <c r="H179" s="51">
        <v>0.25</v>
      </c>
      <c r="I179" s="49">
        <f t="shared" si="6"/>
        <v>3.6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C187" s="23" t="s">
        <v>326</v>
      </c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28</v>
      </c>
      <c r="B188" s="52" t="str">
        <f>IF(B15="","",B15)</f>
        <v>Chêne rouge d'Amérique</v>
      </c>
      <c r="D188" s="228" t="s">
        <v>47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5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4" t="s">
        <v>48</v>
      </c>
      <c r="C190" s="263" t="s">
        <v>49</v>
      </c>
      <c r="D190" s="263"/>
      <c r="E190" s="264" t="s">
        <v>50</v>
      </c>
      <c r="F190" s="265"/>
      <c r="G190" s="265"/>
      <c r="H190" s="266"/>
      <c r="I190" s="9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51</v>
      </c>
      <c r="B191" s="36" t="s">
        <v>52</v>
      </c>
      <c r="C191" s="48" t="s">
        <v>53</v>
      </c>
      <c r="D191" s="48" t="s">
        <v>54</v>
      </c>
      <c r="E191" s="36" t="s">
        <v>55</v>
      </c>
      <c r="F191" s="36" t="s">
        <v>56</v>
      </c>
      <c r="G191" s="36" t="s">
        <v>57</v>
      </c>
      <c r="H191" s="36" t="s">
        <v>58</v>
      </c>
      <c r="I191" s="48" t="s">
        <v>59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>
        <v>15</v>
      </c>
      <c r="B192" s="60">
        <v>65</v>
      </c>
      <c r="C192" s="60">
        <v>1</v>
      </c>
      <c r="D192" s="60">
        <v>32</v>
      </c>
      <c r="E192" s="51">
        <v>0</v>
      </c>
      <c r="F192" s="51">
        <v>0.25</v>
      </c>
      <c r="G192" s="51">
        <v>0.25</v>
      </c>
      <c r="H192" s="51">
        <v>0.5</v>
      </c>
      <c r="I192" s="49">
        <f>IFERROR(B192/A192,"")</f>
        <v>4.333333333333333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>
        <v>20</v>
      </c>
      <c r="B193" s="60">
        <f>67+D193</f>
        <v>102</v>
      </c>
      <c r="C193" s="60">
        <v>2</v>
      </c>
      <c r="D193" s="60">
        <v>35</v>
      </c>
      <c r="E193" s="51">
        <v>0</v>
      </c>
      <c r="F193" s="51">
        <v>0.25</v>
      </c>
      <c r="G193" s="51">
        <v>0.25</v>
      </c>
      <c r="H193" s="51">
        <v>0.5</v>
      </c>
      <c r="I193" s="49">
        <f t="shared" ref="I193:I211" si="7">IF(A193&lt;&gt;0,(B193-(B192-D192))/(A193-A192),"")</f>
        <v>13.8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>
        <v>25</v>
      </c>
      <c r="B194" s="60">
        <f>106+D194</f>
        <v>141</v>
      </c>
      <c r="C194" s="60">
        <v>3</v>
      </c>
      <c r="D194" s="60">
        <v>35</v>
      </c>
      <c r="E194" s="51">
        <v>0</v>
      </c>
      <c r="F194" s="51">
        <v>0.25</v>
      </c>
      <c r="G194" s="51">
        <v>0.25</v>
      </c>
      <c r="H194" s="51">
        <v>0.5</v>
      </c>
      <c r="I194" s="49">
        <f t="shared" si="7"/>
        <v>14.8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>
        <v>30</v>
      </c>
      <c r="B195" s="60">
        <f>142+D195</f>
        <v>177</v>
      </c>
      <c r="C195" s="60">
        <v>4</v>
      </c>
      <c r="D195" s="60">
        <v>35</v>
      </c>
      <c r="E195" s="51">
        <v>0.25</v>
      </c>
      <c r="F195" s="51">
        <v>0.25</v>
      </c>
      <c r="G195" s="51">
        <v>0.25</v>
      </c>
      <c r="H195" s="51">
        <v>0.25</v>
      </c>
      <c r="I195" s="49">
        <f t="shared" si="7"/>
        <v>14.2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>
        <v>35</v>
      </c>
      <c r="B196" s="60">
        <f>171+D196</f>
        <v>206</v>
      </c>
      <c r="C196" s="60">
        <v>5</v>
      </c>
      <c r="D196" s="60">
        <v>35</v>
      </c>
      <c r="E196" s="51">
        <v>0.25</v>
      </c>
      <c r="F196" s="51">
        <v>0.25</v>
      </c>
      <c r="G196" s="51">
        <v>0.25</v>
      </c>
      <c r="H196" s="51">
        <v>0.25</v>
      </c>
      <c r="I196" s="49">
        <f t="shared" si="7"/>
        <v>12.8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>
        <v>40</v>
      </c>
      <c r="B197" s="60">
        <f>193+D197</f>
        <v>228</v>
      </c>
      <c r="C197" s="60">
        <v>6</v>
      </c>
      <c r="D197" s="60">
        <v>35</v>
      </c>
      <c r="E197" s="51">
        <v>0.25</v>
      </c>
      <c r="F197" s="51">
        <v>0.25</v>
      </c>
      <c r="G197" s="51">
        <v>0.25</v>
      </c>
      <c r="H197" s="51">
        <v>0.25</v>
      </c>
      <c r="I197" s="49">
        <f t="shared" si="7"/>
        <v>11.4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>
        <v>45</v>
      </c>
      <c r="B198" s="60">
        <f>218+D198</f>
        <v>242</v>
      </c>
      <c r="C198" s="60">
        <v>7</v>
      </c>
      <c r="D198" s="60">
        <v>24</v>
      </c>
      <c r="E198" s="51">
        <v>0.25</v>
      </c>
      <c r="F198" s="51">
        <v>0.25</v>
      </c>
      <c r="G198" s="51">
        <v>0.25</v>
      </c>
      <c r="H198" s="51">
        <v>0.25</v>
      </c>
      <c r="I198" s="49">
        <f t="shared" si="7"/>
        <v>9.8000000000000007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>
        <v>50</v>
      </c>
      <c r="B199" s="60">
        <v>261</v>
      </c>
      <c r="C199" s="60">
        <v>8</v>
      </c>
      <c r="D199" s="60">
        <v>19</v>
      </c>
      <c r="E199" s="51">
        <v>0.25</v>
      </c>
      <c r="F199" s="51">
        <v>0.25</v>
      </c>
      <c r="G199" s="51">
        <v>0.25</v>
      </c>
      <c r="H199" s="51">
        <v>0.25</v>
      </c>
      <c r="I199" s="49">
        <f t="shared" si="7"/>
        <v>8.6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>
        <v>55</v>
      </c>
      <c r="B200" s="60">
        <v>279</v>
      </c>
      <c r="C200" s="60">
        <v>9</v>
      </c>
      <c r="D200" s="60">
        <v>16</v>
      </c>
      <c r="E200" s="51">
        <v>0.25</v>
      </c>
      <c r="F200" s="51">
        <v>0.25</v>
      </c>
      <c r="G200" s="51">
        <v>0.25</v>
      </c>
      <c r="H200" s="51">
        <v>0.25</v>
      </c>
      <c r="I200" s="49">
        <f t="shared" si="7"/>
        <v>7.4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>
        <v>60</v>
      </c>
      <c r="B201" s="60">
        <v>294</v>
      </c>
      <c r="C201" s="60">
        <v>10</v>
      </c>
      <c r="D201" s="60">
        <v>14</v>
      </c>
      <c r="E201" s="51">
        <v>0.25</v>
      </c>
      <c r="F201" s="51">
        <v>0.25</v>
      </c>
      <c r="G201" s="51">
        <v>0.25</v>
      </c>
      <c r="H201" s="51">
        <v>0.25</v>
      </c>
      <c r="I201" s="49">
        <f t="shared" si="7"/>
        <v>6.2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>
        <v>65</v>
      </c>
      <c r="B202" s="60">
        <v>306</v>
      </c>
      <c r="C202" s="60">
        <v>11</v>
      </c>
      <c r="D202" s="60">
        <v>13</v>
      </c>
      <c r="E202" s="51">
        <v>0.25</v>
      </c>
      <c r="F202" s="51">
        <v>0.25</v>
      </c>
      <c r="G202" s="51">
        <v>0.25</v>
      </c>
      <c r="H202" s="51">
        <v>0.25</v>
      </c>
      <c r="I202" s="49">
        <f t="shared" si="7"/>
        <v>5.2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>
        <v>70</v>
      </c>
      <c r="B203" s="60">
        <v>316</v>
      </c>
      <c r="C203" s="60">
        <v>12</v>
      </c>
      <c r="D203" s="60">
        <v>13</v>
      </c>
      <c r="E203" s="51">
        <v>0.25</v>
      </c>
      <c r="F203" s="51">
        <v>0.25</v>
      </c>
      <c r="G203" s="51">
        <v>0.25</v>
      </c>
      <c r="H203" s="51">
        <v>0.25</v>
      </c>
      <c r="I203" s="49">
        <f t="shared" si="7"/>
        <v>4.5999999999999996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>
        <v>75</v>
      </c>
      <c r="B204" s="50">
        <v>324</v>
      </c>
      <c r="C204" s="50">
        <v>13</v>
      </c>
      <c r="D204" s="50">
        <v>12</v>
      </c>
      <c r="E204" s="51">
        <v>0.25</v>
      </c>
      <c r="F204" s="51">
        <v>0.25</v>
      </c>
      <c r="G204" s="51">
        <v>0.25</v>
      </c>
      <c r="H204" s="51">
        <v>0.25</v>
      </c>
      <c r="I204" s="49">
        <f t="shared" si="7"/>
        <v>4.2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>
        <v>80</v>
      </c>
      <c r="B205" s="50">
        <v>330</v>
      </c>
      <c r="C205" s="50">
        <v>14</v>
      </c>
      <c r="D205" s="50">
        <v>330</v>
      </c>
      <c r="E205" s="51">
        <v>0.25</v>
      </c>
      <c r="F205" s="51">
        <v>0.25</v>
      </c>
      <c r="G205" s="51">
        <v>0.25</v>
      </c>
      <c r="H205" s="51">
        <v>0.25</v>
      </c>
      <c r="I205" s="49">
        <f t="shared" si="7"/>
        <v>3.6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C213" s="23" t="s">
        <v>326</v>
      </c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30</v>
      </c>
      <c r="B214" s="52" t="str">
        <f>IF(B16="","",B16)</f>
        <v>Bouleau verruqueux</v>
      </c>
      <c r="D214" s="228" t="s">
        <v>47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5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4" t="s">
        <v>48</v>
      </c>
      <c r="C216" s="263" t="s">
        <v>49</v>
      </c>
      <c r="D216" s="263"/>
      <c r="E216" s="264" t="s">
        <v>50</v>
      </c>
      <c r="F216" s="265"/>
      <c r="G216" s="265"/>
      <c r="H216" s="266"/>
      <c r="I216" s="9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51</v>
      </c>
      <c r="B217" s="36" t="s">
        <v>52</v>
      </c>
      <c r="C217" s="48" t="s">
        <v>53</v>
      </c>
      <c r="D217" s="48" t="s">
        <v>54</v>
      </c>
      <c r="E217" s="36" t="s">
        <v>55</v>
      </c>
      <c r="F217" s="36" t="s">
        <v>56</v>
      </c>
      <c r="G217" s="36" t="s">
        <v>57</v>
      </c>
      <c r="H217" s="36" t="s">
        <v>58</v>
      </c>
      <c r="I217" s="48" t="s">
        <v>59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>
        <v>15</v>
      </c>
      <c r="B218" s="60">
        <v>65</v>
      </c>
      <c r="C218" s="60">
        <v>1</v>
      </c>
      <c r="D218" s="60">
        <v>32</v>
      </c>
      <c r="E218" s="51">
        <v>0</v>
      </c>
      <c r="F218" s="51">
        <v>0.25</v>
      </c>
      <c r="G218" s="51">
        <v>0.25</v>
      </c>
      <c r="H218" s="86">
        <v>0.5</v>
      </c>
      <c r="I218" s="53">
        <f>IFERROR(B218/A218,"")</f>
        <v>4.333333333333333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>
        <v>20</v>
      </c>
      <c r="B219" s="60">
        <f>67+D219</f>
        <v>102</v>
      </c>
      <c r="C219" s="60">
        <v>2</v>
      </c>
      <c r="D219" s="60">
        <v>35</v>
      </c>
      <c r="E219" s="51">
        <v>0</v>
      </c>
      <c r="F219" s="51">
        <v>0.25</v>
      </c>
      <c r="G219" s="51">
        <v>0.25</v>
      </c>
      <c r="H219" s="86">
        <v>0.5</v>
      </c>
      <c r="I219" s="53">
        <f t="shared" ref="I219:I237" si="8">IF(A219&lt;&gt;0,(B219-(B218-D218))/(A219-A218),"")</f>
        <v>13.8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>
        <v>25</v>
      </c>
      <c r="B220" s="60">
        <f>106+D220</f>
        <v>141</v>
      </c>
      <c r="C220" s="60">
        <v>3</v>
      </c>
      <c r="D220" s="60">
        <v>35</v>
      </c>
      <c r="E220" s="86">
        <v>0</v>
      </c>
      <c r="F220" s="51">
        <v>0.25</v>
      </c>
      <c r="G220" s="51">
        <v>0.25</v>
      </c>
      <c r="H220" s="86">
        <v>0.5</v>
      </c>
      <c r="I220" s="53">
        <f t="shared" si="8"/>
        <v>14.8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0">
        <v>30</v>
      </c>
      <c r="B221" s="60">
        <f>142+D221</f>
        <v>177</v>
      </c>
      <c r="C221" s="60">
        <v>4</v>
      </c>
      <c r="D221" s="60">
        <v>35</v>
      </c>
      <c r="E221" s="86">
        <v>0.25</v>
      </c>
      <c r="F221" s="51">
        <v>0.25</v>
      </c>
      <c r="G221" s="51">
        <v>0.25</v>
      </c>
      <c r="H221" s="86">
        <v>0.25</v>
      </c>
      <c r="I221" s="53">
        <f t="shared" si="8"/>
        <v>14.2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0">
        <v>35</v>
      </c>
      <c r="B222" s="60">
        <f>171+D222</f>
        <v>206</v>
      </c>
      <c r="C222" s="60">
        <v>5</v>
      </c>
      <c r="D222" s="60">
        <v>35</v>
      </c>
      <c r="E222" s="86">
        <v>0.25</v>
      </c>
      <c r="F222" s="86">
        <v>0.25</v>
      </c>
      <c r="G222" s="86">
        <v>0.25</v>
      </c>
      <c r="H222" s="86">
        <v>0.25</v>
      </c>
      <c r="I222" s="53">
        <f t="shared" si="8"/>
        <v>12.8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0">
        <v>40</v>
      </c>
      <c r="B223" s="60">
        <f>193+D223</f>
        <v>228</v>
      </c>
      <c r="C223" s="60">
        <v>6</v>
      </c>
      <c r="D223" s="60">
        <v>35</v>
      </c>
      <c r="E223" s="86">
        <v>0.25</v>
      </c>
      <c r="F223" s="86">
        <v>0.25</v>
      </c>
      <c r="G223" s="86">
        <v>0.25</v>
      </c>
      <c r="H223" s="86">
        <v>0.25</v>
      </c>
      <c r="I223" s="53">
        <f t="shared" si="8"/>
        <v>11.4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0">
        <v>45</v>
      </c>
      <c r="B224" s="60">
        <f>218+D224</f>
        <v>242</v>
      </c>
      <c r="C224" s="60">
        <v>7</v>
      </c>
      <c r="D224" s="60">
        <v>24</v>
      </c>
      <c r="E224" s="86">
        <v>0.25</v>
      </c>
      <c r="F224" s="86">
        <v>0.25</v>
      </c>
      <c r="G224" s="86">
        <v>0.25</v>
      </c>
      <c r="H224" s="86">
        <v>0.25</v>
      </c>
      <c r="I224" s="53">
        <f t="shared" si="8"/>
        <v>9.8000000000000007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60">
        <v>50</v>
      </c>
      <c r="B225" s="60">
        <v>261</v>
      </c>
      <c r="C225" s="60">
        <v>8</v>
      </c>
      <c r="D225" s="60">
        <v>19</v>
      </c>
      <c r="E225" s="86">
        <v>0.25</v>
      </c>
      <c r="F225" s="86">
        <v>0.25</v>
      </c>
      <c r="G225" s="86">
        <v>0.25</v>
      </c>
      <c r="H225" s="86">
        <v>0.25</v>
      </c>
      <c r="I225" s="53">
        <f t="shared" si="8"/>
        <v>8.6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60">
        <v>55</v>
      </c>
      <c r="B226" s="60">
        <v>279</v>
      </c>
      <c r="C226" s="60">
        <v>9</v>
      </c>
      <c r="D226" s="60">
        <v>16</v>
      </c>
      <c r="E226" s="86">
        <v>0.25</v>
      </c>
      <c r="F226" s="86">
        <v>0.25</v>
      </c>
      <c r="G226" s="86">
        <v>0.25</v>
      </c>
      <c r="H226" s="86">
        <v>0.25</v>
      </c>
      <c r="I226" s="53">
        <f t="shared" si="8"/>
        <v>7.4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0">
        <v>60</v>
      </c>
      <c r="B227" s="60">
        <v>294</v>
      </c>
      <c r="C227" s="60">
        <v>10</v>
      </c>
      <c r="D227" s="60">
        <v>14</v>
      </c>
      <c r="E227" s="51">
        <v>0.25</v>
      </c>
      <c r="F227" s="51">
        <v>0.25</v>
      </c>
      <c r="G227" s="51">
        <v>0.25</v>
      </c>
      <c r="H227" s="51">
        <v>0.25</v>
      </c>
      <c r="I227" s="53">
        <f t="shared" si="8"/>
        <v>6.2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0">
        <v>65</v>
      </c>
      <c r="B228" s="60">
        <v>306</v>
      </c>
      <c r="C228" s="60">
        <v>11</v>
      </c>
      <c r="D228" s="60">
        <v>13</v>
      </c>
      <c r="E228" s="51">
        <v>0.25</v>
      </c>
      <c r="F228" s="51">
        <v>0.25</v>
      </c>
      <c r="G228" s="51">
        <v>0.25</v>
      </c>
      <c r="H228" s="51">
        <v>0.25</v>
      </c>
      <c r="I228" s="53">
        <f t="shared" si="8"/>
        <v>5.2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0">
        <v>70</v>
      </c>
      <c r="B229" s="60">
        <v>316</v>
      </c>
      <c r="C229" s="60">
        <v>12</v>
      </c>
      <c r="D229" s="60">
        <v>13</v>
      </c>
      <c r="E229" s="51">
        <v>0.25</v>
      </c>
      <c r="F229" s="51">
        <v>0.25</v>
      </c>
      <c r="G229" s="51">
        <v>0.25</v>
      </c>
      <c r="H229" s="51">
        <v>0.25</v>
      </c>
      <c r="I229" s="53">
        <f t="shared" si="8"/>
        <v>4.5999999999999996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>
        <v>75</v>
      </c>
      <c r="B230" s="55">
        <v>324</v>
      </c>
      <c r="C230" s="55">
        <v>13</v>
      </c>
      <c r="D230" s="55">
        <v>12</v>
      </c>
      <c r="E230" s="64">
        <v>0.25</v>
      </c>
      <c r="F230" s="64">
        <v>0.25</v>
      </c>
      <c r="G230" s="64">
        <v>0.25</v>
      </c>
      <c r="H230" s="64">
        <v>0.25</v>
      </c>
      <c r="I230" s="53">
        <f t="shared" si="8"/>
        <v>4.2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7">
        <v>80</v>
      </c>
      <c r="B231" s="60">
        <v>330</v>
      </c>
      <c r="C231" s="87">
        <v>14</v>
      </c>
      <c r="D231" s="60">
        <v>330</v>
      </c>
      <c r="E231" s="54">
        <v>0.25</v>
      </c>
      <c r="F231" s="54">
        <v>0.25</v>
      </c>
      <c r="G231" s="54">
        <v>0.25</v>
      </c>
      <c r="H231" s="54">
        <v>0.25</v>
      </c>
      <c r="I231" s="53">
        <f t="shared" si="8"/>
        <v>3.6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31</v>
      </c>
      <c r="B240" s="52" t="str">
        <f>IF(B17="","",B17)</f>
        <v/>
      </c>
      <c r="D240" s="228" t="s">
        <v>47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5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4" t="s">
        <v>48</v>
      </c>
      <c r="C242" s="263" t="s">
        <v>49</v>
      </c>
      <c r="D242" s="263"/>
      <c r="E242" s="264" t="s">
        <v>50</v>
      </c>
      <c r="F242" s="265"/>
      <c r="G242" s="265"/>
      <c r="H242" s="266"/>
      <c r="I242" s="9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51</v>
      </c>
      <c r="B243" s="36" t="s">
        <v>52</v>
      </c>
      <c r="C243" s="48" t="s">
        <v>53</v>
      </c>
      <c r="D243" s="48" t="s">
        <v>54</v>
      </c>
      <c r="E243" s="36" t="s">
        <v>55</v>
      </c>
      <c r="F243" s="36" t="s">
        <v>56</v>
      </c>
      <c r="G243" s="36" t="s">
        <v>57</v>
      </c>
      <c r="H243" s="36" t="s">
        <v>58</v>
      </c>
      <c r="I243" s="48" t="s">
        <v>59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50"/>
      <c r="D244" s="60"/>
      <c r="E244" s="51"/>
      <c r="F244" s="51"/>
      <c r="G244" s="51"/>
      <c r="H244" s="51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50"/>
      <c r="D245" s="60"/>
      <c r="E245" s="51"/>
      <c r="F245" s="51"/>
      <c r="G245" s="51"/>
      <c r="H245" s="51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50"/>
      <c r="D246" s="60"/>
      <c r="E246" s="51"/>
      <c r="F246" s="51"/>
      <c r="G246" s="51"/>
      <c r="H246" s="51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50"/>
      <c r="D247" s="60"/>
      <c r="E247" s="51"/>
      <c r="F247" s="51"/>
      <c r="G247" s="51"/>
      <c r="H247" s="51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50"/>
      <c r="D248" s="60"/>
      <c r="E248" s="51"/>
      <c r="F248" s="51"/>
      <c r="G248" s="51"/>
      <c r="H248" s="51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50"/>
      <c r="D249" s="60"/>
      <c r="E249" s="51"/>
      <c r="F249" s="51"/>
      <c r="G249" s="51"/>
      <c r="H249" s="51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60"/>
      <c r="B250" s="60"/>
      <c r="C250" s="60"/>
      <c r="D250" s="60"/>
      <c r="E250" s="51"/>
      <c r="F250" s="51"/>
      <c r="G250" s="51"/>
      <c r="H250" s="51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60"/>
      <c r="B251" s="60"/>
      <c r="C251" s="60"/>
      <c r="D251" s="60"/>
      <c r="E251" s="51"/>
      <c r="F251" s="51"/>
      <c r="G251" s="51"/>
      <c r="H251" s="51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60"/>
      <c r="B252" s="60"/>
      <c r="C252" s="60"/>
      <c r="D252" s="60"/>
      <c r="E252" s="51"/>
      <c r="F252" s="51"/>
      <c r="G252" s="51"/>
      <c r="H252" s="51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0"/>
      <c r="B253" s="50"/>
      <c r="C253" s="60"/>
      <c r="D253" s="50"/>
      <c r="E253" s="51"/>
      <c r="F253" s="51"/>
      <c r="G253" s="51"/>
      <c r="H253" s="51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0"/>
      <c r="B254" s="50"/>
      <c r="C254" s="60"/>
      <c r="D254" s="50"/>
      <c r="E254" s="51"/>
      <c r="F254" s="51"/>
      <c r="G254" s="51"/>
      <c r="H254" s="51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0"/>
      <c r="B255" s="50"/>
      <c r="C255" s="60"/>
      <c r="D255" s="50"/>
      <c r="E255" s="51"/>
      <c r="F255" s="51"/>
      <c r="G255" s="51"/>
      <c r="H255" s="51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0"/>
      <c r="B256" s="50"/>
      <c r="C256" s="60"/>
      <c r="D256" s="50"/>
      <c r="E256" s="51"/>
      <c r="F256" s="51"/>
      <c r="G256" s="51"/>
      <c r="H256" s="51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50"/>
      <c r="B257" s="50"/>
      <c r="C257" s="60"/>
      <c r="D257" s="50"/>
      <c r="E257" s="51"/>
      <c r="F257" s="51"/>
      <c r="G257" s="51"/>
      <c r="H257" s="51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32</v>
      </c>
      <c r="B266" s="52" t="str">
        <f>IF(B18="","",B18)</f>
        <v/>
      </c>
      <c r="D266" s="228" t="s">
        <v>47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5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4" t="s">
        <v>48</v>
      </c>
      <c r="C268" s="263" t="s">
        <v>49</v>
      </c>
      <c r="D268" s="263"/>
      <c r="E268" s="264" t="s">
        <v>50</v>
      </c>
      <c r="F268" s="265"/>
      <c r="G268" s="265"/>
      <c r="H268" s="266"/>
      <c r="I268" s="9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51</v>
      </c>
      <c r="B269" s="36" t="s">
        <v>52</v>
      </c>
      <c r="C269" s="48" t="s">
        <v>53</v>
      </c>
      <c r="D269" s="48" t="s">
        <v>54</v>
      </c>
      <c r="E269" s="36" t="s">
        <v>55</v>
      </c>
      <c r="F269" s="36" t="s">
        <v>56</v>
      </c>
      <c r="G269" s="36" t="s">
        <v>57</v>
      </c>
      <c r="H269" s="36" t="s">
        <v>58</v>
      </c>
      <c r="I269" s="48" t="s">
        <v>59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7"/>
      <c r="B283" s="60"/>
      <c r="C283" s="87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80" zoomScaleNormal="80" workbookViewId="0">
      <selection activeCell="G19" sqref="G19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6"/>
      <c r="K1" s="9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7" t="s">
        <v>60</v>
      </c>
      <c r="C2" s="278"/>
      <c r="D2" s="278"/>
      <c r="E2" s="278"/>
      <c r="F2" s="278"/>
      <c r="G2" s="279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6"/>
      <c r="C4" s="276"/>
      <c r="D4" s="276"/>
      <c r="E4" s="276"/>
      <c r="F4" s="276"/>
      <c r="G4" s="276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7" t="s">
        <v>61</v>
      </c>
      <c r="C5" s="97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8"/>
      <c r="B7" s="26" t="s">
        <v>62</v>
      </c>
      <c r="C7" s="99" t="s">
        <v>63</v>
      </c>
      <c r="D7" s="214"/>
      <c r="E7" s="100"/>
      <c r="F7" s="26" t="s">
        <v>62</v>
      </c>
      <c r="G7" s="99" t="s">
        <v>64</v>
      </c>
      <c r="H7" s="215"/>
      <c r="I7" s="215"/>
      <c r="J7" s="215"/>
      <c r="K7" s="215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</row>
    <row r="8" spans="1:38" ht="17.25" customHeight="1" x14ac:dyDescent="0.35">
      <c r="A8" s="104">
        <v>1</v>
      </c>
      <c r="B8" s="61">
        <v>1</v>
      </c>
      <c r="C8" s="49" t="s">
        <v>65</v>
      </c>
      <c r="D8" s="23"/>
      <c r="E8" s="104">
        <v>4</v>
      </c>
      <c r="F8" s="61">
        <v>0</v>
      </c>
      <c r="G8" s="101" t="s">
        <v>66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4">
        <v>2</v>
      </c>
      <c r="B9" s="61">
        <v>0</v>
      </c>
      <c r="C9" s="107" t="s">
        <v>67</v>
      </c>
      <c r="D9" s="23"/>
      <c r="E9" s="104">
        <v>5</v>
      </c>
      <c r="F9" s="61">
        <v>0</v>
      </c>
      <c r="G9" s="102" t="s">
        <v>68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4">
        <v>3</v>
      </c>
      <c r="B10" s="61">
        <v>0</v>
      </c>
      <c r="C10" s="108" t="s">
        <v>69</v>
      </c>
      <c r="D10" s="23"/>
      <c r="E10" s="4"/>
      <c r="F10" s="105">
        <f>SUM(F7:F9)</f>
        <v>0</v>
      </c>
      <c r="G10" s="103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5">
        <v>0</v>
      </c>
      <c r="C11" s="103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5"/>
      <c r="B13" s="106"/>
      <c r="C13" s="97" t="s">
        <v>70</v>
      </c>
      <c r="D13" s="215"/>
      <c r="E13" s="98"/>
      <c r="F13" s="106"/>
      <c r="G13" s="97" t="s">
        <v>71</v>
      </c>
      <c r="H13" s="215"/>
      <c r="I13" s="215"/>
      <c r="J13" s="215"/>
      <c r="K13" s="215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</row>
    <row r="14" spans="1:38" s="3" customFormat="1" ht="21" customHeight="1" x14ac:dyDescent="0.35">
      <c r="A14" s="215"/>
      <c r="B14" s="106"/>
      <c r="C14" s="97" t="s">
        <v>72</v>
      </c>
      <c r="D14" s="215"/>
      <c r="E14" s="98"/>
      <c r="F14" s="106"/>
      <c r="G14" s="97" t="s">
        <v>73</v>
      </c>
      <c r="H14" s="215"/>
      <c r="I14" s="215"/>
      <c r="J14" s="215"/>
      <c r="K14" s="215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</row>
    <row r="15" spans="1:38" x14ac:dyDescent="0.35">
      <c r="A15" s="23"/>
      <c r="B15" s="26" t="s">
        <v>62</v>
      </c>
      <c r="C15" s="4"/>
      <c r="D15" s="23"/>
      <c r="E15" s="4"/>
      <c r="F15" s="4"/>
      <c r="G15" s="2" t="s">
        <v>74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09" t="s">
        <v>75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1</v>
      </c>
      <c r="C17" s="109" t="s">
        <v>76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9" t="s">
        <v>77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5">
        <f>SUM(B16:B18)</f>
        <v>1</v>
      </c>
      <c r="C19" s="103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3" t="s">
        <v>78</v>
      </c>
      <c r="C1" s="284"/>
      <c r="D1" s="284"/>
      <c r="E1" s="284"/>
      <c r="F1" s="284"/>
      <c r="G1" s="284"/>
      <c r="H1" s="285"/>
      <c r="I1" s="280" t="str">
        <f>IF('Données projet'!$B$9="","",'Données projet'!$B$9)</f>
        <v>Chêne sessile</v>
      </c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281"/>
      <c r="AB1" s="281"/>
      <c r="AC1" s="282"/>
      <c r="AD1" s="281" t="str">
        <f>IF('Données projet'!$B$10="","",'Données projet'!$B$10)</f>
        <v>Pin maritime</v>
      </c>
      <c r="AE1" s="281"/>
      <c r="AF1" s="281"/>
      <c r="AG1" s="281"/>
      <c r="AH1" s="281"/>
      <c r="AI1" s="281"/>
      <c r="AJ1" s="281"/>
      <c r="AK1" s="281"/>
      <c r="AL1" s="281"/>
      <c r="AM1" s="281"/>
      <c r="AN1" s="281"/>
      <c r="AO1" s="281"/>
      <c r="AP1" s="281"/>
      <c r="AQ1" s="281"/>
      <c r="AR1" s="281"/>
      <c r="AS1" s="281"/>
      <c r="AT1" s="281"/>
      <c r="AU1" s="281"/>
      <c r="AV1" s="281"/>
      <c r="AW1" s="281"/>
      <c r="AX1" s="282"/>
      <c r="AY1" s="280" t="str">
        <f>IF('Données projet'!$B$11="","",'Données projet'!$B$11)</f>
        <v>Charme</v>
      </c>
      <c r="AZ1" s="281"/>
      <c r="BA1" s="281"/>
      <c r="BB1" s="281"/>
      <c r="BC1" s="281"/>
      <c r="BD1" s="281"/>
      <c r="BE1" s="281"/>
      <c r="BF1" s="281"/>
      <c r="BG1" s="281"/>
      <c r="BH1" s="281"/>
      <c r="BI1" s="281"/>
      <c r="BJ1" s="281"/>
      <c r="BK1" s="281"/>
      <c r="BL1" s="281"/>
      <c r="BM1" s="281"/>
      <c r="BN1" s="281"/>
      <c r="BO1" s="281"/>
      <c r="BP1" s="281"/>
      <c r="BQ1" s="281"/>
      <c r="BR1" s="281"/>
      <c r="BS1" s="282"/>
      <c r="BT1" s="280" t="str">
        <f>IF('Données projet'!$B$12="","",'Données projet'!$B$12)</f>
        <v>Erable champêtre</v>
      </c>
      <c r="BU1" s="281"/>
      <c r="BV1" s="281"/>
      <c r="BW1" s="281"/>
      <c r="BX1" s="281"/>
      <c r="BY1" s="281"/>
      <c r="BZ1" s="281"/>
      <c r="CA1" s="281"/>
      <c r="CB1" s="281"/>
      <c r="CC1" s="281"/>
      <c r="CD1" s="281"/>
      <c r="CE1" s="281"/>
      <c r="CF1" s="281"/>
      <c r="CG1" s="281"/>
      <c r="CH1" s="281"/>
      <c r="CI1" s="281"/>
      <c r="CJ1" s="281"/>
      <c r="CK1" s="281"/>
      <c r="CL1" s="281"/>
      <c r="CM1" s="281"/>
      <c r="CN1" s="282"/>
      <c r="CO1" s="280" t="str">
        <f>IF('Données projet'!$B$13="","",'Données projet'!$B$13)</f>
        <v>Douglas</v>
      </c>
      <c r="CP1" s="281"/>
      <c r="CQ1" s="281"/>
      <c r="CR1" s="281"/>
      <c r="CS1" s="281"/>
      <c r="CT1" s="281"/>
      <c r="CU1" s="281"/>
      <c r="CV1" s="281"/>
      <c r="CW1" s="281"/>
      <c r="CX1" s="281"/>
      <c r="CY1" s="281"/>
      <c r="CZ1" s="281"/>
      <c r="DA1" s="281"/>
      <c r="DB1" s="281"/>
      <c r="DC1" s="281"/>
      <c r="DD1" s="281"/>
      <c r="DE1" s="281"/>
      <c r="DF1" s="281"/>
      <c r="DG1" s="281"/>
      <c r="DH1" s="281"/>
      <c r="DI1" s="282"/>
      <c r="DJ1" s="280" t="str">
        <f>IF('Données projet'!$B$14="","",'Données projet'!$B$14)</f>
        <v>Merisier</v>
      </c>
      <c r="DK1" s="281"/>
      <c r="DL1" s="281"/>
      <c r="DM1" s="281"/>
      <c r="DN1" s="281"/>
      <c r="DO1" s="281"/>
      <c r="DP1" s="281"/>
      <c r="DQ1" s="281"/>
      <c r="DR1" s="281"/>
      <c r="DS1" s="281"/>
      <c r="DT1" s="281"/>
      <c r="DU1" s="281"/>
      <c r="DV1" s="281"/>
      <c r="DW1" s="281"/>
      <c r="DX1" s="281"/>
      <c r="DY1" s="281"/>
      <c r="DZ1" s="281"/>
      <c r="EA1" s="281"/>
      <c r="EB1" s="281"/>
      <c r="EC1" s="281"/>
      <c r="ED1" s="282"/>
      <c r="EE1" s="280" t="str">
        <f>IF('Données projet'!$B$15="","",'Données projet'!$B$15)</f>
        <v>Chêne rouge d'Amérique</v>
      </c>
      <c r="EF1" s="281"/>
      <c r="EG1" s="281"/>
      <c r="EH1" s="281"/>
      <c r="EI1" s="281"/>
      <c r="EJ1" s="281"/>
      <c r="EK1" s="281"/>
      <c r="EL1" s="281"/>
      <c r="EM1" s="281"/>
      <c r="EN1" s="281"/>
      <c r="EO1" s="281"/>
      <c r="EP1" s="281"/>
      <c r="EQ1" s="281"/>
      <c r="ER1" s="281"/>
      <c r="ES1" s="281"/>
      <c r="ET1" s="281"/>
      <c r="EU1" s="281"/>
      <c r="EV1" s="281"/>
      <c r="EW1" s="281"/>
      <c r="EX1" s="281"/>
      <c r="EY1" s="282"/>
      <c r="EZ1" s="280" t="str">
        <f>IF('Données projet'!$B$16="","",'Données projet'!$B$16)</f>
        <v>Bouleau verruqueux</v>
      </c>
      <c r="FA1" s="281"/>
      <c r="FB1" s="281"/>
      <c r="FC1" s="281"/>
      <c r="FD1" s="281"/>
      <c r="FE1" s="281"/>
      <c r="FF1" s="281"/>
      <c r="FG1" s="281"/>
      <c r="FH1" s="281"/>
      <c r="FI1" s="281"/>
      <c r="FJ1" s="281"/>
      <c r="FK1" s="281"/>
      <c r="FL1" s="281"/>
      <c r="FM1" s="281"/>
      <c r="FN1" s="281"/>
      <c r="FO1" s="281"/>
      <c r="FP1" s="281"/>
      <c r="FQ1" s="281"/>
      <c r="FR1" s="281"/>
      <c r="FS1" s="281"/>
      <c r="FT1" s="282"/>
      <c r="FU1" s="280" t="str">
        <f>IF('Données projet'!$B$17="","",'Données projet'!$B$17)</f>
        <v/>
      </c>
      <c r="FV1" s="281"/>
      <c r="FW1" s="281"/>
      <c r="FX1" s="281"/>
      <c r="FY1" s="281"/>
      <c r="FZ1" s="281"/>
      <c r="GA1" s="281"/>
      <c r="GB1" s="281"/>
      <c r="GC1" s="281"/>
      <c r="GD1" s="281"/>
      <c r="GE1" s="281"/>
      <c r="GF1" s="281"/>
      <c r="GG1" s="281"/>
      <c r="GH1" s="281"/>
      <c r="GI1" s="281"/>
      <c r="GJ1" s="281"/>
      <c r="GK1" s="281"/>
      <c r="GL1" s="281"/>
      <c r="GM1" s="281"/>
      <c r="GN1" s="281"/>
      <c r="GO1" s="282"/>
      <c r="GP1" s="280" t="str">
        <f>IF('Données projet'!$B$18="","",'Données projet'!$B$18)</f>
        <v/>
      </c>
      <c r="GQ1" s="281"/>
      <c r="GR1" s="281"/>
      <c r="GS1" s="281"/>
      <c r="GT1" s="281"/>
      <c r="GU1" s="281"/>
      <c r="GV1" s="281"/>
      <c r="GW1" s="281"/>
      <c r="GX1" s="281"/>
      <c r="GY1" s="281"/>
      <c r="GZ1" s="281"/>
      <c r="HA1" s="281"/>
      <c r="HB1" s="281"/>
      <c r="HC1" s="281"/>
      <c r="HD1" s="281"/>
      <c r="HE1" s="281"/>
      <c r="HF1" s="281"/>
      <c r="HG1" s="281"/>
      <c r="HH1" s="281"/>
      <c r="HI1" s="281"/>
      <c r="HJ1" s="282"/>
    </row>
    <row r="2" spans="1:218" ht="58.5" thickBot="1" x14ac:dyDescent="0.4">
      <c r="A2" s="70" t="s">
        <v>79</v>
      </c>
      <c r="B2" s="71" t="s">
        <v>80</v>
      </c>
      <c r="C2" s="5" t="s">
        <v>81</v>
      </c>
      <c r="D2" s="5" t="s">
        <v>82</v>
      </c>
      <c r="E2" s="5" t="s">
        <v>83</v>
      </c>
      <c r="F2" s="5" t="s">
        <v>84</v>
      </c>
      <c r="G2" s="5" t="s">
        <v>85</v>
      </c>
      <c r="H2" s="65" t="s">
        <v>86</v>
      </c>
      <c r="I2" s="67" t="s">
        <v>83</v>
      </c>
      <c r="J2" s="68" t="s">
        <v>84</v>
      </c>
      <c r="K2" s="6" t="s">
        <v>87</v>
      </c>
      <c r="L2" s="6" t="s">
        <v>88</v>
      </c>
      <c r="M2" s="6" t="s">
        <v>88</v>
      </c>
      <c r="N2" s="6" t="s">
        <v>89</v>
      </c>
      <c r="O2" s="6" t="s">
        <v>90</v>
      </c>
      <c r="P2" s="6" t="s">
        <v>91</v>
      </c>
      <c r="Q2" s="6" t="s">
        <v>85</v>
      </c>
      <c r="R2" s="6" t="s">
        <v>92</v>
      </c>
      <c r="S2" s="6" t="s">
        <v>93</v>
      </c>
      <c r="T2" s="6" t="s">
        <v>94</v>
      </c>
      <c r="U2" s="7" t="s">
        <v>95</v>
      </c>
      <c r="V2" s="8" t="s">
        <v>96</v>
      </c>
      <c r="W2" s="7" t="s">
        <v>55</v>
      </c>
      <c r="X2" s="7" t="s">
        <v>56</v>
      </c>
      <c r="Y2" s="7" t="s">
        <v>97</v>
      </c>
      <c r="Z2" s="8" t="s">
        <v>98</v>
      </c>
      <c r="AA2" s="8" t="s">
        <v>99</v>
      </c>
      <c r="AB2" s="8" t="s">
        <v>100</v>
      </c>
      <c r="AC2" s="9" t="s">
        <v>101</v>
      </c>
      <c r="AD2" s="68" t="s">
        <v>83</v>
      </c>
      <c r="AE2" s="68" t="s">
        <v>84</v>
      </c>
      <c r="AF2" s="6" t="s">
        <v>87</v>
      </c>
      <c r="AG2" s="6" t="s">
        <v>88</v>
      </c>
      <c r="AH2" s="6" t="s">
        <v>88</v>
      </c>
      <c r="AI2" s="6" t="s">
        <v>89</v>
      </c>
      <c r="AJ2" s="6" t="s">
        <v>90</v>
      </c>
      <c r="AK2" s="6" t="s">
        <v>91</v>
      </c>
      <c r="AL2" s="6" t="s">
        <v>85</v>
      </c>
      <c r="AM2" s="6" t="s">
        <v>92</v>
      </c>
      <c r="AN2" s="6" t="s">
        <v>93</v>
      </c>
      <c r="AO2" s="6" t="s">
        <v>94</v>
      </c>
      <c r="AP2" s="7" t="s">
        <v>95</v>
      </c>
      <c r="AQ2" s="8" t="s">
        <v>96</v>
      </c>
      <c r="AR2" s="7" t="s">
        <v>55</v>
      </c>
      <c r="AS2" s="7" t="s">
        <v>56</v>
      </c>
      <c r="AT2" s="8" t="s">
        <v>102</v>
      </c>
      <c r="AU2" s="8" t="s">
        <v>98</v>
      </c>
      <c r="AV2" s="8" t="s">
        <v>99</v>
      </c>
      <c r="AW2" s="8" t="s">
        <v>100</v>
      </c>
      <c r="AX2" s="8" t="s">
        <v>101</v>
      </c>
      <c r="AY2" s="67" t="s">
        <v>83</v>
      </c>
      <c r="AZ2" s="68" t="s">
        <v>84</v>
      </c>
      <c r="BA2" s="6" t="s">
        <v>87</v>
      </c>
      <c r="BB2" s="6" t="s">
        <v>88</v>
      </c>
      <c r="BC2" s="6" t="s">
        <v>88</v>
      </c>
      <c r="BD2" s="6" t="s">
        <v>89</v>
      </c>
      <c r="BE2" s="6" t="s">
        <v>90</v>
      </c>
      <c r="BF2" s="6" t="s">
        <v>91</v>
      </c>
      <c r="BG2" s="6" t="s">
        <v>85</v>
      </c>
      <c r="BH2" s="6" t="s">
        <v>92</v>
      </c>
      <c r="BI2" s="6" t="s">
        <v>93</v>
      </c>
      <c r="BJ2" s="6" t="s">
        <v>94</v>
      </c>
      <c r="BK2" s="7" t="s">
        <v>95</v>
      </c>
      <c r="BL2" s="8" t="s">
        <v>96</v>
      </c>
      <c r="BM2" s="7" t="s">
        <v>55</v>
      </c>
      <c r="BN2" s="7" t="s">
        <v>56</v>
      </c>
      <c r="BO2" s="8" t="s">
        <v>102</v>
      </c>
      <c r="BP2" s="8" t="s">
        <v>98</v>
      </c>
      <c r="BQ2" s="8" t="s">
        <v>99</v>
      </c>
      <c r="BR2" s="8" t="s">
        <v>100</v>
      </c>
      <c r="BS2" s="9" t="s">
        <v>101</v>
      </c>
      <c r="BT2" s="67" t="s">
        <v>83</v>
      </c>
      <c r="BU2" s="68" t="s">
        <v>84</v>
      </c>
      <c r="BV2" s="6" t="s">
        <v>87</v>
      </c>
      <c r="BW2" s="6" t="s">
        <v>88</v>
      </c>
      <c r="BX2" s="6" t="s">
        <v>88</v>
      </c>
      <c r="BY2" s="6" t="s">
        <v>89</v>
      </c>
      <c r="BZ2" s="6" t="s">
        <v>90</v>
      </c>
      <c r="CA2" s="6" t="s">
        <v>91</v>
      </c>
      <c r="CB2" s="6" t="s">
        <v>85</v>
      </c>
      <c r="CC2" s="6" t="s">
        <v>92</v>
      </c>
      <c r="CD2" s="6" t="s">
        <v>93</v>
      </c>
      <c r="CE2" s="6" t="s">
        <v>94</v>
      </c>
      <c r="CF2" s="7" t="s">
        <v>95</v>
      </c>
      <c r="CG2" s="8" t="s">
        <v>96</v>
      </c>
      <c r="CH2" s="7" t="s">
        <v>55</v>
      </c>
      <c r="CI2" s="7" t="s">
        <v>56</v>
      </c>
      <c r="CJ2" s="8" t="s">
        <v>102</v>
      </c>
      <c r="CK2" s="8" t="s">
        <v>98</v>
      </c>
      <c r="CL2" s="8" t="s">
        <v>99</v>
      </c>
      <c r="CM2" s="8" t="s">
        <v>100</v>
      </c>
      <c r="CN2" s="9" t="s">
        <v>101</v>
      </c>
      <c r="CO2" s="67" t="s">
        <v>83</v>
      </c>
      <c r="CP2" s="68" t="s">
        <v>84</v>
      </c>
      <c r="CQ2" s="6" t="s">
        <v>87</v>
      </c>
      <c r="CR2" s="6" t="s">
        <v>88</v>
      </c>
      <c r="CS2" s="6" t="s">
        <v>88</v>
      </c>
      <c r="CT2" s="6" t="s">
        <v>89</v>
      </c>
      <c r="CU2" s="6" t="s">
        <v>90</v>
      </c>
      <c r="CV2" s="6" t="s">
        <v>91</v>
      </c>
      <c r="CW2" s="6" t="s">
        <v>85</v>
      </c>
      <c r="CX2" s="6" t="s">
        <v>92</v>
      </c>
      <c r="CY2" s="6" t="s">
        <v>93</v>
      </c>
      <c r="CZ2" s="6" t="s">
        <v>94</v>
      </c>
      <c r="DA2" s="7" t="s">
        <v>95</v>
      </c>
      <c r="DB2" s="8" t="s">
        <v>96</v>
      </c>
      <c r="DC2" s="7" t="s">
        <v>55</v>
      </c>
      <c r="DD2" s="7" t="s">
        <v>56</v>
      </c>
      <c r="DE2" s="8" t="s">
        <v>102</v>
      </c>
      <c r="DF2" s="8" t="s">
        <v>98</v>
      </c>
      <c r="DG2" s="8" t="s">
        <v>99</v>
      </c>
      <c r="DH2" s="8" t="s">
        <v>100</v>
      </c>
      <c r="DI2" s="9" t="s">
        <v>101</v>
      </c>
      <c r="DJ2" s="67" t="s">
        <v>83</v>
      </c>
      <c r="DK2" s="68" t="s">
        <v>84</v>
      </c>
      <c r="DL2" s="6" t="s">
        <v>87</v>
      </c>
      <c r="DM2" s="6" t="s">
        <v>88</v>
      </c>
      <c r="DN2" s="6" t="s">
        <v>88</v>
      </c>
      <c r="DO2" s="6" t="s">
        <v>89</v>
      </c>
      <c r="DP2" s="6" t="s">
        <v>90</v>
      </c>
      <c r="DQ2" s="6" t="s">
        <v>91</v>
      </c>
      <c r="DR2" s="6" t="s">
        <v>85</v>
      </c>
      <c r="DS2" s="6" t="s">
        <v>92</v>
      </c>
      <c r="DT2" s="6" t="s">
        <v>93</v>
      </c>
      <c r="DU2" s="6" t="s">
        <v>94</v>
      </c>
      <c r="DV2" s="7" t="s">
        <v>95</v>
      </c>
      <c r="DW2" s="8" t="s">
        <v>96</v>
      </c>
      <c r="DX2" s="7" t="s">
        <v>55</v>
      </c>
      <c r="DY2" s="7" t="s">
        <v>56</v>
      </c>
      <c r="DZ2" s="8" t="s">
        <v>102</v>
      </c>
      <c r="EA2" s="8" t="s">
        <v>98</v>
      </c>
      <c r="EB2" s="8" t="s">
        <v>99</v>
      </c>
      <c r="EC2" s="8" t="s">
        <v>100</v>
      </c>
      <c r="ED2" s="9" t="s">
        <v>101</v>
      </c>
      <c r="EE2" s="67" t="s">
        <v>83</v>
      </c>
      <c r="EF2" s="68" t="s">
        <v>84</v>
      </c>
      <c r="EG2" s="6" t="s">
        <v>87</v>
      </c>
      <c r="EH2" s="6" t="s">
        <v>88</v>
      </c>
      <c r="EI2" s="6" t="s">
        <v>88</v>
      </c>
      <c r="EJ2" s="6" t="s">
        <v>89</v>
      </c>
      <c r="EK2" s="6" t="s">
        <v>90</v>
      </c>
      <c r="EL2" s="6" t="s">
        <v>91</v>
      </c>
      <c r="EM2" s="6" t="s">
        <v>85</v>
      </c>
      <c r="EN2" s="6" t="s">
        <v>92</v>
      </c>
      <c r="EO2" s="6" t="s">
        <v>93</v>
      </c>
      <c r="EP2" s="6" t="s">
        <v>94</v>
      </c>
      <c r="EQ2" s="7" t="s">
        <v>95</v>
      </c>
      <c r="ER2" s="8" t="s">
        <v>96</v>
      </c>
      <c r="ES2" s="7" t="s">
        <v>55</v>
      </c>
      <c r="ET2" s="7" t="s">
        <v>56</v>
      </c>
      <c r="EU2" s="8" t="s">
        <v>102</v>
      </c>
      <c r="EV2" s="8" t="s">
        <v>98</v>
      </c>
      <c r="EW2" s="8" t="s">
        <v>99</v>
      </c>
      <c r="EX2" s="8" t="s">
        <v>100</v>
      </c>
      <c r="EY2" s="9" t="s">
        <v>101</v>
      </c>
      <c r="EZ2" s="67" t="s">
        <v>83</v>
      </c>
      <c r="FA2" s="68" t="s">
        <v>84</v>
      </c>
      <c r="FB2" s="6" t="s">
        <v>87</v>
      </c>
      <c r="FC2" s="6" t="s">
        <v>88</v>
      </c>
      <c r="FD2" s="6" t="s">
        <v>88</v>
      </c>
      <c r="FE2" s="6" t="s">
        <v>89</v>
      </c>
      <c r="FF2" s="6" t="s">
        <v>90</v>
      </c>
      <c r="FG2" s="6" t="s">
        <v>91</v>
      </c>
      <c r="FH2" s="6" t="s">
        <v>85</v>
      </c>
      <c r="FI2" s="6" t="s">
        <v>92</v>
      </c>
      <c r="FJ2" s="6" t="s">
        <v>93</v>
      </c>
      <c r="FK2" s="6" t="s">
        <v>94</v>
      </c>
      <c r="FL2" s="7" t="s">
        <v>95</v>
      </c>
      <c r="FM2" s="8" t="s">
        <v>96</v>
      </c>
      <c r="FN2" s="7" t="s">
        <v>55</v>
      </c>
      <c r="FO2" s="7" t="s">
        <v>56</v>
      </c>
      <c r="FP2" s="8" t="s">
        <v>103</v>
      </c>
      <c r="FQ2" s="8" t="s">
        <v>98</v>
      </c>
      <c r="FR2" s="8" t="s">
        <v>99</v>
      </c>
      <c r="FS2" s="8" t="s">
        <v>100</v>
      </c>
      <c r="FT2" s="9" t="s">
        <v>101</v>
      </c>
      <c r="FU2" s="67" t="s">
        <v>83</v>
      </c>
      <c r="FV2" s="68" t="s">
        <v>84</v>
      </c>
      <c r="FW2" s="6" t="s">
        <v>87</v>
      </c>
      <c r="FX2" s="6" t="s">
        <v>88</v>
      </c>
      <c r="FY2" s="6" t="s">
        <v>88</v>
      </c>
      <c r="FZ2" s="6" t="s">
        <v>89</v>
      </c>
      <c r="GA2" s="6" t="s">
        <v>90</v>
      </c>
      <c r="GB2" s="6" t="s">
        <v>91</v>
      </c>
      <c r="GC2" s="6" t="s">
        <v>85</v>
      </c>
      <c r="GD2" s="6" t="s">
        <v>92</v>
      </c>
      <c r="GE2" s="6" t="s">
        <v>93</v>
      </c>
      <c r="GF2" s="6" t="s">
        <v>94</v>
      </c>
      <c r="GG2" s="7" t="s">
        <v>95</v>
      </c>
      <c r="GH2" s="8" t="s">
        <v>96</v>
      </c>
      <c r="GI2" s="7" t="s">
        <v>55</v>
      </c>
      <c r="GJ2" s="7" t="s">
        <v>56</v>
      </c>
      <c r="GK2" s="8" t="s">
        <v>102</v>
      </c>
      <c r="GL2" s="8" t="s">
        <v>98</v>
      </c>
      <c r="GM2" s="8" t="s">
        <v>99</v>
      </c>
      <c r="GN2" s="8" t="s">
        <v>100</v>
      </c>
      <c r="GO2" s="8" t="s">
        <v>101</v>
      </c>
      <c r="GP2" s="67" t="s">
        <v>83</v>
      </c>
      <c r="GQ2" s="68" t="s">
        <v>84</v>
      </c>
      <c r="GR2" s="6" t="s">
        <v>87</v>
      </c>
      <c r="GS2" s="6" t="s">
        <v>88</v>
      </c>
      <c r="GT2" s="6" t="s">
        <v>88</v>
      </c>
      <c r="GU2" s="6" t="s">
        <v>89</v>
      </c>
      <c r="GV2" s="6" t="s">
        <v>90</v>
      </c>
      <c r="GW2" s="6" t="s">
        <v>91</v>
      </c>
      <c r="GX2" s="6" t="s">
        <v>85</v>
      </c>
      <c r="GY2" s="6" t="s">
        <v>92</v>
      </c>
      <c r="GZ2" s="6" t="s">
        <v>93</v>
      </c>
      <c r="HA2" s="6" t="s">
        <v>94</v>
      </c>
      <c r="HB2" s="7" t="s">
        <v>95</v>
      </c>
      <c r="HC2" s="8" t="s">
        <v>96</v>
      </c>
      <c r="HD2" s="7" t="s">
        <v>55</v>
      </c>
      <c r="HE2" s="7" t="s">
        <v>56</v>
      </c>
      <c r="HF2" s="8" t="s">
        <v>102</v>
      </c>
      <c r="HG2" s="8" t="s">
        <v>98</v>
      </c>
      <c r="HH2" s="8" t="s">
        <v>99</v>
      </c>
      <c r="HI2" s="8" t="s">
        <v>100</v>
      </c>
      <c r="HJ2" s="9" t="s">
        <v>101</v>
      </c>
    </row>
    <row r="3" spans="1:218" x14ac:dyDescent="0.35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256.66666666666669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695.0879239758051</v>
      </c>
      <c r="T3" s="59">
        <f>IF('Données projet'!E9&gt;30,$R$33-$H$33,LOOKUP('Données projet'!$E$9,$A$3:$A$203,R3:R203)-LOOKUP('Données projet'!$E$9,$A$3:$A$203,$H$3:$H$203))</f>
        <v>226.22150997227476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388.12151914648013</v>
      </c>
      <c r="AO3" s="59">
        <f>IF('Données projet'!E10&gt;30,$AM$33-$H$33,LOOKUP('Données projet'!$E$10,$A$3:$A$203,AM3:AM203)-LOOKUP('Données projet'!$E$10,$A$3:$A$203,$H$3:$H$203))</f>
        <v>481.43684454382793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415.24818074059294</v>
      </c>
      <c r="BJ3" s="59">
        <f>IF('Données projet'!E11&gt;30,$BH$33-$H$33,LOOKUP('Données projet'!$E$11,$A$3:$A$203,BH3:BH203)-LOOKUP('Données projet'!$E$11,$A$3:$A$203,$H$3:$H$203))</f>
        <v>404.45811532046872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384.34044781465661</v>
      </c>
      <c r="CE3" s="59">
        <f>IF('Données projet'!E12&gt;30,$CC$33-$H$33,LOOKUP('Données projet'!$E$12,$A$3:$A$203,CC3:CC203)-LOOKUP('Données projet'!$E$12,$A$3:$A$203,$H$3:$H$203))</f>
        <v>374.99493809709708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386.66324266750968</v>
      </c>
      <c r="CZ3" s="59">
        <f>IF('Données projet'!E13&gt;30,$CX$33-$H$33,LOOKUP('Données projet'!$E$13,$A$3:$A$203,CX3:CX203)-LOOKUP('Données projet'!$E$13,$A$3:$A$203,$H$3:$H$203))</f>
        <v>356.22149461585769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347.17417070871716</v>
      </c>
      <c r="DU3" s="59">
        <f>IF('Données projet'!E14&gt;30,$DS$33-$H$33,LOOKUP('Données projet'!$E$14,$A$3:$A$203,DS3:DS203)-LOOKUP('Données projet'!$E$14,$A$3:$A$203,$H$3:$H$203))</f>
        <v>339.56378046986441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384.34044781465661</v>
      </c>
      <c r="EP3" s="59">
        <f>IF('Données projet'!E15&gt;30,$EN$33-$H$33,LOOKUP('Données projet'!$E$15,$A$3:$A$203,EN3:EN203)-LOOKUP('Données projet'!$E$15,$A$3:$A$203,$H$3:$H$203))</f>
        <v>374.99493809709708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256.66666666666669</v>
      </c>
      <c r="FJ3" s="59">
        <f ca="1">AVERAGE(OFFSET($FI$3,0,0,'Données projet'!$E$16+1,1))-AVERAGE(OFFSET($H$3,0,0,'Données projet'!$E$16+1,1))</f>
        <v>359.57284550600366</v>
      </c>
      <c r="FK3" s="59">
        <f>IF('Données projet'!E16&gt;30,$FI$33-$H$33,LOOKUP('Données projet'!$E$16,$A$3:$A$203,FI3:FI203)-LOOKUP('Données projet'!$E$16,$A$3:$A$203,$H$3:$H$203))</f>
        <v>351.38386928091433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6">
        <f t="shared" ref="H4:H67" si="1">(B4+E4+F4)*44/12+(C4+D4)*0.475*44/12</f>
        <v>256.66666666666669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5.0894117647058819</v>
      </c>
      <c r="N4" s="13">
        <f>IF('Données projet'!$A$36&gt;35,N3+M4-V3,IF(A4&lt;'Données projet'!$A$36,$K$205^A4,IF(A4='Données projet'!$A$36,'Données projet'!$B$36,N3+M4-V3)))</f>
        <v>1.1636646418946561</v>
      </c>
      <c r="O4" s="13">
        <f>N4*VLOOKUP('Données projet'!$B$9,Paramètres!$A$1:$I$89,3,0)*VLOOKUP('Données projet'!$B$9,Paramètres!$A$1:$I$89,5,0)</f>
        <v>1.0528837679862848</v>
      </c>
      <c r="P4" s="13">
        <f>EXP(-1.0587+0.8836*LN(O4)+0.284)</f>
        <v>0.48231127341028485</v>
      </c>
      <c r="Q4" s="20">
        <f t="shared" ref="Q4:Q34" si="2">(O4+P4)*0.475*44/12</f>
        <v>2.6737980304323585</v>
      </c>
      <c r="R4" s="59">
        <f t="shared" si="0"/>
        <v>260.56268691932121</v>
      </c>
      <c r="S4" s="59">
        <f ca="1">AVERAGE(OFFSET($R$3,0,0,'Données projet'!$E$9+1,1))-AVERAGE(OFFSET($H$3,0,0,'Données projet'!$E$9+1,1))</f>
        <v>695.0879239758051</v>
      </c>
      <c r="T4" s="59">
        <f>$T$3</f>
        <v>226.22150997227476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9.5933333333333337</v>
      </c>
      <c r="AI4" s="13">
        <f>IF('Données projet'!$A$62&gt;35,AI3+AH4-AQ3,IF(A4&lt;'Données projet'!$A$62,$AF$205^A4,IF(A4='Données projet'!$A$62,'Données projet'!$B$62,AI3+AH4-AQ3)))</f>
        <v>1.3927421509577205</v>
      </c>
      <c r="AJ4" s="13">
        <f>AI4*VLOOKUP('Données projet'!$B$10,Paramètres!$A$1:$I$89,3,0)*VLOOKUP('Données projet'!$B$10,Paramètres!$A$1:$I$89,5,0)</f>
        <v>0.83285980627271683</v>
      </c>
      <c r="AK4" s="13">
        <f>EXP(-1.0587+0.8836*LN(AJ4)+0.284)</f>
        <v>0.39207522366299313</v>
      </c>
      <c r="AL4" s="20">
        <f t="shared" ref="AL4:AL67" si="4">(AJ4+AK4)*0.475*44/12</f>
        <v>2.1334285104713615</v>
      </c>
      <c r="AM4" s="59">
        <f t="shared" ref="AM4:AM67" si="5">AL4+(AD4+AE4)*44/12</f>
        <v>260.02231739936019</v>
      </c>
      <c r="AN4" s="59">
        <f ca="1">AVERAGE(OFFSET($AM$3,0,0,'Données projet'!$E$10+1,1))-AVERAGE(OFFSET($H$3,0,0,'Données projet'!$E$10+1,1))</f>
        <v>388.12151914648013</v>
      </c>
      <c r="AO4" s="59">
        <f>$AO$3</f>
        <v>481.43684454382793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4.333333333333333</v>
      </c>
      <c r="BD4" s="12">
        <f>IF('Données projet'!$A$88&gt;35,BD3+BC4-BL3,IF(A4&lt;'Données projet'!$A$88,$BA$205^A4,IF(A4='Données projet'!$A$88,'Données projet'!$B$88,BD3+BC4-BL3)))</f>
        <v>1.3208724756526424</v>
      </c>
      <c r="BE4" s="13">
        <f>BD4*VLOOKUP('Données projet'!$B$11,Paramètres!$A$1:$I$89,3,0)*VLOOKUP('Données projet'!$B$11,Paramètres!$A$1:$I$89,5,0)</f>
        <v>1.2569422478310546</v>
      </c>
      <c r="BF4" s="13">
        <f>EXP(-1.0587+0.8836*LN(BE4)+0.284)</f>
        <v>0.56403633892384675</v>
      </c>
      <c r="BG4" s="20">
        <f t="shared" ref="BG4:BG67" si="7">(BE4+BF4)*0.475*44/12</f>
        <v>3.171537705264786</v>
      </c>
      <c r="BH4" s="59">
        <f t="shared" ref="BH4:BH67" si="8">BG4+(AY4+AZ4)*44/12</f>
        <v>261.06042659415363</v>
      </c>
      <c r="BI4" s="59">
        <f ca="1">AVERAGE(OFFSET($BH$3,0,0,'Données projet'!$E$11+1,1))-AVERAGE(OFFSET($H$3,0,0,'Données projet'!$E$11+1,1))</f>
        <v>415.24818074059294</v>
      </c>
      <c r="BJ4" s="59">
        <f>$BJ$3</f>
        <v>404.45811532046872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4.333333333333333</v>
      </c>
      <c r="BY4" s="12">
        <f>IF('Données projet'!$A$114&gt;35,BY3+BX4-CG3,IF(A4&lt;'Données projet'!$A$114,$BV$205^A4,IF(A4='Données projet'!$A$114,'Données projet'!$B$114,BY3+BX4-CG3)))</f>
        <v>1.3208724756526424</v>
      </c>
      <c r="BZ4" s="13">
        <f>BY4*VLOOKUP('Données projet'!$B$12,Paramètres!$A$1:$I$89,3,0)*VLOOKUP('Données projet'!$B$12,Paramètres!$A$1:$I$89,5,0)</f>
        <v>1.1539141947301486</v>
      </c>
      <c r="CA4" s="13">
        <f>EXP(-1.0587+0.8836*LN(BZ4)+0.284)</f>
        <v>0.52298421799329042</v>
      </c>
      <c r="CB4" s="20">
        <f t="shared" ref="CB4:CB67" si="10">(BZ4+CA4)*0.475*44/12</f>
        <v>2.9205980688266564</v>
      </c>
      <c r="CC4" s="59">
        <f t="shared" ref="CC4:CC67" si="11">CB4+(BT4+BU4)*44/12</f>
        <v>260.80948695771554</v>
      </c>
      <c r="CD4" s="59">
        <f ca="1">AVERAGE(OFFSET($CC$3,0,0,'Données projet'!$E$12+1,1))-AVERAGE(OFFSET($H$3,0,0,'Données projet'!$E$12+1,1))</f>
        <v>384.34044781465661</v>
      </c>
      <c r="CE4" s="59">
        <f>$CE$3</f>
        <v>374.99493809709708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9.300476190476191</v>
      </c>
      <c r="CT4" s="12">
        <f>IF('Données projet'!$A$140&gt;35,CT3+CS4-DB3,IF(A4&lt;'Données projet'!$A$140,$CQ$205^A4,IF(A4='Données projet'!$A$140,'Données projet'!$B$140,CT3+CS4-DB3)))</f>
        <v>1.2855297099408214</v>
      </c>
      <c r="CU4" s="17">
        <f>CT4*VLOOKUP('Données projet'!$B$13,Paramètres!$A$1:$I$89,3,0)*VLOOKUP('Données projet'!$B$13,Paramètres!$A$1:$I$89,5,0)</f>
        <v>0.71861110785691917</v>
      </c>
      <c r="CV4" s="13">
        <f>EXP(-1.0587+0.8836*LN(CU4)+0.284)</f>
        <v>0.34415184160564588</v>
      </c>
      <c r="CW4" s="20">
        <f t="shared" ref="CW4:CW67" si="13">(CU4+CV4)*0.475*44/12</f>
        <v>1.8509788036473005</v>
      </c>
      <c r="CX4" s="59">
        <f t="shared" ref="CX4:CX67" si="14">CW4+(CO4+CP4)*44/12</f>
        <v>259.73986769253617</v>
      </c>
      <c r="CY4" s="59">
        <f ca="1">AVERAGE(OFFSET($CX$3,0,0,'Données projet'!$E$13+1,1))-AVERAGE(OFFSET($H$3,0,0,'Données projet'!$E$13+1,1))</f>
        <v>386.66324266750968</v>
      </c>
      <c r="CZ4" s="59">
        <f>$CZ$3</f>
        <v>356.22149461585769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4.333333333333333</v>
      </c>
      <c r="DO4" s="12">
        <f>IF('Données projet'!$A$166&gt;35,DO3+DN4-DW3,IF(A4&lt;'Données projet'!$A$166,$DL$205^A4,IF(A4='Données projet'!$A$166,'Données projet'!$B$166,DO3+DN4-DW3)))</f>
        <v>1.3208724756526424</v>
      </c>
      <c r="DP4" s="17">
        <f>DO4*VLOOKUP('Données projet'!$B$14,Paramètres!$A$1:$I$89,3,0)*VLOOKUP('Données projet'!$B$14,Paramètres!$A$1:$I$89,5,0)</f>
        <v>1.030280531009061</v>
      </c>
      <c r="DQ4" s="13">
        <f>EXP(-1.0587+0.8836*LN(DP4)+0.284)</f>
        <v>0.4731507562821734</v>
      </c>
      <c r="DR4" s="20">
        <f t="shared" ref="DR4:DR67" si="16">(DP4+DQ4)*0.475*44/12</f>
        <v>2.6184761586988996</v>
      </c>
      <c r="DS4" s="59">
        <f t="shared" ref="DS4:DS67" si="17">DR4+(DJ4+DK4)*44/12</f>
        <v>260.50736504758777</v>
      </c>
      <c r="DT4" s="59">
        <f ca="1">AVERAGE(OFFSET($DS$3,0,0,'Données projet'!$E$14+1,1))-AVERAGE(OFFSET($H$3,0,0,'Données projet'!$E$14+1,1))</f>
        <v>347.17417070871716</v>
      </c>
      <c r="DU4" s="59">
        <f>$DU$3</f>
        <v>339.56378046986441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4.333333333333333</v>
      </c>
      <c r="EJ4" s="12">
        <f>IF('Données projet'!$A$192&gt;35,EJ3+EI4-ER3,IF(A4&lt;'Données projet'!$A$192,$EG$205^A4,IF(A4='Données projet'!$A$192,'Données projet'!$B$192,EJ3+EI4-ER3)))</f>
        <v>1.3208724756526424</v>
      </c>
      <c r="EK4" s="17">
        <f>EJ4*VLOOKUP('Données projet'!$B$15,Paramètres!$A$1:$I$89,3,0)*VLOOKUP('Données projet'!$B$15,Paramètres!$A$1:$I$89,5,0)</f>
        <v>1.1539141947301486</v>
      </c>
      <c r="EL4" s="13">
        <f>EXP(-1.0587+0.8836*LN(EK4)+0.284)</f>
        <v>0.52298421799329042</v>
      </c>
      <c r="EM4" s="20">
        <f t="shared" ref="EM4:EM67" si="19">(EK4+EL4)*0.475*44/12</f>
        <v>2.9205980688266564</v>
      </c>
      <c r="EN4" s="59">
        <f t="shared" ref="EN4:EN67" si="20">EM4+(EE4+EF4)*44/12</f>
        <v>260.80948695771554</v>
      </c>
      <c r="EO4" s="59">
        <f ca="1">AVERAGE(OFFSET($EN$3,0,0,'Données projet'!$E$15+1,1))-AVERAGE(OFFSET($H$3,0,0,'Données projet'!$E$15+1,1))</f>
        <v>384.34044781465661</v>
      </c>
      <c r="EP4" s="59">
        <f>$EP$3</f>
        <v>374.99493809709708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4.333333333333333</v>
      </c>
      <c r="FE4" s="12">
        <f>IF('Données projet'!$A$218&gt;35,FE3+FD4-FM3,IF(A4&lt;'Données projet'!$A$218,$FB$205^A4,IF(A4='Données projet'!$A$218,'Données projet'!$B$218,FE3+FD4-FM3)))</f>
        <v>1.3208724756526424</v>
      </c>
      <c r="FF4" s="17">
        <f>FE4*VLOOKUP('Données projet'!$B$16,Paramètres!$A$1:$I$89,3,0)*VLOOKUP('Données projet'!$B$16,Paramètres!$A$1:$I$89,5,0)</f>
        <v>1.0714917522494236</v>
      </c>
      <c r="FG4" s="13">
        <f>EXP(-1.0587+0.8836*LN(FF4)+0.284)</f>
        <v>0.48983543291176185</v>
      </c>
      <c r="FH4" s="20">
        <f t="shared" ref="FH4:FH67" si="22">(FF4+FG4)*0.475*44/12</f>
        <v>2.7193115141557311</v>
      </c>
      <c r="FI4" s="59">
        <f t="shared" ref="FI4:FI67" si="23">FH4+(EZ4+FA4)*44/12</f>
        <v>260.60820040304458</v>
      </c>
      <c r="FJ4" s="59">
        <f ca="1">AVERAGE(OFFSET($FI$3,0,0,'Données projet'!$E$16+1,1))-AVERAGE(OFFSET($H$3,0,0,'Données projet'!$E$16+1,1))</f>
        <v>359.57284550600366</v>
      </c>
      <c r="FK4" s="59">
        <f>$FK$3</f>
        <v>351.38386928091433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6">
        <f t="shared" si="1"/>
        <v>256.66666666666669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5.0894117647058819</v>
      </c>
      <c r="N5" s="13">
        <f>IF('Données projet'!$A$36&gt;35,N4+M5-V4,IF(A5&lt;'Données projet'!$A$36,$K$205^A5,IF(A5='Données projet'!$A$36,'Données projet'!$B$36,N4+M5-V4)))</f>
        <v>1.3541153987958183</v>
      </c>
      <c r="O5" s="13">
        <f>N5*VLOOKUP('Données projet'!$B$9,Paramètres!$A$1:$I$89,3,0)*VLOOKUP('Données projet'!$B$9,Paramètres!$A$1:$I$89,5,0)</f>
        <v>1.2252036128304564</v>
      </c>
      <c r="P5" s="13">
        <f t="shared" ref="P5:P68" si="33">EXP(-1.0587+0.8836*LN(O5)+0.284)</f>
        <v>0.55143317604780007</v>
      </c>
      <c r="Q5" s="20">
        <f t="shared" si="2"/>
        <v>3.0943090739629628</v>
      </c>
      <c r="R5" s="59">
        <f t="shared" si="0"/>
        <v>262.2054201850741</v>
      </c>
      <c r="S5" s="59">
        <f ca="1">AVERAGE(OFFSET($R$3,0,0,'Données projet'!$E$9+1,1))-AVERAGE(OFFSET($H$3,0,0,'Données projet'!$E$9+1,1))</f>
        <v>695.0879239758051</v>
      </c>
      <c r="T5" s="59">
        <f t="shared" ref="T5:T68" si="34">$T$3</f>
        <v>226.22150997227476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9.5933333333333337</v>
      </c>
      <c r="AI5" s="13">
        <f>IF('Données projet'!$A$62&gt;35,AI4+AH5-AQ4,IF(A5&lt;'Données projet'!$A$62,$AF$205^A5,IF(A5='Données projet'!$A$62,'Données projet'!$B$62,AI4+AH5-AQ4)))</f>
        <v>1.9397306990543379</v>
      </c>
      <c r="AJ5" s="13">
        <f>AI5*VLOOKUP('Données projet'!$B$10,Paramètres!$A$1:$I$89,3,0)*VLOOKUP('Données projet'!$B$10,Paramètres!$A$1:$I$89,5,0)</f>
        <v>1.1599589580344942</v>
      </c>
      <c r="AK5" s="13">
        <f t="shared" ref="AK5:AK68" si="35">EXP(-1.0587+0.8836*LN(AJ5)+0.284)</f>
        <v>0.52540423213734377</v>
      </c>
      <c r="AL5" s="20">
        <f t="shared" si="4"/>
        <v>2.9353408895492845</v>
      </c>
      <c r="AM5" s="59">
        <f t="shared" si="5"/>
        <v>262.04645200066045</v>
      </c>
      <c r="AN5" s="59">
        <f ca="1">AVERAGE(OFFSET($AM$3,0,0,'Données projet'!$E$10+1,1))-AVERAGE(OFFSET($H$3,0,0,'Données projet'!$E$10+1,1))</f>
        <v>388.12151914648013</v>
      </c>
      <c r="AO5" s="59">
        <f t="shared" ref="AO5:AO68" si="36">$AO$3</f>
        <v>481.43684454382793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4.333333333333333</v>
      </c>
      <c r="BD5" s="12">
        <f>IF('Données projet'!$A$88&gt;35,BD4+BC5-BL4,IF(A5&lt;'Données projet'!$A$88,$BA$205^A5,IF(A5='Données projet'!$A$88,'Données projet'!$B$88,BD4+BC5-BL4)))</f>
        <v>1.7447040969367404</v>
      </c>
      <c r="BE5" s="13">
        <f>BD5*VLOOKUP('Données projet'!$B$11,Paramètres!$A$1:$I$89,3,0)*VLOOKUP('Données projet'!$B$11,Paramètres!$A$1:$I$89,5,0)</f>
        <v>1.6602604186450023</v>
      </c>
      <c r="BF5" s="13">
        <f t="shared" ref="BF5:BF68" si="37">EXP(-1.0587+0.8836*LN(BE5)+0.284)</f>
        <v>0.72127315376714662</v>
      </c>
      <c r="BG5" s="20">
        <f t="shared" si="7"/>
        <v>4.1478376386178262</v>
      </c>
      <c r="BH5" s="59">
        <f t="shared" si="8"/>
        <v>263.25894874972897</v>
      </c>
      <c r="BI5" s="59">
        <f ca="1">AVERAGE(OFFSET($BH$3,0,0,'Données projet'!$E$11+1,1))-AVERAGE(OFFSET($H$3,0,0,'Données projet'!$E$11+1,1))</f>
        <v>415.24818074059294</v>
      </c>
      <c r="BJ5" s="59">
        <f t="shared" ref="BJ5:BJ68" si="38">$BJ$3</f>
        <v>404.45811532046872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4.333333333333333</v>
      </c>
      <c r="BY5" s="12">
        <f>IF('Données projet'!$A$114&gt;35,BY4+BX5-CG4,IF(A5&lt;'Données projet'!$A$114,$BV$205^A5,IF(A5='Données projet'!$A$114,'Données projet'!$B$114,BY4+BX5-CG4)))</f>
        <v>1.7447040969367404</v>
      </c>
      <c r="BZ5" s="13">
        <f>BY5*VLOOKUP('Données projet'!$B$12,Paramètres!$A$1:$I$89,3,0)*VLOOKUP('Données projet'!$B$12,Paramètres!$A$1:$I$89,5,0)</f>
        <v>1.5241734990839366</v>
      </c>
      <c r="CA5" s="13">
        <f t="shared" ref="CA5:CA68" si="39">EXP(-1.0587+0.8836*LN(BZ5)+0.284)</f>
        <v>0.66877690363385434</v>
      </c>
      <c r="CB5" s="20">
        <f t="shared" si="10"/>
        <v>3.8193886180668186</v>
      </c>
      <c r="CC5" s="59">
        <f t="shared" si="11"/>
        <v>262.93049972917794</v>
      </c>
      <c r="CD5" s="59">
        <f ca="1">AVERAGE(OFFSET($CC$3,0,0,'Données projet'!$E$12+1,1))-AVERAGE(OFFSET($H$3,0,0,'Données projet'!$E$12+1,1))</f>
        <v>384.34044781465661</v>
      </c>
      <c r="CE5" s="59">
        <f t="shared" ref="CE5:CE68" si="40">$CE$3</f>
        <v>374.99493809709708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9.300476190476191</v>
      </c>
      <c r="CT5" s="12">
        <f>IF('Données projet'!$A$140&gt;35,CT4+CS5-DB4,IF(A5&lt;'Données projet'!$A$140,$CQ$205^A5,IF(A5='Données projet'!$A$140,'Données projet'!$B$140,CT4+CS5-DB4)))</f>
        <v>1.6525866351405323</v>
      </c>
      <c r="CU5" s="17">
        <f>CT5*VLOOKUP('Données projet'!$B$13,Paramètres!$A$1:$I$89,3,0)*VLOOKUP('Données projet'!$B$13,Paramètres!$A$1:$I$89,5,0)</f>
        <v>0.92379592904355756</v>
      </c>
      <c r="CV5" s="13">
        <f t="shared" ref="CV5:CV68" si="41">EXP(-1.0587+0.8836*LN(CU5)+0.284)</f>
        <v>0.42967002528896309</v>
      </c>
      <c r="CW5" s="20">
        <f t="shared" si="13"/>
        <v>2.35728653712914</v>
      </c>
      <c r="CX5" s="59">
        <f t="shared" si="14"/>
        <v>261.46839764824028</v>
      </c>
      <c r="CY5" s="59">
        <f ca="1">AVERAGE(OFFSET($CX$3,0,0,'Données projet'!$E$13+1,1))-AVERAGE(OFFSET($H$3,0,0,'Données projet'!$E$13+1,1))</f>
        <v>386.66324266750968</v>
      </c>
      <c r="CZ5" s="59">
        <f t="shared" ref="CZ5:CZ68" si="42">$CZ$3</f>
        <v>356.22149461585769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4.333333333333333</v>
      </c>
      <c r="DO5" s="12">
        <f>IF('Données projet'!$A$166&gt;35,DO4+DN5-DW4,IF(A5&lt;'Données projet'!$A$166,$DL$205^A5,IF(A5='Données projet'!$A$166,'Données projet'!$B$166,DO4+DN5-DW4)))</f>
        <v>1.7447040969367404</v>
      </c>
      <c r="DP5" s="17">
        <f>DO5*VLOOKUP('Données projet'!$B$14,Paramètres!$A$1:$I$89,3,0)*VLOOKUP('Données projet'!$B$14,Paramètres!$A$1:$I$89,5,0)</f>
        <v>1.3608691956106576</v>
      </c>
      <c r="DQ5" s="13">
        <f t="shared" ref="DQ5:DQ68" si="43">EXP(-1.0587+0.8836*LN(DP5)+0.284)</f>
        <v>0.60505133205084227</v>
      </c>
      <c r="DR5" s="20">
        <f t="shared" si="16"/>
        <v>3.4239782523437792</v>
      </c>
      <c r="DS5" s="59">
        <f t="shared" si="17"/>
        <v>262.53508936345492</v>
      </c>
      <c r="DT5" s="59">
        <f ca="1">AVERAGE(OFFSET($DS$3,0,0,'Données projet'!$E$14+1,1))-AVERAGE(OFFSET($H$3,0,0,'Données projet'!$E$14+1,1))</f>
        <v>347.17417070871716</v>
      </c>
      <c r="DU5" s="59">
        <f t="shared" ref="DU5:DU68" si="44">$DU$3</f>
        <v>339.56378046986441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4.333333333333333</v>
      </c>
      <c r="EJ5" s="12">
        <f>IF('Données projet'!$A$192&gt;35,EJ4+EI5-ER4,IF(A5&lt;'Données projet'!$A$192,$EG$205^A5,IF(A5='Données projet'!$A$192,'Données projet'!$B$192,EJ4+EI5-ER4)))</f>
        <v>1.7447040969367404</v>
      </c>
      <c r="EK5" s="17">
        <f>EJ5*VLOOKUP('Données projet'!$B$15,Paramètres!$A$1:$I$89,3,0)*VLOOKUP('Données projet'!$B$15,Paramètres!$A$1:$I$89,5,0)</f>
        <v>1.5241734990839366</v>
      </c>
      <c r="EL5" s="13">
        <f t="shared" ref="EL5:EL68" si="45">EXP(-1.0587+0.8836*LN(EK5)+0.284)</f>
        <v>0.66877690363385434</v>
      </c>
      <c r="EM5" s="20">
        <f t="shared" si="19"/>
        <v>3.8193886180668186</v>
      </c>
      <c r="EN5" s="59">
        <f t="shared" si="20"/>
        <v>262.93049972917794</v>
      </c>
      <c r="EO5" s="59">
        <f ca="1">AVERAGE(OFFSET($EN$3,0,0,'Données projet'!$E$15+1,1))-AVERAGE(OFFSET($H$3,0,0,'Données projet'!$E$15+1,1))</f>
        <v>384.34044781465661</v>
      </c>
      <c r="EP5" s="59">
        <f t="shared" ref="EP5:EP68" si="46">$EP$3</f>
        <v>374.99493809709708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4.333333333333333</v>
      </c>
      <c r="FE5" s="12">
        <f>IF('Données projet'!$A$218&gt;35,FE4+FD5-FM4,IF(A5&lt;'Données projet'!$A$218,$FB$205^A5,IF(A5='Données projet'!$A$218,'Données projet'!$B$218,FE4+FD5-FM4)))</f>
        <v>1.7447040969367404</v>
      </c>
      <c r="FF5" s="17">
        <f>FE5*VLOOKUP('Données projet'!$B$16,Paramètres!$A$1:$I$89,3,0)*VLOOKUP('Données projet'!$B$16,Paramètres!$A$1:$I$89,5,0)</f>
        <v>1.4153039634350839</v>
      </c>
      <c r="FG5" s="13">
        <f t="shared" ref="FG5:FG68" si="47">EXP(-1.0587+0.8836*LN(FF5)+0.284)</f>
        <v>0.62638720795410219</v>
      </c>
      <c r="FH5" s="20">
        <f t="shared" si="22"/>
        <v>3.5559454568361653</v>
      </c>
      <c r="FI5" s="59">
        <f t="shared" si="23"/>
        <v>262.66705656794733</v>
      </c>
      <c r="FJ5" s="59">
        <f ca="1">AVERAGE(OFFSET($FI$3,0,0,'Données projet'!$E$16+1,1))-AVERAGE(OFFSET($H$3,0,0,'Données projet'!$E$16+1,1))</f>
        <v>359.57284550600366</v>
      </c>
      <c r="FK5" s="59">
        <f t="shared" ref="FK5:FK68" si="48">$FK$3</f>
        <v>351.38386928091433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6">
        <f t="shared" si="1"/>
        <v>256.66666666666669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5.0894117647058819</v>
      </c>
      <c r="N6" s="13">
        <f>IF('Données projet'!$A$36&gt;35,N5+M6-V5,IF(A6&lt;'Données projet'!$A$36,$K$205^A6,IF(A6='Données projet'!$A$36,'Données projet'!$B$36,N5+M6-V5)))</f>
        <v>1.5757362106237753</v>
      </c>
      <c r="O6" s="13">
        <f>N6*VLOOKUP('Données projet'!$B$9,Paramètres!$A$1:$I$89,3,0)*VLOOKUP('Données projet'!$B$9,Paramètres!$A$1:$I$89,5,0)</f>
        <v>1.4257261233723919</v>
      </c>
      <c r="P6" s="13">
        <f t="shared" si="33"/>
        <v>0.63046120712898079</v>
      </c>
      <c r="Q6" s="20">
        <f t="shared" si="2"/>
        <v>3.5811929339565567</v>
      </c>
      <c r="R6" s="59">
        <f t="shared" si="0"/>
        <v>263.91452626728989</v>
      </c>
      <c r="S6" s="59">
        <f ca="1">AVERAGE(OFFSET($R$3,0,0,'Données projet'!$E$9+1,1))-AVERAGE(OFFSET($H$3,0,0,'Données projet'!$E$9+1,1))</f>
        <v>695.0879239758051</v>
      </c>
      <c r="T6" s="59">
        <f t="shared" si="34"/>
        <v>226.22150997227476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9.5933333333333337</v>
      </c>
      <c r="AI6" s="13">
        <f>IF('Données projet'!$A$62&gt;35,AI5+AH6-AQ5,IF(A6&lt;'Données projet'!$A$62,$AF$205^A6,IF(A6='Données projet'!$A$62,'Données projet'!$B$62,AI5+AH6-AQ5)))</f>
        <v>2.7015447060796616</v>
      </c>
      <c r="AJ6" s="13">
        <f>AI6*VLOOKUP('Données projet'!$B$10,Paramètres!$A$1:$I$89,3,0)*VLOOKUP('Données projet'!$B$10,Paramètres!$A$1:$I$89,5,0)</f>
        <v>1.6155237342356377</v>
      </c>
      <c r="AK6" s="13">
        <f t="shared" si="35"/>
        <v>0.70407307191925306</v>
      </c>
      <c r="AL6" s="20">
        <f t="shared" si="4"/>
        <v>4.039964437386435</v>
      </c>
      <c r="AM6" s="59">
        <f t="shared" si="5"/>
        <v>264.37329777071977</v>
      </c>
      <c r="AN6" s="59">
        <f ca="1">AVERAGE(OFFSET($AM$3,0,0,'Données projet'!$E$10+1,1))-AVERAGE(OFFSET($H$3,0,0,'Données projet'!$E$10+1,1))</f>
        <v>388.12151914648013</v>
      </c>
      <c r="AO6" s="59">
        <f t="shared" si="36"/>
        <v>481.43684454382793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4.333333333333333</v>
      </c>
      <c r="BD6" s="12">
        <f>IF('Données projet'!$A$88&gt;35,BD5+BC6-BL5,IF(A6&lt;'Données projet'!$A$88,$BA$205^A6,IF(A6='Données projet'!$A$88,'Données projet'!$B$88,BD5+BC6-BL5)))</f>
        <v>2.3045316198021402</v>
      </c>
      <c r="BE6" s="13">
        <f>BD6*VLOOKUP('Données projet'!$B$11,Paramètres!$A$1:$I$89,3,0)*VLOOKUP('Données projet'!$B$11,Paramètres!$A$1:$I$89,5,0)</f>
        <v>2.1929922894037168</v>
      </c>
      <c r="BF6" s="13">
        <f t="shared" si="37"/>
        <v>0.9223429882865144</v>
      </c>
      <c r="BG6" s="20">
        <f t="shared" si="7"/>
        <v>5.4258756086438202</v>
      </c>
      <c r="BH6" s="59">
        <f t="shared" si="8"/>
        <v>265.75920894197714</v>
      </c>
      <c r="BI6" s="59">
        <f ca="1">AVERAGE(OFFSET($BH$3,0,0,'Données projet'!$E$11+1,1))-AVERAGE(OFFSET($H$3,0,0,'Données projet'!$E$11+1,1))</f>
        <v>415.24818074059294</v>
      </c>
      <c r="BJ6" s="59">
        <f t="shared" si="38"/>
        <v>404.45811532046872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4.333333333333333</v>
      </c>
      <c r="BY6" s="12">
        <f>IF('Données projet'!$A$114&gt;35,BY5+BX6-CG5,IF(A6&lt;'Données projet'!$A$114,$BV$205^A6,IF(A6='Données projet'!$A$114,'Données projet'!$B$114,BY5+BX6-CG5)))</f>
        <v>2.3045316198021402</v>
      </c>
      <c r="BZ6" s="13">
        <f>BY6*VLOOKUP('Données projet'!$B$12,Paramètres!$A$1:$I$89,3,0)*VLOOKUP('Données projet'!$B$12,Paramètres!$A$1:$I$89,5,0)</f>
        <v>2.01323882305915</v>
      </c>
      <c r="CA6" s="13">
        <f t="shared" si="39"/>
        <v>0.85521232084258414</v>
      </c>
      <c r="CB6" s="20">
        <f t="shared" si="10"/>
        <v>4.9958857422955205</v>
      </c>
      <c r="CC6" s="59">
        <f t="shared" si="11"/>
        <v>265.32921907562883</v>
      </c>
      <c r="CD6" s="59">
        <f ca="1">AVERAGE(OFFSET($CC$3,0,0,'Données projet'!$E$12+1,1))-AVERAGE(OFFSET($H$3,0,0,'Données projet'!$E$12+1,1))</f>
        <v>384.34044781465661</v>
      </c>
      <c r="CE6" s="59">
        <f t="shared" si="40"/>
        <v>374.99493809709708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9.300476190476191</v>
      </c>
      <c r="CT6" s="12">
        <f>IF('Données projet'!$A$140&gt;35,CT5+CS6-DB5,IF(A6&lt;'Données projet'!$A$140,$CQ$205^A6,IF(A6='Données projet'!$A$140,'Données projet'!$B$140,CT5+CS6-DB5)))</f>
        <v>2.1244492177242864</v>
      </c>
      <c r="CU6" s="17">
        <f>CT6*VLOOKUP('Données projet'!$B$13,Paramètres!$A$1:$I$89,3,0)*VLOOKUP('Données projet'!$B$13,Paramètres!$A$1:$I$89,5,0)</f>
        <v>1.1875671127078762</v>
      </c>
      <c r="CV6" s="13">
        <f t="shared" si="41"/>
        <v>0.53643859573869412</v>
      </c>
      <c r="CW6" s="20">
        <f t="shared" si="13"/>
        <v>3.0026432755444432</v>
      </c>
      <c r="CX6" s="59">
        <f t="shared" si="14"/>
        <v>263.33597660887779</v>
      </c>
      <c r="CY6" s="59">
        <f ca="1">AVERAGE(OFFSET($CX$3,0,0,'Données projet'!$E$13+1,1))-AVERAGE(OFFSET($H$3,0,0,'Données projet'!$E$13+1,1))</f>
        <v>386.66324266750968</v>
      </c>
      <c r="CZ6" s="59">
        <f t="shared" si="42"/>
        <v>356.22149461585769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4.333333333333333</v>
      </c>
      <c r="DO6" s="12">
        <f>IF('Données projet'!$A$166&gt;35,DO5+DN6-DW5,IF(A6&lt;'Données projet'!$A$166,$DL$205^A6,IF(A6='Données projet'!$A$166,'Données projet'!$B$166,DO5+DN6-DW5)))</f>
        <v>2.3045316198021402</v>
      </c>
      <c r="DP6" s="17">
        <f>DO6*VLOOKUP('Données projet'!$B$14,Paramètres!$A$1:$I$89,3,0)*VLOOKUP('Données projet'!$B$14,Paramètres!$A$1:$I$89,5,0)</f>
        <v>1.7975346634456695</v>
      </c>
      <c r="DQ6" s="13">
        <f t="shared" si="43"/>
        <v>0.77372192595244382</v>
      </c>
      <c r="DR6" s="20">
        <f t="shared" si="16"/>
        <v>4.4782718932017138</v>
      </c>
      <c r="DS6" s="59">
        <f t="shared" si="17"/>
        <v>264.81160522653505</v>
      </c>
      <c r="DT6" s="59">
        <f ca="1">AVERAGE(OFFSET($DS$3,0,0,'Données projet'!$E$14+1,1))-AVERAGE(OFFSET($H$3,0,0,'Données projet'!$E$14+1,1))</f>
        <v>347.17417070871716</v>
      </c>
      <c r="DU6" s="59">
        <f t="shared" si="44"/>
        <v>339.56378046986441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4.333333333333333</v>
      </c>
      <c r="EJ6" s="12">
        <f>IF('Données projet'!$A$192&gt;35,EJ5+EI6-ER5,IF(A6&lt;'Données projet'!$A$192,$EG$205^A6,IF(A6='Données projet'!$A$192,'Données projet'!$B$192,EJ5+EI6-ER5)))</f>
        <v>2.3045316198021402</v>
      </c>
      <c r="EK6" s="17">
        <f>EJ6*VLOOKUP('Données projet'!$B$15,Paramètres!$A$1:$I$89,3,0)*VLOOKUP('Données projet'!$B$15,Paramètres!$A$1:$I$89,5,0)</f>
        <v>2.01323882305915</v>
      </c>
      <c r="EL6" s="13">
        <f t="shared" si="45"/>
        <v>0.85521232084258414</v>
      </c>
      <c r="EM6" s="20">
        <f t="shared" si="19"/>
        <v>4.9958857422955205</v>
      </c>
      <c r="EN6" s="59">
        <f t="shared" si="20"/>
        <v>265.32921907562883</v>
      </c>
      <c r="EO6" s="59">
        <f ca="1">AVERAGE(OFFSET($EN$3,0,0,'Données projet'!$E$15+1,1))-AVERAGE(OFFSET($H$3,0,0,'Données projet'!$E$15+1,1))</f>
        <v>384.34044781465661</v>
      </c>
      <c r="EP6" s="59">
        <f t="shared" si="46"/>
        <v>374.99493809709708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4.333333333333333</v>
      </c>
      <c r="FE6" s="12">
        <f>IF('Données projet'!$A$218&gt;35,FE5+FD6-FM5,IF(A6&lt;'Données projet'!$A$218,$FB$205^A6,IF(A6='Données projet'!$A$218,'Données projet'!$B$218,FE5+FD6-FM5)))</f>
        <v>2.3045316198021402</v>
      </c>
      <c r="FF6" s="17">
        <f>FE6*VLOOKUP('Données projet'!$B$16,Paramètres!$A$1:$I$89,3,0)*VLOOKUP('Données projet'!$B$16,Paramètres!$A$1:$I$89,5,0)</f>
        <v>1.8694360499834961</v>
      </c>
      <c r="FG6" s="13">
        <f t="shared" si="47"/>
        <v>0.8010056192876821</v>
      </c>
      <c r="FH6" s="20">
        <f t="shared" si="22"/>
        <v>4.6510192406473019</v>
      </c>
      <c r="FI6" s="59">
        <f t="shared" si="23"/>
        <v>264.98435257398063</v>
      </c>
      <c r="FJ6" s="59">
        <f ca="1">AVERAGE(OFFSET($FI$3,0,0,'Données projet'!$E$16+1,1))-AVERAGE(OFFSET($H$3,0,0,'Données projet'!$E$16+1,1))</f>
        <v>359.57284550600366</v>
      </c>
      <c r="FK6" s="59">
        <f t="shared" si="48"/>
        <v>351.38386928091433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6">
        <f t="shared" si="1"/>
        <v>256.66666666666669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5.0894117647058819</v>
      </c>
      <c r="N7" s="13">
        <f>IF('Données projet'!$A$36&gt;35,N6+M7-V6,IF(A7&lt;'Données projet'!$A$36,$K$205^A7,IF(A7='Données projet'!$A$36,'Données projet'!$B$36,N6+M7-V6)))</f>
        <v>1.833628513255958</v>
      </c>
      <c r="O7" s="13">
        <f>N7*VLOOKUP('Données projet'!$B$9,Paramètres!$A$1:$I$89,3,0)*VLOOKUP('Données projet'!$B$9,Paramètres!$A$1:$I$89,5,0)</f>
        <v>1.6590670787939907</v>
      </c>
      <c r="P7" s="13">
        <f t="shared" si="33"/>
        <v>0.72081505241185662</v>
      </c>
      <c r="Q7" s="20">
        <f t="shared" si="2"/>
        <v>4.1449613785168511</v>
      </c>
      <c r="R7" s="59">
        <f t="shared" si="0"/>
        <v>265.70051693407237</v>
      </c>
      <c r="S7" s="59">
        <f ca="1">AVERAGE(OFFSET($R$3,0,0,'Données projet'!$E$9+1,1))-AVERAGE(OFFSET($H$3,0,0,'Données projet'!$E$9+1,1))</f>
        <v>695.0879239758051</v>
      </c>
      <c r="T7" s="59">
        <f t="shared" si="34"/>
        <v>226.22150997227476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9.5933333333333337</v>
      </c>
      <c r="AI7" s="13">
        <f>IF('Données projet'!$A$62&gt;35,AI6+AH7-AQ6,IF(A7&lt;'Données projet'!$A$62,$AF$205^A7,IF(A7='Données projet'!$A$62,'Données projet'!$B$62,AI6+AH7-AQ6)))</f>
        <v>3.7625551848538303</v>
      </c>
      <c r="AJ7" s="13">
        <f>AI7*VLOOKUP('Données projet'!$B$10,Paramètres!$A$1:$I$89,3,0)*VLOOKUP('Données projet'!$B$10,Paramètres!$A$1:$I$89,5,0)</f>
        <v>2.2500080005425906</v>
      </c>
      <c r="AK7" s="13">
        <f t="shared" si="35"/>
        <v>0.94349999539446006</v>
      </c>
      <c r="AL7" s="20">
        <f t="shared" si="4"/>
        <v>5.56202642625703</v>
      </c>
      <c r="AM7" s="59">
        <f t="shared" si="5"/>
        <v>267.11758198181258</v>
      </c>
      <c r="AN7" s="59">
        <f ca="1">AVERAGE(OFFSET($AM$3,0,0,'Données projet'!$E$10+1,1))-AVERAGE(OFFSET($H$3,0,0,'Données projet'!$E$10+1,1))</f>
        <v>388.12151914648013</v>
      </c>
      <c r="AO7" s="59">
        <f t="shared" si="36"/>
        <v>481.43684454382793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4.333333333333333</v>
      </c>
      <c r="BD7" s="12">
        <f>IF('Données projet'!$A$88&gt;35,BD6+BC7-BL6,IF(A7&lt;'Données projet'!$A$88,$BA$205^A7,IF(A7='Données projet'!$A$88,'Données projet'!$B$88,BD6+BC7-BL6)))</f>
        <v>3.0439923858678468</v>
      </c>
      <c r="BE7" s="13">
        <f>BD7*VLOOKUP('Données projet'!$B$11,Paramètres!$A$1:$I$89,3,0)*VLOOKUP('Données projet'!$B$11,Paramètres!$A$1:$I$89,5,0)</f>
        <v>2.8966631543918431</v>
      </c>
      <c r="BF7" s="13">
        <f t="shared" si="37"/>
        <v>1.1794652048229974</v>
      </c>
      <c r="BG7" s="20">
        <f t="shared" si="7"/>
        <v>7.0992568922991808</v>
      </c>
      <c r="BH7" s="59">
        <f t="shared" si="8"/>
        <v>268.65481244785474</v>
      </c>
      <c r="BI7" s="59">
        <f ca="1">AVERAGE(OFFSET($BH$3,0,0,'Données projet'!$E$11+1,1))-AVERAGE(OFFSET($H$3,0,0,'Données projet'!$E$11+1,1))</f>
        <v>415.24818074059294</v>
      </c>
      <c r="BJ7" s="59">
        <f t="shared" si="38"/>
        <v>404.45811532046872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4.333333333333333</v>
      </c>
      <c r="BY7" s="12">
        <f>IF('Données projet'!$A$114&gt;35,BY6+BX7-CG6,IF(A7&lt;'Données projet'!$A$114,$BV$205^A7,IF(A7='Données projet'!$A$114,'Données projet'!$B$114,BY6+BX7-CG6)))</f>
        <v>3.0439923858678468</v>
      </c>
      <c r="BZ7" s="13">
        <f>BY7*VLOOKUP('Données projet'!$B$12,Paramètres!$A$1:$I$89,3,0)*VLOOKUP('Données projet'!$B$12,Paramètres!$A$1:$I$89,5,0)</f>
        <v>2.6592317482941512</v>
      </c>
      <c r="CA7" s="13">
        <f t="shared" si="39"/>
        <v>1.0936204730559642</v>
      </c>
      <c r="CB7" s="20">
        <f t="shared" si="10"/>
        <v>6.5362176188514516</v>
      </c>
      <c r="CC7" s="59">
        <f t="shared" si="11"/>
        <v>268.09177317440697</v>
      </c>
      <c r="CD7" s="59">
        <f ca="1">AVERAGE(OFFSET($CC$3,0,0,'Données projet'!$E$12+1,1))-AVERAGE(OFFSET($H$3,0,0,'Données projet'!$E$12+1,1))</f>
        <v>384.34044781465661</v>
      </c>
      <c r="CE7" s="59">
        <f t="shared" si="40"/>
        <v>374.99493809709708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9.300476190476191</v>
      </c>
      <c r="CT7" s="12">
        <f>IF('Données projet'!$A$140&gt;35,CT6+CS7-DB6,IF(A7&lt;'Données projet'!$A$140,$CQ$205^A7,IF(A7='Données projet'!$A$140,'Données projet'!$B$140,CT6+CS7-DB6)))</f>
        <v>2.7310425866451067</v>
      </c>
      <c r="CU7" s="17">
        <f>CT7*VLOOKUP('Données projet'!$B$13,Paramètres!$A$1:$I$89,3,0)*VLOOKUP('Données projet'!$B$13,Paramètres!$A$1:$I$89,5,0)</f>
        <v>1.5266528059346147</v>
      </c>
      <c r="CV7" s="13">
        <f t="shared" si="41"/>
        <v>0.66973805492848271</v>
      </c>
      <c r="CW7" s="20">
        <f t="shared" si="13"/>
        <v>3.8253807493365612</v>
      </c>
      <c r="CX7" s="59">
        <f t="shared" si="14"/>
        <v>265.38093630489209</v>
      </c>
      <c r="CY7" s="59">
        <f ca="1">AVERAGE(OFFSET($CX$3,0,0,'Données projet'!$E$13+1,1))-AVERAGE(OFFSET($H$3,0,0,'Données projet'!$E$13+1,1))</f>
        <v>386.66324266750968</v>
      </c>
      <c r="CZ7" s="59">
        <f t="shared" si="42"/>
        <v>356.22149461585769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4.333333333333333</v>
      </c>
      <c r="DO7" s="12">
        <f>IF('Données projet'!$A$166&gt;35,DO6+DN7-DW6,IF(A7&lt;'Données projet'!$A$166,$DL$205^A7,IF(A7='Données projet'!$A$166,'Données projet'!$B$166,DO6+DN7-DW6)))</f>
        <v>3.0439923858678468</v>
      </c>
      <c r="DP7" s="17">
        <f>DO7*VLOOKUP('Données projet'!$B$14,Paramètres!$A$1:$I$89,3,0)*VLOOKUP('Données projet'!$B$14,Paramètres!$A$1:$I$89,5,0)</f>
        <v>2.3743140609769204</v>
      </c>
      <c r="DQ7" s="13">
        <f t="shared" si="43"/>
        <v>0.98941294232082599</v>
      </c>
      <c r="DR7" s="20">
        <f t="shared" si="16"/>
        <v>5.8584911974102418</v>
      </c>
      <c r="DS7" s="59">
        <f t="shared" si="17"/>
        <v>267.41404675296576</v>
      </c>
      <c r="DT7" s="59">
        <f ca="1">AVERAGE(OFFSET($DS$3,0,0,'Données projet'!$E$14+1,1))-AVERAGE(OFFSET($H$3,0,0,'Données projet'!$E$14+1,1))</f>
        <v>347.17417070871716</v>
      </c>
      <c r="DU7" s="59">
        <f t="shared" si="44"/>
        <v>339.56378046986441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4.333333333333333</v>
      </c>
      <c r="EJ7" s="12">
        <f>IF('Données projet'!$A$192&gt;35,EJ6+EI7-ER6,IF(A7&lt;'Données projet'!$A$192,$EG$205^A7,IF(A7='Données projet'!$A$192,'Données projet'!$B$192,EJ6+EI7-ER6)))</f>
        <v>3.0439923858678468</v>
      </c>
      <c r="EK7" s="17">
        <f>EJ7*VLOOKUP('Données projet'!$B$15,Paramètres!$A$1:$I$89,3,0)*VLOOKUP('Données projet'!$B$15,Paramètres!$A$1:$I$89,5,0)</f>
        <v>2.6592317482941512</v>
      </c>
      <c r="EL7" s="13">
        <f t="shared" si="45"/>
        <v>1.0936204730559642</v>
      </c>
      <c r="EM7" s="20">
        <f t="shared" si="19"/>
        <v>6.5362176188514516</v>
      </c>
      <c r="EN7" s="59">
        <f t="shared" si="20"/>
        <v>268.09177317440697</v>
      </c>
      <c r="EO7" s="59">
        <f ca="1">AVERAGE(OFFSET($EN$3,0,0,'Données projet'!$E$15+1,1))-AVERAGE(OFFSET($H$3,0,0,'Données projet'!$E$15+1,1))</f>
        <v>384.34044781465661</v>
      </c>
      <c r="EP7" s="59">
        <f t="shared" si="46"/>
        <v>374.99493809709708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4.333333333333333</v>
      </c>
      <c r="FE7" s="12">
        <f>IF('Données projet'!$A$218&gt;35,FE6+FD7-FM6,IF(A7&lt;'Données projet'!$A$218,$FB$205^A7,IF(A7='Données projet'!$A$218,'Données projet'!$B$218,FE6+FD7-FM6)))</f>
        <v>3.0439923858678468</v>
      </c>
      <c r="FF7" s="17">
        <f>FE7*VLOOKUP('Données projet'!$B$16,Paramètres!$A$1:$I$89,3,0)*VLOOKUP('Données projet'!$B$16,Paramètres!$A$1:$I$89,5,0)</f>
        <v>2.4692866234159974</v>
      </c>
      <c r="FG7" s="13">
        <f t="shared" si="47"/>
        <v>1.0243025304205389</v>
      </c>
      <c r="FH7" s="20">
        <f t="shared" si="22"/>
        <v>6.0846677762653014</v>
      </c>
      <c r="FI7" s="59">
        <f t="shared" si="23"/>
        <v>267.64022333182083</v>
      </c>
      <c r="FJ7" s="59">
        <f ca="1">AVERAGE(OFFSET($FI$3,0,0,'Données projet'!$E$16+1,1))-AVERAGE(OFFSET($H$3,0,0,'Données projet'!$E$16+1,1))</f>
        <v>359.57284550600366</v>
      </c>
      <c r="FK7" s="59">
        <f t="shared" si="48"/>
        <v>351.38386928091433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6">
        <f t="shared" si="1"/>
        <v>256.66666666666669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5.0894117647058819</v>
      </c>
      <c r="N8" s="13">
        <f>IF('Données projet'!$A$36&gt;35,N7+M8-V7,IF(A8&lt;'Données projet'!$A$36,$K$205^A8,IF(A8='Données projet'!$A$36,'Données projet'!$B$36,N7+M8-V7)))</f>
        <v>2.1337286672458249</v>
      </c>
      <c r="O8" s="13">
        <f>N8*VLOOKUP('Données projet'!$B$9,Paramètres!$A$1:$I$89,3,0)*VLOOKUP('Données projet'!$B$9,Paramètres!$A$1:$I$89,5,0)</f>
        <v>1.9305976981240223</v>
      </c>
      <c r="P8" s="13">
        <f t="shared" si="33"/>
        <v>0.82411785833670215</v>
      </c>
      <c r="Q8" s="20">
        <f t="shared" si="2"/>
        <v>4.7977962608357618</v>
      </c>
      <c r="R8" s="59">
        <f t="shared" si="0"/>
        <v>267.57557403861352</v>
      </c>
      <c r="S8" s="59">
        <f ca="1">AVERAGE(OFFSET($R$3,0,0,'Données projet'!$E$9+1,1))-AVERAGE(OFFSET($H$3,0,0,'Données projet'!$E$9+1,1))</f>
        <v>695.0879239758051</v>
      </c>
      <c r="T8" s="59">
        <f t="shared" si="34"/>
        <v>226.22150997227476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9.5933333333333337</v>
      </c>
      <c r="AI8" s="13">
        <f>IF('Données projet'!$A$62&gt;35,AI7+AH8-AQ7,IF(A8&lt;'Données projet'!$A$62,$AF$205^A8,IF(A8='Données projet'!$A$62,'Données projet'!$B$62,AI7+AH8-AQ7)))</f>
        <v>5.240269201250447</v>
      </c>
      <c r="AJ8" s="13">
        <f>AI8*VLOOKUP('Données projet'!$B$10,Paramètres!$A$1:$I$89,3,0)*VLOOKUP('Données projet'!$B$10,Paramètres!$A$1:$I$89,5,0)</f>
        <v>3.1336809823477676</v>
      </c>
      <c r="AK8" s="13">
        <f t="shared" si="35"/>
        <v>1.2643463822338008</v>
      </c>
      <c r="AL8" s="20">
        <f t="shared" si="4"/>
        <v>7.6598976599795643</v>
      </c>
      <c r="AM8" s="59">
        <f t="shared" si="5"/>
        <v>270.43767543775732</v>
      </c>
      <c r="AN8" s="59">
        <f ca="1">AVERAGE(OFFSET($AM$3,0,0,'Données projet'!$E$10+1,1))-AVERAGE(OFFSET($H$3,0,0,'Données projet'!$E$10+1,1))</f>
        <v>388.12151914648013</v>
      </c>
      <c r="AO8" s="59">
        <f t="shared" si="36"/>
        <v>481.43684454382793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4.333333333333333</v>
      </c>
      <c r="BD8" s="12">
        <f>IF('Données projet'!$A$88&gt;35,BD7+BC8-BL7,IF(A8&lt;'Données projet'!$A$88,$BA$205^A8,IF(A8='Données projet'!$A$88,'Données projet'!$B$88,BD7+BC8-BL7)))</f>
        <v>4.0207257585890561</v>
      </c>
      <c r="BE8" s="13">
        <f>BD8*VLOOKUP('Données projet'!$B$11,Paramètres!$A$1:$I$89,3,0)*VLOOKUP('Données projet'!$B$11,Paramètres!$A$1:$I$89,5,0)</f>
        <v>3.8261226318733454</v>
      </c>
      <c r="BF8" s="13">
        <f t="shared" si="37"/>
        <v>1.5082655661236684</v>
      </c>
      <c r="BG8" s="20">
        <f t="shared" si="7"/>
        <v>9.2907261115114661</v>
      </c>
      <c r="BH8" s="59">
        <f t="shared" si="8"/>
        <v>272.06850388928922</v>
      </c>
      <c r="BI8" s="59">
        <f ca="1">AVERAGE(OFFSET($BH$3,0,0,'Données projet'!$E$11+1,1))-AVERAGE(OFFSET($H$3,0,0,'Données projet'!$E$11+1,1))</f>
        <v>415.24818074059294</v>
      </c>
      <c r="BJ8" s="59">
        <f t="shared" si="38"/>
        <v>404.45811532046872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4.333333333333333</v>
      </c>
      <c r="BY8" s="12">
        <f>IF('Données projet'!$A$114&gt;35,BY7+BX8-CG7,IF(A8&lt;'Données projet'!$A$114,$BV$205^A8,IF(A8='Données projet'!$A$114,'Données projet'!$B$114,BY7+BX8-CG7)))</f>
        <v>4.0207257585890561</v>
      </c>
      <c r="BZ8" s="13">
        <f>BY8*VLOOKUP('Données projet'!$B$12,Paramètres!$A$1:$I$89,3,0)*VLOOKUP('Données projet'!$B$12,Paramètres!$A$1:$I$89,5,0)</f>
        <v>3.5125060227033997</v>
      </c>
      <c r="CA8" s="13">
        <f t="shared" si="39"/>
        <v>1.3984898368966503</v>
      </c>
      <c r="CB8" s="20">
        <f t="shared" si="10"/>
        <v>8.5533177888034189</v>
      </c>
      <c r="CC8" s="59">
        <f t="shared" si="11"/>
        <v>271.33109556658121</v>
      </c>
      <c r="CD8" s="59">
        <f ca="1">AVERAGE(OFFSET($CC$3,0,0,'Données projet'!$E$12+1,1))-AVERAGE(OFFSET($H$3,0,0,'Données projet'!$E$12+1,1))</f>
        <v>384.34044781465661</v>
      </c>
      <c r="CE8" s="59">
        <f t="shared" si="40"/>
        <v>374.99493809709708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9.300476190476191</v>
      </c>
      <c r="CT8" s="12">
        <f>IF('Données projet'!$A$140&gt;35,CT7+CS8-DB7,IF(A8&lt;'Données projet'!$A$140,$CQ$205^A8,IF(A8='Données projet'!$A$140,'Données projet'!$B$140,CT7+CS8-DB7)))</f>
        <v>3.5108363842459145</v>
      </c>
      <c r="CU8" s="17">
        <f>CT8*VLOOKUP('Données projet'!$B$13,Paramètres!$A$1:$I$89,3,0)*VLOOKUP('Données projet'!$B$13,Paramètres!$A$1:$I$89,5,0)</f>
        <v>1.9625575387934662</v>
      </c>
      <c r="CV8" s="13">
        <f t="shared" si="41"/>
        <v>0.83616105511893679</v>
      </c>
      <c r="CW8" s="20">
        <f t="shared" si="13"/>
        <v>4.8744348843974343</v>
      </c>
      <c r="CX8" s="59">
        <f t="shared" si="14"/>
        <v>267.6522126621752</v>
      </c>
      <c r="CY8" s="59">
        <f ca="1">AVERAGE(OFFSET($CX$3,0,0,'Données projet'!$E$13+1,1))-AVERAGE(OFFSET($H$3,0,0,'Données projet'!$E$13+1,1))</f>
        <v>386.66324266750968</v>
      </c>
      <c r="CZ8" s="59">
        <f t="shared" si="42"/>
        <v>356.22149461585769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4.333333333333333</v>
      </c>
      <c r="DO8" s="12">
        <f>IF('Données projet'!$A$166&gt;35,DO7+DN8-DW7,IF(A8&lt;'Données projet'!$A$166,$DL$205^A8,IF(A8='Données projet'!$A$166,'Données projet'!$B$166,DO7+DN8-DW7)))</f>
        <v>4.0207257585890561</v>
      </c>
      <c r="DP8" s="17">
        <f>DO8*VLOOKUP('Données projet'!$B$14,Paramètres!$A$1:$I$89,3,0)*VLOOKUP('Données projet'!$B$14,Paramètres!$A$1:$I$89,5,0)</f>
        <v>3.1361660916994638</v>
      </c>
      <c r="DQ8" s="13">
        <f t="shared" si="43"/>
        <v>1.2652322980596569</v>
      </c>
      <c r="DR8" s="20">
        <f t="shared" si="16"/>
        <v>7.6657688621638007</v>
      </c>
      <c r="DS8" s="59">
        <f t="shared" si="17"/>
        <v>270.44354663994159</v>
      </c>
      <c r="DT8" s="59">
        <f ca="1">AVERAGE(OFFSET($DS$3,0,0,'Données projet'!$E$14+1,1))-AVERAGE(OFFSET($H$3,0,0,'Données projet'!$E$14+1,1))</f>
        <v>347.17417070871716</v>
      </c>
      <c r="DU8" s="59">
        <f t="shared" si="44"/>
        <v>339.56378046986441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4.333333333333333</v>
      </c>
      <c r="EJ8" s="12">
        <f>IF('Données projet'!$A$192&gt;35,EJ7+EI8-ER7,IF(A8&lt;'Données projet'!$A$192,$EG$205^A8,IF(A8='Données projet'!$A$192,'Données projet'!$B$192,EJ7+EI8-ER7)))</f>
        <v>4.0207257585890561</v>
      </c>
      <c r="EK8" s="17">
        <f>EJ8*VLOOKUP('Données projet'!$B$15,Paramètres!$A$1:$I$89,3,0)*VLOOKUP('Données projet'!$B$15,Paramètres!$A$1:$I$89,5,0)</f>
        <v>3.5125060227033997</v>
      </c>
      <c r="EL8" s="13">
        <f t="shared" si="45"/>
        <v>1.3984898368966503</v>
      </c>
      <c r="EM8" s="20">
        <f t="shared" si="19"/>
        <v>8.5533177888034189</v>
      </c>
      <c r="EN8" s="59">
        <f t="shared" si="20"/>
        <v>271.33109556658121</v>
      </c>
      <c r="EO8" s="59">
        <f ca="1">AVERAGE(OFFSET($EN$3,0,0,'Données projet'!$E$15+1,1))-AVERAGE(OFFSET($H$3,0,0,'Données projet'!$E$15+1,1))</f>
        <v>384.34044781465661</v>
      </c>
      <c r="EP8" s="59">
        <f t="shared" si="46"/>
        <v>374.99493809709708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4.333333333333333</v>
      </c>
      <c r="FE8" s="12">
        <f>IF('Données projet'!$A$218&gt;35,FE7+FD8-FM7,IF(A8&lt;'Données projet'!$A$218,$FB$205^A8,IF(A8='Données projet'!$A$218,'Données projet'!$B$218,FE7+FD8-FM7)))</f>
        <v>4.0207257585890561</v>
      </c>
      <c r="FF8" s="17">
        <f>FE8*VLOOKUP('Données projet'!$B$16,Paramètres!$A$1:$I$89,3,0)*VLOOKUP('Données projet'!$B$16,Paramètres!$A$1:$I$89,5,0)</f>
        <v>3.2616127353674425</v>
      </c>
      <c r="FG8" s="13">
        <f t="shared" si="47"/>
        <v>1.3098480816638303</v>
      </c>
      <c r="FH8" s="20">
        <f t="shared" si="22"/>
        <v>7.9619609229961332</v>
      </c>
      <c r="FI8" s="59">
        <f t="shared" si="23"/>
        <v>270.7397387007739</v>
      </c>
      <c r="FJ8" s="59">
        <f ca="1">AVERAGE(OFFSET($FI$3,0,0,'Données projet'!$E$16+1,1))-AVERAGE(OFFSET($H$3,0,0,'Données projet'!$E$16+1,1))</f>
        <v>359.57284550600366</v>
      </c>
      <c r="FK8" s="59">
        <f t="shared" si="48"/>
        <v>351.38386928091433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6">
        <f t="shared" si="1"/>
        <v>256.66666666666669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5.0894117647058819</v>
      </c>
      <c r="N9" s="13">
        <f>IF('Données projet'!$A$36&gt;35,N8+M9-V8,IF(A9&lt;'Données projet'!$A$36,$K$205^A9,IF(A9='Données projet'!$A$36,'Données projet'!$B$36,N8+M9-V8)))</f>
        <v>2.482944605470975</v>
      </c>
      <c r="O9" s="13">
        <f>N9*VLOOKUP('Données projet'!$B$9,Paramètres!$A$1:$I$89,3,0)*VLOOKUP('Données projet'!$B$9,Paramètres!$A$1:$I$89,5,0)</f>
        <v>2.246568279030138</v>
      </c>
      <c r="P9" s="13">
        <f t="shared" si="33"/>
        <v>0.94222539076696599</v>
      </c>
      <c r="Q9" s="20">
        <f t="shared" si="2"/>
        <v>5.5538156415632898</v>
      </c>
      <c r="R9" s="59">
        <f t="shared" si="0"/>
        <v>269.55381564156329</v>
      </c>
      <c r="S9" s="59">
        <f ca="1">AVERAGE(OFFSET($R$3,0,0,'Données projet'!$E$9+1,1))-AVERAGE(OFFSET($H$3,0,0,'Données projet'!$E$9+1,1))</f>
        <v>695.0879239758051</v>
      </c>
      <c r="T9" s="59">
        <f t="shared" si="34"/>
        <v>226.22150997227476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9.5933333333333337</v>
      </c>
      <c r="AI9" s="13">
        <f>IF('Données projet'!$A$62&gt;35,AI8+AH9-AQ8,IF(A9&lt;'Données projet'!$A$62,$AF$205^A9,IF(A9='Données projet'!$A$62,'Données projet'!$B$62,AI8+AH9-AQ8)))</f>
        <v>7.2983437989470437</v>
      </c>
      <c r="AJ9" s="13">
        <f>AI9*VLOOKUP('Données projet'!$B$10,Paramètres!$A$1:$I$89,3,0)*VLOOKUP('Données projet'!$B$10,Paramètres!$A$1:$I$89,5,0)</f>
        <v>4.3644095917703325</v>
      </c>
      <c r="AK9" s="13">
        <f t="shared" si="35"/>
        <v>1.6942997160263542</v>
      </c>
      <c r="AL9" s="20">
        <f t="shared" si="4"/>
        <v>10.55225204441256</v>
      </c>
      <c r="AM9" s="59">
        <f t="shared" si="5"/>
        <v>274.55225204441257</v>
      </c>
      <c r="AN9" s="59">
        <f ca="1">AVERAGE(OFFSET($AM$3,0,0,'Données projet'!$E$10+1,1))-AVERAGE(OFFSET($H$3,0,0,'Données projet'!$E$10+1,1))</f>
        <v>388.12151914648013</v>
      </c>
      <c r="AO9" s="59">
        <f t="shared" si="36"/>
        <v>481.43684454382793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4.333333333333333</v>
      </c>
      <c r="BD9" s="12">
        <f>IF('Données projet'!$A$88&gt;35,BD8+BC9-BL8,IF(A9&lt;'Données projet'!$A$88,$BA$205^A9,IF(A9='Données projet'!$A$88,'Données projet'!$B$88,BD8+BC9-BL8)))</f>
        <v>5.310865986667876</v>
      </c>
      <c r="BE9" s="13">
        <f>BD9*VLOOKUP('Données projet'!$B$11,Paramètres!$A$1:$I$89,3,0)*VLOOKUP('Données projet'!$B$11,Paramètres!$A$1:$I$89,5,0)</f>
        <v>5.0538200729131511</v>
      </c>
      <c r="BF9" s="13">
        <f t="shared" si="37"/>
        <v>1.9287258400265734</v>
      </c>
      <c r="BG9" s="20">
        <f t="shared" si="7"/>
        <v>12.161267465036687</v>
      </c>
      <c r="BH9" s="59">
        <f t="shared" si="8"/>
        <v>276.1612674650367</v>
      </c>
      <c r="BI9" s="59">
        <f ca="1">AVERAGE(OFFSET($BH$3,0,0,'Données projet'!$E$11+1,1))-AVERAGE(OFFSET($H$3,0,0,'Données projet'!$E$11+1,1))</f>
        <v>415.24818074059294</v>
      </c>
      <c r="BJ9" s="59">
        <f t="shared" si="38"/>
        <v>404.45811532046872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4.333333333333333</v>
      </c>
      <c r="BY9" s="12">
        <f>IF('Données projet'!$A$114&gt;35,BY8+BX9-CG8,IF(A9&lt;'Données projet'!$A$114,$BV$205^A9,IF(A9='Données projet'!$A$114,'Données projet'!$B$114,BY8+BX9-CG8)))</f>
        <v>5.310865986667876</v>
      </c>
      <c r="BZ9" s="13">
        <f>BY9*VLOOKUP('Données projet'!$B$12,Paramètres!$A$1:$I$89,3,0)*VLOOKUP('Données projet'!$B$12,Paramètres!$A$1:$I$89,5,0)</f>
        <v>4.6395725259530565</v>
      </c>
      <c r="CA9" s="13">
        <f t="shared" si="39"/>
        <v>1.7883478520094751</v>
      </c>
      <c r="CB9" s="20">
        <f t="shared" si="10"/>
        <v>11.195294658284743</v>
      </c>
      <c r="CC9" s="59">
        <f t="shared" si="11"/>
        <v>275.19529465828475</v>
      </c>
      <c r="CD9" s="59">
        <f ca="1">AVERAGE(OFFSET($CC$3,0,0,'Données projet'!$E$12+1,1))-AVERAGE(OFFSET($H$3,0,0,'Données projet'!$E$12+1,1))</f>
        <v>384.34044781465661</v>
      </c>
      <c r="CE9" s="59">
        <f t="shared" si="40"/>
        <v>374.99493809709708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9.300476190476191</v>
      </c>
      <c r="CT9" s="12">
        <f>IF('Données projet'!$A$140&gt;35,CT8+CS9-DB8,IF(A9&lt;'Données projet'!$A$140,$CQ$205^A9,IF(A9='Données projet'!$A$140,'Données projet'!$B$140,CT8+CS9-DB8)))</f>
        <v>4.5132844786893322</v>
      </c>
      <c r="CU9" s="17">
        <f>CT9*VLOOKUP('Données projet'!$B$13,Paramètres!$A$1:$I$89,3,0)*VLOOKUP('Données projet'!$B$13,Paramètres!$A$1:$I$89,5,0)</f>
        <v>2.5229260235873365</v>
      </c>
      <c r="CV9" s="13">
        <f t="shared" si="41"/>
        <v>1.0439384546728099</v>
      </c>
      <c r="CW9" s="20">
        <f t="shared" si="13"/>
        <v>6.2122889663030882</v>
      </c>
      <c r="CX9" s="59">
        <f t="shared" si="14"/>
        <v>270.21228896630311</v>
      </c>
      <c r="CY9" s="59">
        <f ca="1">AVERAGE(OFFSET($CX$3,0,0,'Données projet'!$E$13+1,1))-AVERAGE(OFFSET($H$3,0,0,'Données projet'!$E$13+1,1))</f>
        <v>386.66324266750968</v>
      </c>
      <c r="CZ9" s="59">
        <f t="shared" si="42"/>
        <v>356.22149461585769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4.333333333333333</v>
      </c>
      <c r="DO9" s="12">
        <f>IF('Données projet'!$A$166&gt;35,DO8+DN9-DW8,IF(A9&lt;'Données projet'!$A$166,$DL$205^A9,IF(A9='Données projet'!$A$166,'Données projet'!$B$166,DO8+DN9-DW8)))</f>
        <v>5.310865986667876</v>
      </c>
      <c r="DP9" s="17">
        <f>DO9*VLOOKUP('Données projet'!$B$14,Paramètres!$A$1:$I$89,3,0)*VLOOKUP('Données projet'!$B$14,Paramètres!$A$1:$I$89,5,0)</f>
        <v>4.1424754696009431</v>
      </c>
      <c r="DQ9" s="13">
        <f t="shared" si="43"/>
        <v>1.6179420134715023</v>
      </c>
      <c r="DR9" s="20">
        <f t="shared" si="16"/>
        <v>10.032727116351175</v>
      </c>
      <c r="DS9" s="59">
        <f t="shared" si="17"/>
        <v>274.03272711635117</v>
      </c>
      <c r="DT9" s="59">
        <f ca="1">AVERAGE(OFFSET($DS$3,0,0,'Données projet'!$E$14+1,1))-AVERAGE(OFFSET($H$3,0,0,'Données projet'!$E$14+1,1))</f>
        <v>347.17417070871716</v>
      </c>
      <c r="DU9" s="59">
        <f t="shared" si="44"/>
        <v>339.56378046986441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4.333333333333333</v>
      </c>
      <c r="EJ9" s="12">
        <f>IF('Données projet'!$A$192&gt;35,EJ8+EI9-ER8,IF(A9&lt;'Données projet'!$A$192,$EG$205^A9,IF(A9='Données projet'!$A$192,'Données projet'!$B$192,EJ8+EI9-ER8)))</f>
        <v>5.310865986667876</v>
      </c>
      <c r="EK9" s="17">
        <f>EJ9*VLOOKUP('Données projet'!$B$15,Paramètres!$A$1:$I$89,3,0)*VLOOKUP('Données projet'!$B$15,Paramètres!$A$1:$I$89,5,0)</f>
        <v>4.6395725259530565</v>
      </c>
      <c r="EL9" s="13">
        <f t="shared" si="45"/>
        <v>1.7883478520094751</v>
      </c>
      <c r="EM9" s="20">
        <f t="shared" si="19"/>
        <v>11.195294658284743</v>
      </c>
      <c r="EN9" s="59">
        <f t="shared" si="20"/>
        <v>275.19529465828475</v>
      </c>
      <c r="EO9" s="59">
        <f ca="1">AVERAGE(OFFSET($EN$3,0,0,'Données projet'!$E$15+1,1))-AVERAGE(OFFSET($H$3,0,0,'Données projet'!$E$15+1,1))</f>
        <v>384.34044781465661</v>
      </c>
      <c r="EP9" s="59">
        <f t="shared" si="46"/>
        <v>374.99493809709708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4.333333333333333</v>
      </c>
      <c r="FE9" s="12">
        <f>IF('Données projet'!$A$218&gt;35,FE8+FD9-FM8,IF(A9&lt;'Données projet'!$A$218,$FB$205^A9,IF(A9='Données projet'!$A$218,'Données projet'!$B$218,FE8+FD9-FM8)))</f>
        <v>5.310865986667876</v>
      </c>
      <c r="FF9" s="17">
        <f>FE9*VLOOKUP('Données projet'!$B$16,Paramètres!$A$1:$I$89,3,0)*VLOOKUP('Données projet'!$B$16,Paramètres!$A$1:$I$89,5,0)</f>
        <v>4.3081744883849815</v>
      </c>
      <c r="FG9" s="13">
        <f t="shared" si="47"/>
        <v>1.6749953710785195</v>
      </c>
      <c r="FH9" s="20">
        <f t="shared" si="22"/>
        <v>10.420687505232264</v>
      </c>
      <c r="FI9" s="59">
        <f t="shared" si="23"/>
        <v>274.42068750523225</v>
      </c>
      <c r="FJ9" s="59">
        <f ca="1">AVERAGE(OFFSET($FI$3,0,0,'Données projet'!$E$16+1,1))-AVERAGE(OFFSET($H$3,0,0,'Données projet'!$E$16+1,1))</f>
        <v>359.57284550600366</v>
      </c>
      <c r="FK9" s="59">
        <f t="shared" si="48"/>
        <v>351.38386928091433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6">
        <f t="shared" si="1"/>
        <v>256.66666666666669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5.0894117647058819</v>
      </c>
      <c r="N10" s="13">
        <f>IF('Données projet'!$A$36&gt;35,N9+M10-V9,IF(A10&lt;'Données projet'!$A$36,$K$205^A10,IF(A10='Données projet'!$A$36,'Données projet'!$B$36,N9+M10-V9)))</f>
        <v>2.8893148451696504</v>
      </c>
      <c r="O10" s="13">
        <f>N10*VLOOKUP('Données projet'!$B$9,Paramètres!$A$1:$I$89,3,0)*VLOOKUP('Données projet'!$B$9,Paramètres!$A$1:$I$89,5,0)</f>
        <v>2.6142520719094997</v>
      </c>
      <c r="P10" s="13">
        <f t="shared" si="33"/>
        <v>1.0772593725826609</v>
      </c>
      <c r="Q10" s="20">
        <f t="shared" si="2"/>
        <v>6.4293824324905131</v>
      </c>
      <c r="R10" s="59">
        <f t="shared" si="0"/>
        <v>271.65160465471274</v>
      </c>
      <c r="S10" s="59">
        <f ca="1">AVERAGE(OFFSET($R$3,0,0,'Données projet'!$E$9+1,1))-AVERAGE(OFFSET($H$3,0,0,'Données projet'!$E$9+1,1))</f>
        <v>695.0879239758051</v>
      </c>
      <c r="T10" s="59">
        <f t="shared" si="34"/>
        <v>226.22150997227476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9.5933333333333337</v>
      </c>
      <c r="AI10" s="13">
        <f>IF('Données projet'!$A$62&gt;35,AI9+AH10-AQ9,IF(A10&lt;'Données projet'!$A$62,$AF$205^A10,IF(A10='Données projet'!$A$62,'Données projet'!$B$62,AI9+AH10-AQ9)))</f>
        <v>10.164711040974447</v>
      </c>
      <c r="AJ10" s="13">
        <f>AI10*VLOOKUP('Données projet'!$B$10,Paramètres!$A$1:$I$89,3,0)*VLOOKUP('Données projet'!$B$10,Paramètres!$A$1:$I$89,5,0)</f>
        <v>6.07849720250272</v>
      </c>
      <c r="AK10" s="13">
        <f t="shared" si="35"/>
        <v>2.2704628795276998</v>
      </c>
      <c r="AL10" s="20">
        <f t="shared" si="4"/>
        <v>14.541105476202981</v>
      </c>
      <c r="AM10" s="59">
        <f t="shared" si="5"/>
        <v>279.7633276984252</v>
      </c>
      <c r="AN10" s="59">
        <f ca="1">AVERAGE(OFFSET($AM$3,0,0,'Données projet'!$E$10+1,1))-AVERAGE(OFFSET($H$3,0,0,'Données projet'!$E$10+1,1))</f>
        <v>388.12151914648013</v>
      </c>
      <c r="AO10" s="59">
        <f t="shared" si="36"/>
        <v>481.43684454382793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4.333333333333333</v>
      </c>
      <c r="BD10" s="12">
        <f>IF('Données projet'!$A$88&gt;35,BD9+BC10-BL9,IF(A10&lt;'Données projet'!$A$88,$BA$205^A10,IF(A10='Données projet'!$A$88,'Données projet'!$B$88,BD9+BC10-BL9)))</f>
        <v>7.0149767036694106</v>
      </c>
      <c r="BE10" s="13">
        <f>BD10*VLOOKUP('Données projet'!$B$11,Paramètres!$A$1:$I$89,3,0)*VLOOKUP('Données projet'!$B$11,Paramètres!$A$1:$I$89,5,0)</f>
        <v>6.6754518312118112</v>
      </c>
      <c r="BF10" s="13">
        <f t="shared" si="37"/>
        <v>2.4663981261249552</v>
      </c>
      <c r="BG10" s="20">
        <f t="shared" si="7"/>
        <v>15.922055342361537</v>
      </c>
      <c r="BH10" s="59">
        <f t="shared" si="8"/>
        <v>281.14427756458377</v>
      </c>
      <c r="BI10" s="59">
        <f ca="1">AVERAGE(OFFSET($BH$3,0,0,'Données projet'!$E$11+1,1))-AVERAGE(OFFSET($H$3,0,0,'Données projet'!$E$11+1,1))</f>
        <v>415.24818074059294</v>
      </c>
      <c r="BJ10" s="59">
        <f t="shared" si="38"/>
        <v>404.45811532046872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4.333333333333333</v>
      </c>
      <c r="BY10" s="12">
        <f>IF('Données projet'!$A$114&gt;35,BY9+BX10-CG9,IF(A10&lt;'Données projet'!$A$114,$BV$205^A10,IF(A10='Données projet'!$A$114,'Données projet'!$B$114,BY9+BX10-CG9)))</f>
        <v>7.0149767036694106</v>
      </c>
      <c r="BZ10" s="13">
        <f>BY10*VLOOKUP('Données projet'!$B$12,Paramètres!$A$1:$I$89,3,0)*VLOOKUP('Données projet'!$B$12,Paramètres!$A$1:$I$89,5,0)</f>
        <v>6.1282836483255982</v>
      </c>
      <c r="CA10" s="13">
        <f t="shared" si="39"/>
        <v>2.2868868656807066</v>
      </c>
      <c r="CB10" s="20">
        <f t="shared" si="10"/>
        <v>14.656421978560983</v>
      </c>
      <c r="CC10" s="59">
        <f t="shared" si="11"/>
        <v>279.87864420078319</v>
      </c>
      <c r="CD10" s="59">
        <f ca="1">AVERAGE(OFFSET($CC$3,0,0,'Données projet'!$E$12+1,1))-AVERAGE(OFFSET($H$3,0,0,'Données projet'!$E$12+1,1))</f>
        <v>384.34044781465661</v>
      </c>
      <c r="CE10" s="59">
        <f t="shared" si="40"/>
        <v>374.99493809709708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9.300476190476191</v>
      </c>
      <c r="CT10" s="12">
        <f>IF('Données projet'!$A$140&gt;35,CT9+CS10-DB9,IF(A10&lt;'Données projet'!$A$140,$CQ$205^A10,IF(A10='Données projet'!$A$140,'Données projet'!$B$140,CT9+CS10-DB9)))</f>
        <v>5.8019612867699086</v>
      </c>
      <c r="CU10" s="17">
        <f>CT10*VLOOKUP('Données projet'!$B$13,Paramètres!$A$1:$I$89,3,0)*VLOOKUP('Données projet'!$B$13,Paramètres!$A$1:$I$89,5,0)</f>
        <v>3.2432963593043791</v>
      </c>
      <c r="CV10" s="13">
        <f t="shared" si="41"/>
        <v>1.3033463953779079</v>
      </c>
      <c r="CW10" s="20">
        <f t="shared" si="13"/>
        <v>7.9187361310716495</v>
      </c>
      <c r="CX10" s="59">
        <f t="shared" si="14"/>
        <v>273.14095835329385</v>
      </c>
      <c r="CY10" s="59">
        <f ca="1">AVERAGE(OFFSET($CX$3,0,0,'Données projet'!$E$13+1,1))-AVERAGE(OFFSET($H$3,0,0,'Données projet'!$E$13+1,1))</f>
        <v>386.66324266750968</v>
      </c>
      <c r="CZ10" s="59">
        <f t="shared" si="42"/>
        <v>356.22149461585769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4.333333333333333</v>
      </c>
      <c r="DO10" s="12">
        <f>IF('Données projet'!$A$166&gt;35,DO9+DN10-DW9,IF(A10&lt;'Données projet'!$A$166,$DL$205^A10,IF(A10='Données projet'!$A$166,'Données projet'!$B$166,DO9+DN10-DW9)))</f>
        <v>7.0149767036694106</v>
      </c>
      <c r="DP10" s="17">
        <f>DO10*VLOOKUP('Données projet'!$B$14,Paramètres!$A$1:$I$89,3,0)*VLOOKUP('Données projet'!$B$14,Paramètres!$A$1:$I$89,5,0)</f>
        <v>5.4716818288621401</v>
      </c>
      <c r="DQ10" s="13">
        <f t="shared" si="43"/>
        <v>2.068976869283802</v>
      </c>
      <c r="DR10" s="20">
        <f t="shared" si="16"/>
        <v>13.133313899270847</v>
      </c>
      <c r="DS10" s="59">
        <f t="shared" si="17"/>
        <v>278.35553612149306</v>
      </c>
      <c r="DT10" s="59">
        <f ca="1">AVERAGE(OFFSET($DS$3,0,0,'Données projet'!$E$14+1,1))-AVERAGE(OFFSET($H$3,0,0,'Données projet'!$E$14+1,1))</f>
        <v>347.17417070871716</v>
      </c>
      <c r="DU10" s="59">
        <f t="shared" si="44"/>
        <v>339.56378046986441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4.333333333333333</v>
      </c>
      <c r="EJ10" s="12">
        <f>IF('Données projet'!$A$192&gt;35,EJ9+EI10-ER9,IF(A10&lt;'Données projet'!$A$192,$EG$205^A10,IF(A10='Données projet'!$A$192,'Données projet'!$B$192,EJ9+EI10-ER9)))</f>
        <v>7.0149767036694106</v>
      </c>
      <c r="EK10" s="17">
        <f>EJ10*VLOOKUP('Données projet'!$B$15,Paramètres!$A$1:$I$89,3,0)*VLOOKUP('Données projet'!$B$15,Paramètres!$A$1:$I$89,5,0)</f>
        <v>6.1282836483255982</v>
      </c>
      <c r="EL10" s="13">
        <f t="shared" si="45"/>
        <v>2.2868868656807066</v>
      </c>
      <c r="EM10" s="20">
        <f t="shared" si="19"/>
        <v>14.656421978560983</v>
      </c>
      <c r="EN10" s="59">
        <f t="shared" si="20"/>
        <v>279.87864420078319</v>
      </c>
      <c r="EO10" s="59">
        <f ca="1">AVERAGE(OFFSET($EN$3,0,0,'Données projet'!$E$15+1,1))-AVERAGE(OFFSET($H$3,0,0,'Données projet'!$E$15+1,1))</f>
        <v>384.34044781465661</v>
      </c>
      <c r="EP10" s="59">
        <f t="shared" si="46"/>
        <v>374.99493809709708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4.333333333333333</v>
      </c>
      <c r="FE10" s="12">
        <f>IF('Données projet'!$A$218&gt;35,FE9+FD10-FM9,IF(A10&lt;'Données projet'!$A$218,$FB$205^A10,IF(A10='Données projet'!$A$218,'Données projet'!$B$218,FE9+FD10-FM9)))</f>
        <v>7.0149767036694106</v>
      </c>
      <c r="FF10" s="17">
        <f>FE10*VLOOKUP('Données projet'!$B$16,Paramètres!$A$1:$I$89,3,0)*VLOOKUP('Données projet'!$B$16,Paramètres!$A$1:$I$89,5,0)</f>
        <v>5.6905491020166261</v>
      </c>
      <c r="FG10" s="13">
        <f t="shared" si="47"/>
        <v>2.1419350323211908</v>
      </c>
      <c r="FH10" s="20">
        <f t="shared" si="22"/>
        <v>13.641576533971696</v>
      </c>
      <c r="FI10" s="59">
        <f t="shared" si="23"/>
        <v>278.86379875619394</v>
      </c>
      <c r="FJ10" s="59">
        <f ca="1">AVERAGE(OFFSET($FI$3,0,0,'Données projet'!$E$16+1,1))-AVERAGE(OFFSET($H$3,0,0,'Données projet'!$E$16+1,1))</f>
        <v>359.57284550600366</v>
      </c>
      <c r="FK10" s="59">
        <f t="shared" si="48"/>
        <v>351.38386928091433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6">
        <f t="shared" si="1"/>
        <v>256.66666666666669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5.0894117647058819</v>
      </c>
      <c r="N11" s="13">
        <f>IF('Données projet'!$A$36&gt;35,N10+M11-V10,IF(A11&lt;'Données projet'!$A$36,$K$205^A11,IF(A11='Données projet'!$A$36,'Données projet'!$B$36,N10+M11-V10)))</f>
        <v>3.3621935246252548</v>
      </c>
      <c r="O11" s="13">
        <f>N11*VLOOKUP('Données projet'!$B$9,Paramètres!$A$1:$I$89,3,0)*VLOOKUP('Données projet'!$B$9,Paramètres!$A$1:$I$89,5,0)</f>
        <v>3.0421127010809306</v>
      </c>
      <c r="P11" s="13">
        <f t="shared" si="33"/>
        <v>1.2316455990137962</v>
      </c>
      <c r="Q11" s="20">
        <f t="shared" si="2"/>
        <v>7.4434623726649827</v>
      </c>
      <c r="R11" s="59">
        <f t="shared" si="0"/>
        <v>273.88790681710947</v>
      </c>
      <c r="S11" s="59">
        <f ca="1">AVERAGE(OFFSET($R$3,0,0,'Données projet'!$E$9+1,1))-AVERAGE(OFFSET($H$3,0,0,'Données projet'!$E$9+1,1))</f>
        <v>695.0879239758051</v>
      </c>
      <c r="T11" s="59">
        <f t="shared" si="34"/>
        <v>226.22150997227476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9.5933333333333337</v>
      </c>
      <c r="AI11" s="13">
        <f>IF('Données projet'!$A$62&gt;35,AI10+AH11-AQ10,IF(A11&lt;'Données projet'!$A$62,$AF$205^A11,IF(A11='Données projet'!$A$62,'Données projet'!$B$62,AI10+AH11-AQ10)))</f>
        <v>14.156821519070441</v>
      </c>
      <c r="AJ11" s="13">
        <f>AI11*VLOOKUP('Données projet'!$B$10,Paramètres!$A$1:$I$89,3,0)*VLOOKUP('Données projet'!$B$10,Paramètres!$A$1:$I$89,5,0)</f>
        <v>8.4657792684041251</v>
      </c>
      <c r="AK11" s="13">
        <f t="shared" si="35"/>
        <v>3.0425559530891335</v>
      </c>
      <c r="AL11" s="20">
        <f t="shared" si="4"/>
        <v>20.043683844100759</v>
      </c>
      <c r="AM11" s="59">
        <f t="shared" si="5"/>
        <v>286.48812828854523</v>
      </c>
      <c r="AN11" s="59">
        <f ca="1">AVERAGE(OFFSET($AM$3,0,0,'Données projet'!$E$10+1,1))-AVERAGE(OFFSET($H$3,0,0,'Données projet'!$E$10+1,1))</f>
        <v>388.12151914648013</v>
      </c>
      <c r="AO11" s="59">
        <f t="shared" si="36"/>
        <v>481.43684454382793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4.333333333333333</v>
      </c>
      <c r="BD11" s="12">
        <f>IF('Données projet'!$A$88&gt;35,BD10+BC11-BL10,IF(A11&lt;'Données projet'!$A$88,$BA$205^A11,IF(A11='Données projet'!$A$88,'Données projet'!$B$88,BD10+BC11-BL10)))</f>
        <v>9.2658896452214261</v>
      </c>
      <c r="BE11" s="13">
        <f>BD11*VLOOKUP('Données projet'!$B$11,Paramètres!$A$1:$I$89,3,0)*VLOOKUP('Données projet'!$B$11,Paramètres!$A$1:$I$89,5,0)</f>
        <v>8.8174205863927089</v>
      </c>
      <c r="BF11" s="13">
        <f t="shared" si="37"/>
        <v>3.1539577011468243</v>
      </c>
      <c r="BG11" s="20">
        <f t="shared" si="7"/>
        <v>20.850150517464684</v>
      </c>
      <c r="BH11" s="59">
        <f t="shared" si="8"/>
        <v>287.29459496190913</v>
      </c>
      <c r="BI11" s="59">
        <f ca="1">AVERAGE(OFFSET($BH$3,0,0,'Données projet'!$E$11+1,1))-AVERAGE(OFFSET($H$3,0,0,'Données projet'!$E$11+1,1))</f>
        <v>415.24818074059294</v>
      </c>
      <c r="BJ11" s="59">
        <f t="shared" si="38"/>
        <v>404.45811532046872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4.333333333333333</v>
      </c>
      <c r="BY11" s="12">
        <f>IF('Données projet'!$A$114&gt;35,BY10+BX11-CG10,IF(A11&lt;'Données projet'!$A$114,$BV$205^A11,IF(A11='Données projet'!$A$114,'Données projet'!$B$114,BY10+BX11-CG10)))</f>
        <v>9.2658896452214261</v>
      </c>
      <c r="BZ11" s="13">
        <f>BY11*VLOOKUP('Données projet'!$B$12,Paramètres!$A$1:$I$89,3,0)*VLOOKUP('Données projet'!$B$12,Paramètres!$A$1:$I$89,5,0)</f>
        <v>8.0946811940654388</v>
      </c>
      <c r="CA11" s="13">
        <f t="shared" si="39"/>
        <v>2.924403957846573</v>
      </c>
      <c r="CB11" s="20">
        <f t="shared" si="10"/>
        <v>19.191573306246756</v>
      </c>
      <c r="CC11" s="59">
        <f t="shared" si="11"/>
        <v>285.63601775069122</v>
      </c>
      <c r="CD11" s="59">
        <f ca="1">AVERAGE(OFFSET($CC$3,0,0,'Données projet'!$E$12+1,1))-AVERAGE(OFFSET($H$3,0,0,'Données projet'!$E$12+1,1))</f>
        <v>384.34044781465661</v>
      </c>
      <c r="CE11" s="59">
        <f t="shared" si="40"/>
        <v>374.99493809709708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9.300476190476191</v>
      </c>
      <c r="CT11" s="12">
        <f>IF('Données projet'!$A$140&gt;35,CT10+CS11-DB10,IF(A11&lt;'Données projet'!$A$140,$CQ$205^A11,IF(A11='Données projet'!$A$140,'Données projet'!$B$140,CT10+CS11-DB10)))</f>
        <v>7.4585936100691947</v>
      </c>
      <c r="CU11" s="17">
        <f>CT11*VLOOKUP('Données projet'!$B$13,Paramètres!$A$1:$I$89,3,0)*VLOOKUP('Données projet'!$B$13,Paramètres!$A$1:$I$89,5,0)</f>
        <v>4.1693538280286795</v>
      </c>
      <c r="CV11" s="13">
        <f t="shared" si="41"/>
        <v>1.6272145342868833</v>
      </c>
      <c r="CW11" s="20">
        <f t="shared" si="13"/>
        <v>10.095689897699605</v>
      </c>
      <c r="CX11" s="59">
        <f t="shared" si="14"/>
        <v>276.54013434214409</v>
      </c>
      <c r="CY11" s="59">
        <f ca="1">AVERAGE(OFFSET($CX$3,0,0,'Données projet'!$E$13+1,1))-AVERAGE(OFFSET($H$3,0,0,'Données projet'!$E$13+1,1))</f>
        <v>386.66324266750968</v>
      </c>
      <c r="CZ11" s="59">
        <f t="shared" si="42"/>
        <v>356.22149461585769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4.333333333333333</v>
      </c>
      <c r="DO11" s="12">
        <f>IF('Données projet'!$A$166&gt;35,DO10+DN11-DW10,IF(A11&lt;'Données projet'!$A$166,$DL$205^A11,IF(A11='Données projet'!$A$166,'Données projet'!$B$166,DO10+DN11-DW10)))</f>
        <v>9.2658896452214261</v>
      </c>
      <c r="DP11" s="17">
        <f>DO11*VLOOKUP('Données projet'!$B$14,Paramètres!$A$1:$I$89,3,0)*VLOOKUP('Données projet'!$B$14,Paramètres!$A$1:$I$89,5,0)</f>
        <v>7.2273939232727127</v>
      </c>
      <c r="DQ11" s="13">
        <f t="shared" si="43"/>
        <v>2.6457470354247645</v>
      </c>
      <c r="DR11" s="20">
        <f t="shared" si="16"/>
        <v>17.19572050306477</v>
      </c>
      <c r="DS11" s="59">
        <f t="shared" si="17"/>
        <v>283.64016494750922</v>
      </c>
      <c r="DT11" s="59">
        <f ca="1">AVERAGE(OFFSET($DS$3,0,0,'Données projet'!$E$14+1,1))-AVERAGE(OFFSET($H$3,0,0,'Données projet'!$E$14+1,1))</f>
        <v>347.17417070871716</v>
      </c>
      <c r="DU11" s="59">
        <f t="shared" si="44"/>
        <v>339.56378046986441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4.333333333333333</v>
      </c>
      <c r="EJ11" s="12">
        <f>IF('Données projet'!$A$192&gt;35,EJ10+EI11-ER10,IF(A11&lt;'Données projet'!$A$192,$EG$205^A11,IF(A11='Données projet'!$A$192,'Données projet'!$B$192,EJ10+EI11-ER10)))</f>
        <v>9.2658896452214261</v>
      </c>
      <c r="EK11" s="17">
        <f>EJ11*VLOOKUP('Données projet'!$B$15,Paramètres!$A$1:$I$89,3,0)*VLOOKUP('Données projet'!$B$15,Paramètres!$A$1:$I$89,5,0)</f>
        <v>8.0946811940654388</v>
      </c>
      <c r="EL11" s="13">
        <f t="shared" si="45"/>
        <v>2.924403957846573</v>
      </c>
      <c r="EM11" s="20">
        <f t="shared" si="19"/>
        <v>19.191573306246756</v>
      </c>
      <c r="EN11" s="59">
        <f t="shared" si="20"/>
        <v>285.63601775069122</v>
      </c>
      <c r="EO11" s="59">
        <f ca="1">AVERAGE(OFFSET($EN$3,0,0,'Données projet'!$E$15+1,1))-AVERAGE(OFFSET($H$3,0,0,'Données projet'!$E$15+1,1))</f>
        <v>384.34044781465661</v>
      </c>
      <c r="EP11" s="59">
        <f t="shared" si="46"/>
        <v>374.99493809709708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4.333333333333333</v>
      </c>
      <c r="FE11" s="12">
        <f>IF('Données projet'!$A$218&gt;35,FE10+FD11-FM10,IF(A11&lt;'Données projet'!$A$218,$FB$205^A11,IF(A11='Données projet'!$A$218,'Données projet'!$B$218,FE10+FD11-FM10)))</f>
        <v>9.2658896452214261</v>
      </c>
      <c r="FF11" s="17">
        <f>FE11*VLOOKUP('Données projet'!$B$16,Paramètres!$A$1:$I$89,3,0)*VLOOKUP('Données projet'!$B$16,Paramètres!$A$1:$I$89,5,0)</f>
        <v>7.5164896802036214</v>
      </c>
      <c r="FG11" s="13">
        <f t="shared" si="47"/>
        <v>2.7390437979125086</v>
      </c>
      <c r="FH11" s="20">
        <f t="shared" si="22"/>
        <v>17.861720807718925</v>
      </c>
      <c r="FI11" s="59">
        <f t="shared" si="23"/>
        <v>284.3061652521634</v>
      </c>
      <c r="FJ11" s="59">
        <f ca="1">AVERAGE(OFFSET($FI$3,0,0,'Données projet'!$E$16+1,1))-AVERAGE(OFFSET($H$3,0,0,'Données projet'!$E$16+1,1))</f>
        <v>359.57284550600366</v>
      </c>
      <c r="FK11" s="59">
        <f t="shared" si="48"/>
        <v>351.38386928091433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6">
        <f t="shared" si="1"/>
        <v>256.66666666666669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5.0894117647058819</v>
      </c>
      <c r="N12" s="13">
        <f>IF('Données projet'!$A$36&gt;35,N11+M12-V11,IF(A12&lt;'Données projet'!$A$36,$K$205^A12,IF(A12='Données projet'!$A$36,'Données projet'!$B$36,N11+M12-V11)))</f>
        <v>3.9124657238135789</v>
      </c>
      <c r="O12" s="13">
        <f>N12*VLOOKUP('Données projet'!$B$9,Paramètres!$A$1:$I$89,3,0)*VLOOKUP('Données projet'!$B$9,Paramètres!$A$1:$I$89,5,0)</f>
        <v>3.5399989869065265</v>
      </c>
      <c r="P12" s="13">
        <f t="shared" si="33"/>
        <v>1.4081575154303458</v>
      </c>
      <c r="Q12" s="20">
        <f t="shared" si="2"/>
        <v>8.6180392415700524</v>
      </c>
      <c r="R12" s="59">
        <f t="shared" si="0"/>
        <v>276.28470590823673</v>
      </c>
      <c r="S12" s="59">
        <f ca="1">AVERAGE(OFFSET($R$3,0,0,'Données projet'!$E$9+1,1))-AVERAGE(OFFSET($H$3,0,0,'Données projet'!$E$9+1,1))</f>
        <v>695.0879239758051</v>
      </c>
      <c r="T12" s="59">
        <f t="shared" si="34"/>
        <v>226.22150997227476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9.5933333333333337</v>
      </c>
      <c r="AI12" s="13">
        <f>IF('Données projet'!$A$62&gt;35,AI11+AH12-AQ11,IF(A12&lt;'Données projet'!$A$62,$AF$205^A12,IF(A12='Données projet'!$A$62,'Données projet'!$B$62,AI11+AH12-AQ11)))</f>
        <v>19.716802053194709</v>
      </c>
      <c r="AJ12" s="13">
        <f>AI12*VLOOKUP('Données projet'!$B$10,Paramètres!$A$1:$I$89,3,0)*VLOOKUP('Données projet'!$B$10,Paramètres!$A$1:$I$89,5,0)</f>
        <v>11.790647627810438</v>
      </c>
      <c r="AK12" s="13">
        <f t="shared" si="35"/>
        <v>4.0772068159087427</v>
      </c>
      <c r="AL12" s="20">
        <f t="shared" si="4"/>
        <v>27.636513156144243</v>
      </c>
      <c r="AM12" s="59">
        <f t="shared" si="5"/>
        <v>295.30317982281093</v>
      </c>
      <c r="AN12" s="59">
        <f ca="1">AVERAGE(OFFSET($AM$3,0,0,'Données projet'!$E$10+1,1))-AVERAGE(OFFSET($H$3,0,0,'Données projet'!$E$10+1,1))</f>
        <v>388.12151914648013</v>
      </c>
      <c r="AO12" s="59">
        <f t="shared" si="36"/>
        <v>481.43684454382793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4.333333333333333</v>
      </c>
      <c r="BD12" s="12">
        <f>IF('Données projet'!$A$88&gt;35,BD11+BC12-BL11,IF(A12&lt;'Données projet'!$A$88,$BA$205^A12,IF(A12='Données projet'!$A$88,'Données projet'!$B$88,BD11+BC12-BL11)))</f>
        <v>12.23905859480781</v>
      </c>
      <c r="BE12" s="13">
        <f>BD12*VLOOKUP('Données projet'!$B$11,Paramètres!$A$1:$I$89,3,0)*VLOOKUP('Données projet'!$B$11,Paramètres!$A$1:$I$89,5,0)</f>
        <v>11.646688158819112</v>
      </c>
      <c r="BF12" s="13">
        <f t="shared" si="37"/>
        <v>4.0331887521550103</v>
      </c>
      <c r="BG12" s="20">
        <f t="shared" si="7"/>
        <v>27.309118953279931</v>
      </c>
      <c r="BH12" s="59">
        <f t="shared" si="8"/>
        <v>294.97578561994663</v>
      </c>
      <c r="BI12" s="59">
        <f ca="1">AVERAGE(OFFSET($BH$3,0,0,'Données projet'!$E$11+1,1))-AVERAGE(OFFSET($H$3,0,0,'Données projet'!$E$11+1,1))</f>
        <v>415.24818074059294</v>
      </c>
      <c r="BJ12" s="59">
        <f t="shared" si="38"/>
        <v>404.45811532046872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4.333333333333333</v>
      </c>
      <c r="BY12" s="12">
        <f>IF('Données projet'!$A$114&gt;35,BY11+BX12-CG11,IF(A12&lt;'Données projet'!$A$114,$BV$205^A12,IF(A12='Données projet'!$A$114,'Données projet'!$B$114,BY11+BX12-CG11)))</f>
        <v>12.23905859480781</v>
      </c>
      <c r="BZ12" s="13">
        <f>BY12*VLOOKUP('Données projet'!$B$12,Paramètres!$A$1:$I$89,3,0)*VLOOKUP('Données projet'!$B$12,Paramètres!$A$1:$I$89,5,0)</f>
        <v>10.692041588424106</v>
      </c>
      <c r="CA12" s="13">
        <f t="shared" si="39"/>
        <v>3.739642147152348</v>
      </c>
      <c r="CB12" s="20">
        <f t="shared" si="10"/>
        <v>25.135182506128984</v>
      </c>
      <c r="CC12" s="59">
        <f t="shared" si="11"/>
        <v>292.80184917279564</v>
      </c>
      <c r="CD12" s="59">
        <f ca="1">AVERAGE(OFFSET($CC$3,0,0,'Données projet'!$E$12+1,1))-AVERAGE(OFFSET($H$3,0,0,'Données projet'!$E$12+1,1))</f>
        <v>384.34044781465661</v>
      </c>
      <c r="CE12" s="59">
        <f t="shared" si="40"/>
        <v>374.99493809709708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9.300476190476191</v>
      </c>
      <c r="CT12" s="12">
        <f>IF('Données projet'!$A$140&gt;35,CT11+CS12-DB11,IF(A12&lt;'Données projet'!$A$140,$CQ$205^A12,IF(A12='Données projet'!$A$140,'Données projet'!$B$140,CT11+CS12-DB11)))</f>
        <v>9.5882436801187154</v>
      </c>
      <c r="CU12" s="17">
        <f>CT12*VLOOKUP('Données projet'!$B$13,Paramètres!$A$1:$I$89,3,0)*VLOOKUP('Données projet'!$B$13,Paramètres!$A$1:$I$89,5,0)</f>
        <v>5.3598282171863616</v>
      </c>
      <c r="CV12" s="13">
        <f t="shared" si="41"/>
        <v>2.0315605659282445</v>
      </c>
      <c r="CW12" s="20">
        <f t="shared" si="13"/>
        <v>12.873335463924604</v>
      </c>
      <c r="CX12" s="59">
        <f t="shared" si="14"/>
        <v>280.54000213059129</v>
      </c>
      <c r="CY12" s="59">
        <f ca="1">AVERAGE(OFFSET($CX$3,0,0,'Données projet'!$E$13+1,1))-AVERAGE(OFFSET($H$3,0,0,'Données projet'!$E$13+1,1))</f>
        <v>386.66324266750968</v>
      </c>
      <c r="CZ12" s="59">
        <f t="shared" si="42"/>
        <v>356.22149461585769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4.333333333333333</v>
      </c>
      <c r="DO12" s="12">
        <f>IF('Données projet'!$A$166&gt;35,DO11+DN12-DW11,IF(A12&lt;'Données projet'!$A$166,$DL$205^A12,IF(A12='Données projet'!$A$166,'Données projet'!$B$166,DO11+DN12-DW11)))</f>
        <v>12.23905859480781</v>
      </c>
      <c r="DP12" s="17">
        <f>DO12*VLOOKUP('Données projet'!$B$14,Paramètres!$A$1:$I$89,3,0)*VLOOKUP('Données projet'!$B$14,Paramètres!$A$1:$I$89,5,0)</f>
        <v>9.5464657039500924</v>
      </c>
      <c r="DQ12" s="13">
        <f t="shared" si="43"/>
        <v>3.3833038345576325</v>
      </c>
      <c r="DR12" s="20">
        <f t="shared" si="16"/>
        <v>22.519348612900952</v>
      </c>
      <c r="DS12" s="59">
        <f t="shared" si="17"/>
        <v>290.18601527956764</v>
      </c>
      <c r="DT12" s="59">
        <f ca="1">AVERAGE(OFFSET($DS$3,0,0,'Données projet'!$E$14+1,1))-AVERAGE(OFFSET($H$3,0,0,'Données projet'!$E$14+1,1))</f>
        <v>347.17417070871716</v>
      </c>
      <c r="DU12" s="59">
        <f t="shared" si="44"/>
        <v>339.56378046986441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4.333333333333333</v>
      </c>
      <c r="EJ12" s="12">
        <f>IF('Données projet'!$A$192&gt;35,EJ11+EI12-ER11,IF(A12&lt;'Données projet'!$A$192,$EG$205^A12,IF(A12='Données projet'!$A$192,'Données projet'!$B$192,EJ11+EI12-ER11)))</f>
        <v>12.23905859480781</v>
      </c>
      <c r="EK12" s="17">
        <f>EJ12*VLOOKUP('Données projet'!$B$15,Paramètres!$A$1:$I$89,3,0)*VLOOKUP('Données projet'!$B$15,Paramètres!$A$1:$I$89,5,0)</f>
        <v>10.692041588424106</v>
      </c>
      <c r="EL12" s="13">
        <f t="shared" si="45"/>
        <v>3.739642147152348</v>
      </c>
      <c r="EM12" s="20">
        <f t="shared" si="19"/>
        <v>25.135182506128984</v>
      </c>
      <c r="EN12" s="59">
        <f t="shared" si="20"/>
        <v>292.80184917279564</v>
      </c>
      <c r="EO12" s="59">
        <f ca="1">AVERAGE(OFFSET($EN$3,0,0,'Données projet'!$E$15+1,1))-AVERAGE(OFFSET($H$3,0,0,'Données projet'!$E$15+1,1))</f>
        <v>384.34044781465661</v>
      </c>
      <c r="EP12" s="59">
        <f t="shared" si="46"/>
        <v>374.99493809709708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4.333333333333333</v>
      </c>
      <c r="FE12" s="12">
        <f>IF('Données projet'!$A$218&gt;35,FE11+FD12-FM11,IF(A12&lt;'Données projet'!$A$218,$FB$205^A12,IF(A12='Données projet'!$A$218,'Données projet'!$B$218,FE11+FD12-FM11)))</f>
        <v>12.23905859480781</v>
      </c>
      <c r="FF12" s="17">
        <f>FE12*VLOOKUP('Données projet'!$B$16,Paramètres!$A$1:$I$89,3,0)*VLOOKUP('Données projet'!$B$16,Paramètres!$A$1:$I$89,5,0)</f>
        <v>9.9283243321080956</v>
      </c>
      <c r="FG12" s="13">
        <f t="shared" si="47"/>
        <v>3.5026090024554843</v>
      </c>
      <c r="FH12" s="20">
        <f t="shared" si="22"/>
        <v>23.392208891031569</v>
      </c>
      <c r="FI12" s="59">
        <f t="shared" si="23"/>
        <v>291.05887555769823</v>
      </c>
      <c r="FJ12" s="59">
        <f ca="1">AVERAGE(OFFSET($FI$3,0,0,'Données projet'!$E$16+1,1))-AVERAGE(OFFSET($H$3,0,0,'Données projet'!$E$16+1,1))</f>
        <v>359.57284550600366</v>
      </c>
      <c r="FK12" s="59">
        <f t="shared" si="48"/>
        <v>351.38386928091433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6">
        <f t="shared" si="1"/>
        <v>256.66666666666669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5.0894117647058819</v>
      </c>
      <c r="N13" s="13">
        <f>IF('Données projet'!$A$36&gt;35,N12+M13-V12,IF(A13&lt;'Données projet'!$A$36,$K$205^A13,IF(A13='Données projet'!$A$36,'Données projet'!$B$36,N12+M13-V12)))</f>
        <v>4.5527980254266449</v>
      </c>
      <c r="O13" s="13">
        <f>N13*VLOOKUP('Données projet'!$B$9,Paramètres!$A$1:$I$89,3,0)*VLOOKUP('Données projet'!$B$9,Paramètres!$A$1:$I$89,5,0)</f>
        <v>4.1193716534060281</v>
      </c>
      <c r="P13" s="13">
        <f t="shared" si="33"/>
        <v>1.6099660404346177</v>
      </c>
      <c r="Q13" s="20">
        <f t="shared" si="2"/>
        <v>9.9785964834391248</v>
      </c>
      <c r="R13" s="59">
        <f t="shared" si="0"/>
        <v>278.86748537232796</v>
      </c>
      <c r="S13" s="59">
        <f ca="1">AVERAGE(OFFSET($R$3,0,0,'Données projet'!$E$9+1,1))-AVERAGE(OFFSET($H$3,0,0,'Données projet'!$E$9+1,1))</f>
        <v>695.0879239758051</v>
      </c>
      <c r="T13" s="59">
        <f t="shared" si="34"/>
        <v>226.22150997227476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9.5933333333333337</v>
      </c>
      <c r="AI13" s="13">
        <f>IF('Données projet'!$A$62&gt;35,AI12+AH13-AQ12,IF(A13&lt;'Données projet'!$A$62,$AF$205^A13,IF(A13='Données projet'!$A$62,'Données projet'!$B$62,AI12+AH13-AQ12)))</f>
        <v>27.460421301574002</v>
      </c>
      <c r="AJ13" s="13">
        <f>AI13*VLOOKUP('Données projet'!$B$10,Paramètres!$A$1:$I$89,3,0)*VLOOKUP('Données projet'!$B$10,Paramètres!$A$1:$I$89,5,0)</f>
        <v>16.421331938341254</v>
      </c>
      <c r="AK13" s="13">
        <f t="shared" si="35"/>
        <v>5.4637008081362</v>
      </c>
      <c r="AL13" s="20">
        <f t="shared" si="4"/>
        <v>38.116432033448227</v>
      </c>
      <c r="AM13" s="59">
        <f t="shared" si="5"/>
        <v>307.00532092233709</v>
      </c>
      <c r="AN13" s="59">
        <f ca="1">AVERAGE(OFFSET($AM$3,0,0,'Données projet'!$E$10+1,1))-AVERAGE(OFFSET($H$3,0,0,'Données projet'!$E$10+1,1))</f>
        <v>388.12151914648013</v>
      </c>
      <c r="AO13" s="59">
        <f t="shared" si="36"/>
        <v>481.43684454382793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4.333333333333333</v>
      </c>
      <c r="BD13" s="12">
        <f>IF('Données projet'!$A$88&gt;35,BD12+BC13-BL12,IF(A13&lt;'Données projet'!$A$88,$BA$205^A13,IF(A13='Données projet'!$A$88,'Données projet'!$B$88,BD12+BC13-BL12)))</f>
        <v>16.166235625781542</v>
      </c>
      <c r="BE13" s="13">
        <f>BD13*VLOOKUP('Données projet'!$B$11,Paramètres!$A$1:$I$89,3,0)*VLOOKUP('Données projet'!$B$11,Paramètres!$A$1:$I$89,5,0)</f>
        <v>15.383789821493716</v>
      </c>
      <c r="BF13" s="13">
        <f t="shared" si="37"/>
        <v>5.157523674015958</v>
      </c>
      <c r="BG13" s="20">
        <f t="shared" si="7"/>
        <v>35.776121004679347</v>
      </c>
      <c r="BH13" s="59">
        <f t="shared" si="8"/>
        <v>304.6650098935682</v>
      </c>
      <c r="BI13" s="59">
        <f ca="1">AVERAGE(OFFSET($BH$3,0,0,'Données projet'!$E$11+1,1))-AVERAGE(OFFSET($H$3,0,0,'Données projet'!$E$11+1,1))</f>
        <v>415.24818074059294</v>
      </c>
      <c r="BJ13" s="59">
        <f t="shared" si="38"/>
        <v>404.45811532046872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4.333333333333333</v>
      </c>
      <c r="BY13" s="12">
        <f>IF('Données projet'!$A$114&gt;35,BY12+BX13-CG12,IF(A13&lt;'Données projet'!$A$114,$BV$205^A13,IF(A13='Données projet'!$A$114,'Données projet'!$B$114,BY12+BX13-CG12)))</f>
        <v>16.166235625781542</v>
      </c>
      <c r="BZ13" s="13">
        <f>BY13*VLOOKUP('Données projet'!$B$12,Paramètres!$A$1:$I$89,3,0)*VLOOKUP('Données projet'!$B$12,Paramètres!$A$1:$I$89,5,0)</f>
        <v>14.122823442682758</v>
      </c>
      <c r="CA13" s="13">
        <f t="shared" si="39"/>
        <v>4.7821448713454142</v>
      </c>
      <c r="CB13" s="20">
        <f t="shared" si="10"/>
        <v>32.9261531469324</v>
      </c>
      <c r="CC13" s="59">
        <f t="shared" si="11"/>
        <v>301.81504203582125</v>
      </c>
      <c r="CD13" s="59">
        <f ca="1">AVERAGE(OFFSET($CC$3,0,0,'Données projet'!$E$12+1,1))-AVERAGE(OFFSET($H$3,0,0,'Données projet'!$E$12+1,1))</f>
        <v>384.34044781465661</v>
      </c>
      <c r="CE13" s="59">
        <f t="shared" si="40"/>
        <v>374.99493809709708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9.300476190476191</v>
      </c>
      <c r="CT13" s="12">
        <f>IF('Données projet'!$A$140&gt;35,CT12+CS13-DB12,IF(A13&lt;'Données projet'!$A$140,$CQ$205^A13,IF(A13='Données projet'!$A$140,'Données projet'!$B$140,CT12+CS13-DB12)))</f>
        <v>12.325972116944925</v>
      </c>
      <c r="CU13" s="17">
        <f>CT13*VLOOKUP('Données projet'!$B$13,Paramètres!$A$1:$I$89,3,0)*VLOOKUP('Données projet'!$B$13,Paramètres!$A$1:$I$89,5,0)</f>
        <v>6.8902184133722137</v>
      </c>
      <c r="CV13" s="13">
        <f t="shared" si="41"/>
        <v>2.5363824167434852</v>
      </c>
      <c r="CW13" s="20">
        <f t="shared" si="13"/>
        <v>16.417996445784841</v>
      </c>
      <c r="CX13" s="59">
        <f t="shared" si="14"/>
        <v>285.30688533467372</v>
      </c>
      <c r="CY13" s="59">
        <f ca="1">AVERAGE(OFFSET($CX$3,0,0,'Données projet'!$E$13+1,1))-AVERAGE(OFFSET($H$3,0,0,'Données projet'!$E$13+1,1))</f>
        <v>386.66324266750968</v>
      </c>
      <c r="CZ13" s="59">
        <f t="shared" si="42"/>
        <v>356.22149461585769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4.333333333333333</v>
      </c>
      <c r="DO13" s="12">
        <f>IF('Données projet'!$A$166&gt;35,DO12+DN13-DW12,IF(A13&lt;'Données projet'!$A$166,$DL$205^A13,IF(A13='Données projet'!$A$166,'Données projet'!$B$166,DO12+DN13-DW12)))</f>
        <v>16.166235625781542</v>
      </c>
      <c r="DP13" s="17">
        <f>DO13*VLOOKUP('Données projet'!$B$14,Paramètres!$A$1:$I$89,3,0)*VLOOKUP('Données projet'!$B$14,Paramètres!$A$1:$I$89,5,0)</f>
        <v>12.609663788109604</v>
      </c>
      <c r="DQ13" s="13">
        <f t="shared" si="43"/>
        <v>4.3264698717104082</v>
      </c>
      <c r="DR13" s="20">
        <f t="shared" si="16"/>
        <v>29.497099457519852</v>
      </c>
      <c r="DS13" s="59">
        <f t="shared" si="17"/>
        <v>298.38598834640868</v>
      </c>
      <c r="DT13" s="59">
        <f ca="1">AVERAGE(OFFSET($DS$3,0,0,'Données projet'!$E$14+1,1))-AVERAGE(OFFSET($H$3,0,0,'Données projet'!$E$14+1,1))</f>
        <v>347.17417070871716</v>
      </c>
      <c r="DU13" s="59">
        <f t="shared" si="44"/>
        <v>339.56378046986441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4.333333333333333</v>
      </c>
      <c r="EJ13" s="12">
        <f>IF('Données projet'!$A$192&gt;35,EJ12+EI13-ER12,IF(A13&lt;'Données projet'!$A$192,$EG$205^A13,IF(A13='Données projet'!$A$192,'Données projet'!$B$192,EJ12+EI13-ER12)))</f>
        <v>16.166235625781542</v>
      </c>
      <c r="EK13" s="17">
        <f>EJ13*VLOOKUP('Données projet'!$B$15,Paramètres!$A$1:$I$89,3,0)*VLOOKUP('Données projet'!$B$15,Paramètres!$A$1:$I$89,5,0)</f>
        <v>14.122823442682758</v>
      </c>
      <c r="EL13" s="13">
        <f t="shared" si="45"/>
        <v>4.7821448713454142</v>
      </c>
      <c r="EM13" s="20">
        <f t="shared" si="19"/>
        <v>32.9261531469324</v>
      </c>
      <c r="EN13" s="59">
        <f t="shared" si="20"/>
        <v>301.81504203582125</v>
      </c>
      <c r="EO13" s="59">
        <f ca="1">AVERAGE(OFFSET($EN$3,0,0,'Données projet'!$E$15+1,1))-AVERAGE(OFFSET($H$3,0,0,'Données projet'!$E$15+1,1))</f>
        <v>384.34044781465661</v>
      </c>
      <c r="EP13" s="59">
        <f t="shared" si="46"/>
        <v>374.99493809709708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4.333333333333333</v>
      </c>
      <c r="FE13" s="12">
        <f>IF('Données projet'!$A$218&gt;35,FE12+FD13-FM12,IF(A13&lt;'Données projet'!$A$218,$FB$205^A13,IF(A13='Données projet'!$A$218,'Données projet'!$B$218,FE12+FD13-FM12)))</f>
        <v>16.166235625781542</v>
      </c>
      <c r="FF13" s="17">
        <f>FE13*VLOOKUP('Données projet'!$B$16,Paramètres!$A$1:$I$89,3,0)*VLOOKUP('Données projet'!$B$16,Paramètres!$A$1:$I$89,5,0)</f>
        <v>13.114050339633989</v>
      </c>
      <c r="FG13" s="13">
        <f t="shared" si="47"/>
        <v>4.479033826853061</v>
      </c>
      <c r="FH13" s="20">
        <f t="shared" si="22"/>
        <v>30.641288256631608</v>
      </c>
      <c r="FI13" s="59">
        <f t="shared" si="23"/>
        <v>299.53017714552044</v>
      </c>
      <c r="FJ13" s="59">
        <f ca="1">AVERAGE(OFFSET($FI$3,0,0,'Données projet'!$E$16+1,1))-AVERAGE(OFFSET($H$3,0,0,'Données projet'!$E$16+1,1))</f>
        <v>359.57284550600366</v>
      </c>
      <c r="FK13" s="59">
        <f t="shared" si="48"/>
        <v>351.38386928091433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6">
        <f t="shared" si="1"/>
        <v>256.66666666666669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5.0894117647058819</v>
      </c>
      <c r="N14" s="13">
        <f>IF('Données projet'!$A$36&gt;35,N13+M14-V13,IF(A14&lt;'Données projet'!$A$36,$K$205^A14,IF(A14='Données projet'!$A$36,'Données projet'!$B$36,N13+M14-V13)))</f>
        <v>5.2979300838767944</v>
      </c>
      <c r="O14" s="13">
        <f>N14*VLOOKUP('Données projet'!$B$9,Paramètres!$A$1:$I$89,3,0)*VLOOKUP('Données projet'!$B$9,Paramètres!$A$1:$I$89,5,0)</f>
        <v>4.7935671398917234</v>
      </c>
      <c r="P14" s="13">
        <f t="shared" si="33"/>
        <v>1.8406965292945834</v>
      </c>
      <c r="Q14" s="20">
        <f t="shared" si="2"/>
        <v>11.554675890499484</v>
      </c>
      <c r="R14" s="59">
        <f t="shared" si="0"/>
        <v>281.66578700161062</v>
      </c>
      <c r="S14" s="59">
        <f ca="1">AVERAGE(OFFSET($R$3,0,0,'Données projet'!$E$9+1,1))-AVERAGE(OFFSET($H$3,0,0,'Données projet'!$E$9+1,1))</f>
        <v>695.0879239758051</v>
      </c>
      <c r="T14" s="59">
        <f t="shared" si="34"/>
        <v>226.22150997227476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9.5933333333333337</v>
      </c>
      <c r="AI14" s="13">
        <f>IF('Données projet'!$A$62&gt;35,AI13+AH14-AQ13,IF(A14&lt;'Données projet'!$A$62,$AF$205^A14,IF(A14='Données projet'!$A$62,'Données projet'!$B$62,AI13+AH14-AQ13)))</f>
        <v>38.24528622975938</v>
      </c>
      <c r="AJ14" s="13">
        <f>AI14*VLOOKUP('Données projet'!$B$10,Paramètres!$A$1:$I$89,3,0)*VLOOKUP('Données projet'!$B$10,Paramètres!$A$1:$I$89,5,0)</f>
        <v>22.87068116539611</v>
      </c>
      <c r="AK14" s="13">
        <f t="shared" si="35"/>
        <v>7.3216856217225361</v>
      </c>
      <c r="AL14" s="20">
        <f t="shared" si="4"/>
        <v>52.585038820898312</v>
      </c>
      <c r="AM14" s="59">
        <f t="shared" si="5"/>
        <v>322.69614993200946</v>
      </c>
      <c r="AN14" s="59">
        <f ca="1">AVERAGE(OFFSET($AM$3,0,0,'Données projet'!$E$10+1,1))-AVERAGE(OFFSET($H$3,0,0,'Données projet'!$E$10+1,1))</f>
        <v>388.12151914648013</v>
      </c>
      <c r="AO14" s="59">
        <f t="shared" si="36"/>
        <v>481.43684454382793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4.333333333333333</v>
      </c>
      <c r="BD14" s="12">
        <f>IF('Données projet'!$A$88&gt;35,BD13+BC14-BL13,IF(A14&lt;'Données projet'!$A$88,$BA$205^A14,IF(A14='Données projet'!$A$88,'Données projet'!$B$88,BD13+BC14-BL13)))</f>
        <v>21.353535673010011</v>
      </c>
      <c r="BE14" s="13">
        <f>BD14*VLOOKUP('Données projet'!$B$11,Paramètres!$A$1:$I$89,3,0)*VLOOKUP('Données projet'!$B$11,Paramètres!$A$1:$I$89,5,0)</f>
        <v>20.320024546436326</v>
      </c>
      <c r="BF14" s="13">
        <f t="shared" si="37"/>
        <v>6.5952902486455987</v>
      </c>
      <c r="BG14" s="20">
        <f t="shared" si="7"/>
        <v>46.877506601434355</v>
      </c>
      <c r="BH14" s="59">
        <f t="shared" si="8"/>
        <v>316.98861771254548</v>
      </c>
      <c r="BI14" s="59">
        <f ca="1">AVERAGE(OFFSET($BH$3,0,0,'Données projet'!$E$11+1,1))-AVERAGE(OFFSET($H$3,0,0,'Données projet'!$E$11+1,1))</f>
        <v>415.24818074059294</v>
      </c>
      <c r="BJ14" s="59">
        <f t="shared" si="38"/>
        <v>404.45811532046872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4.333333333333333</v>
      </c>
      <c r="BY14" s="12">
        <f>IF('Données projet'!$A$114&gt;35,BY13+BX14-CG13,IF(A14&lt;'Données projet'!$A$114,$BV$205^A14,IF(A14='Données projet'!$A$114,'Données projet'!$B$114,BY13+BX14-CG13)))</f>
        <v>21.353535673010011</v>
      </c>
      <c r="BZ14" s="13">
        <f>BY14*VLOOKUP('Données projet'!$B$12,Paramètres!$A$1:$I$89,3,0)*VLOOKUP('Données projet'!$B$12,Paramètres!$A$1:$I$89,5,0)</f>
        <v>18.654448763941549</v>
      </c>
      <c r="CA14" s="13">
        <f t="shared" si="39"/>
        <v>6.1152668278566198</v>
      </c>
      <c r="CB14" s="20">
        <f t="shared" si="10"/>
        <v>43.140587989048477</v>
      </c>
      <c r="CC14" s="59">
        <f t="shared" si="11"/>
        <v>313.25169910015961</v>
      </c>
      <c r="CD14" s="59">
        <f ca="1">AVERAGE(OFFSET($CC$3,0,0,'Données projet'!$E$12+1,1))-AVERAGE(OFFSET($H$3,0,0,'Données projet'!$E$12+1,1))</f>
        <v>384.34044781465661</v>
      </c>
      <c r="CE14" s="59">
        <f t="shared" si="40"/>
        <v>374.99493809709708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9.300476190476191</v>
      </c>
      <c r="CT14" s="12">
        <f>IF('Données projet'!$A$140&gt;35,CT13+CS14-DB13,IF(A14&lt;'Données projet'!$A$140,$CQ$205^A14,IF(A14='Données projet'!$A$140,'Données projet'!$B$140,CT13+CS14-DB13)))</f>
        <v>15.845403360234862</v>
      </c>
      <c r="CU14" s="17">
        <f>CT14*VLOOKUP('Données projet'!$B$13,Paramètres!$A$1:$I$89,3,0)*VLOOKUP('Données projet'!$B$13,Paramètres!$A$1:$I$89,5,0)</f>
        <v>8.8575804783712879</v>
      </c>
      <c r="CV14" s="13">
        <f t="shared" si="41"/>
        <v>3.1666472916725947</v>
      </c>
      <c r="CW14" s="20">
        <f t="shared" si="13"/>
        <v>20.942196699493092</v>
      </c>
      <c r="CX14" s="59">
        <f t="shared" si="14"/>
        <v>291.05330781060422</v>
      </c>
      <c r="CY14" s="59">
        <f ca="1">AVERAGE(OFFSET($CX$3,0,0,'Données projet'!$E$13+1,1))-AVERAGE(OFFSET($H$3,0,0,'Données projet'!$E$13+1,1))</f>
        <v>386.66324266750968</v>
      </c>
      <c r="CZ14" s="59">
        <f t="shared" si="42"/>
        <v>356.22149461585769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4.333333333333333</v>
      </c>
      <c r="DO14" s="12">
        <f>IF('Données projet'!$A$166&gt;35,DO13+DN14-DW13,IF(A14&lt;'Données projet'!$A$166,$DL$205^A14,IF(A14='Données projet'!$A$166,'Données projet'!$B$166,DO13+DN14-DW13)))</f>
        <v>21.353535673010011</v>
      </c>
      <c r="DP14" s="17">
        <f>DO14*VLOOKUP('Données projet'!$B$14,Paramètres!$A$1:$I$89,3,0)*VLOOKUP('Données projet'!$B$14,Paramètres!$A$1:$I$89,5,0)</f>
        <v>16.655757824947809</v>
      </c>
      <c r="DQ14" s="13">
        <f t="shared" si="43"/>
        <v>5.5325629816706403</v>
      </c>
      <c r="DR14" s="20">
        <f t="shared" si="16"/>
        <v>38.644658738193797</v>
      </c>
      <c r="DS14" s="59">
        <f t="shared" si="17"/>
        <v>308.75576984930495</v>
      </c>
      <c r="DT14" s="59">
        <f ca="1">AVERAGE(OFFSET($DS$3,0,0,'Données projet'!$E$14+1,1))-AVERAGE(OFFSET($H$3,0,0,'Données projet'!$E$14+1,1))</f>
        <v>347.17417070871716</v>
      </c>
      <c r="DU14" s="59">
        <f t="shared" si="44"/>
        <v>339.56378046986441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4.333333333333333</v>
      </c>
      <c r="EJ14" s="12">
        <f>IF('Données projet'!$A$192&gt;35,EJ13+EI14-ER13,IF(A14&lt;'Données projet'!$A$192,$EG$205^A14,IF(A14='Données projet'!$A$192,'Données projet'!$B$192,EJ13+EI14-ER13)))</f>
        <v>21.353535673010011</v>
      </c>
      <c r="EK14" s="17">
        <f>EJ14*VLOOKUP('Données projet'!$B$15,Paramètres!$A$1:$I$89,3,0)*VLOOKUP('Données projet'!$B$15,Paramètres!$A$1:$I$89,5,0)</f>
        <v>18.654448763941549</v>
      </c>
      <c r="EL14" s="13">
        <f t="shared" si="45"/>
        <v>6.1152668278566198</v>
      </c>
      <c r="EM14" s="20">
        <f t="shared" si="19"/>
        <v>43.140587989048477</v>
      </c>
      <c r="EN14" s="59">
        <f t="shared" si="20"/>
        <v>313.25169910015961</v>
      </c>
      <c r="EO14" s="59">
        <f ca="1">AVERAGE(OFFSET($EN$3,0,0,'Données projet'!$E$15+1,1))-AVERAGE(OFFSET($H$3,0,0,'Données projet'!$E$15+1,1))</f>
        <v>384.34044781465661</v>
      </c>
      <c r="EP14" s="59">
        <f t="shared" si="46"/>
        <v>374.99493809709708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4.333333333333333</v>
      </c>
      <c r="FE14" s="12">
        <f>IF('Données projet'!$A$218&gt;35,FE13+FD14-FM13,IF(A14&lt;'Données projet'!$A$218,$FB$205^A14,IF(A14='Données projet'!$A$218,'Données projet'!$B$218,FE13+FD14-FM13)))</f>
        <v>21.353535673010011</v>
      </c>
      <c r="FF14" s="17">
        <f>FE14*VLOOKUP('Données projet'!$B$16,Paramètres!$A$1:$I$89,3,0)*VLOOKUP('Données projet'!$B$16,Paramètres!$A$1:$I$89,5,0)</f>
        <v>17.32198813794572</v>
      </c>
      <c r="FG14" s="13">
        <f t="shared" si="47"/>
        <v>5.7276573000382847</v>
      </c>
      <c r="FH14" s="20">
        <f t="shared" si="22"/>
        <v>40.14479913782214</v>
      </c>
      <c r="FI14" s="59">
        <f t="shared" si="23"/>
        <v>310.25591024893328</v>
      </c>
      <c r="FJ14" s="59">
        <f ca="1">AVERAGE(OFFSET($FI$3,0,0,'Données projet'!$E$16+1,1))-AVERAGE(OFFSET($H$3,0,0,'Données projet'!$E$16+1,1))</f>
        <v>359.57284550600366</v>
      </c>
      <c r="FK14" s="59">
        <f t="shared" si="48"/>
        <v>351.38386928091433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6">
        <f t="shared" si="1"/>
        <v>256.66666666666669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5.0894117647058819</v>
      </c>
      <c r="N15" s="13">
        <f>IF('Données projet'!$A$36&gt;35,N14+M15-V14,IF(A15&lt;'Données projet'!$A$36,$K$205^A15,IF(A15='Données projet'!$A$36,'Données projet'!$B$36,N14+M15-V14)))</f>
        <v>6.1650139138374147</v>
      </c>
      <c r="O15" s="13">
        <f>N15*VLOOKUP('Données projet'!$B$9,Paramètres!$A$1:$I$89,3,0)*VLOOKUP('Données projet'!$B$9,Paramètres!$A$1:$I$89,5,0)</f>
        <v>5.5781045892400929</v>
      </c>
      <c r="P15" s="13">
        <f t="shared" si="33"/>
        <v>2.1044939010281696</v>
      </c>
      <c r="Q15" s="20">
        <f t="shared" si="2"/>
        <v>13.38052570388389</v>
      </c>
      <c r="R15" s="59">
        <f t="shared" si="0"/>
        <v>284.71385903721722</v>
      </c>
      <c r="S15" s="59">
        <f ca="1">AVERAGE(OFFSET($R$3,0,0,'Données projet'!$E$9+1,1))-AVERAGE(OFFSET($H$3,0,0,'Données projet'!$E$9+1,1))</f>
        <v>695.0879239758051</v>
      </c>
      <c r="T15" s="59">
        <f t="shared" si="34"/>
        <v>226.22150997227476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9.5933333333333337</v>
      </c>
      <c r="AI15" s="13">
        <f>IF('Données projet'!$A$62&gt;35,AI14+AH15-AQ14,IF(A15&lt;'Données projet'!$A$62,$AF$205^A15,IF(A15='Données projet'!$A$62,'Données projet'!$B$62,AI14+AH15-AQ14)))</f>
        <v>53.265822207628766</v>
      </c>
      <c r="AJ15" s="13">
        <f>AI15*VLOOKUP('Données projet'!$B$10,Paramètres!$A$1:$I$89,3,0)*VLOOKUP('Données projet'!$B$10,Paramètres!$A$1:$I$89,5,0)</f>
        <v>31.852961680162004</v>
      </c>
      <c r="AK15" s="13">
        <f t="shared" si="35"/>
        <v>9.811496314642671</v>
      </c>
      <c r="AL15" s="20">
        <f t="shared" si="4"/>
        <v>72.565597674284803</v>
      </c>
      <c r="AM15" s="59">
        <f t="shared" si="5"/>
        <v>343.8989310076181</v>
      </c>
      <c r="AN15" s="59">
        <f ca="1">AVERAGE(OFFSET($AM$3,0,0,'Données projet'!$E$10+1,1))-AVERAGE(OFFSET($H$3,0,0,'Données projet'!$E$10+1,1))</f>
        <v>388.12151914648013</v>
      </c>
      <c r="AO15" s="59">
        <f t="shared" si="36"/>
        <v>481.43684454382793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4.333333333333333</v>
      </c>
      <c r="BD15" s="12">
        <f>IF('Données projet'!$A$88&gt;35,BD14+BC15-BL14,IF(A15&lt;'Données projet'!$A$88,$BA$205^A15,IF(A15='Données projet'!$A$88,'Données projet'!$B$88,BD14+BC15-BL14)))</f>
        <v>28.205297528345746</v>
      </c>
      <c r="BE15" s="13">
        <f>BD15*VLOOKUP('Données projet'!$B$11,Paramètres!$A$1:$I$89,3,0)*VLOOKUP('Données projet'!$B$11,Paramètres!$A$1:$I$89,5,0)</f>
        <v>26.840161127973815</v>
      </c>
      <c r="BF15" s="13">
        <f t="shared" si="37"/>
        <v>8.433864042743151</v>
      </c>
      <c r="BG15" s="20">
        <f t="shared" si="7"/>
        <v>61.435593838998706</v>
      </c>
      <c r="BH15" s="59">
        <f t="shared" si="8"/>
        <v>332.76892717233204</v>
      </c>
      <c r="BI15" s="59">
        <f ca="1">AVERAGE(OFFSET($BH$3,0,0,'Données projet'!$E$11+1,1))-AVERAGE(OFFSET($H$3,0,0,'Données projet'!$E$11+1,1))</f>
        <v>415.24818074059294</v>
      </c>
      <c r="BJ15" s="59">
        <f t="shared" si="38"/>
        <v>404.45811532046872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4.333333333333333</v>
      </c>
      <c r="BY15" s="12">
        <f>IF('Données projet'!$A$114&gt;35,BY14+BX15-CG14,IF(A15&lt;'Données projet'!$A$114,$BV$205^A15,IF(A15='Données projet'!$A$114,'Données projet'!$B$114,BY14+BX15-CG14)))</f>
        <v>28.205297528345746</v>
      </c>
      <c r="BZ15" s="13">
        <f>BY15*VLOOKUP('Données projet'!$B$12,Paramètres!$A$1:$I$89,3,0)*VLOOKUP('Données projet'!$B$12,Paramètres!$A$1:$I$89,5,0)</f>
        <v>24.640147920762846</v>
      </c>
      <c r="CA15" s="13">
        <f t="shared" si="39"/>
        <v>7.8200241485704662</v>
      </c>
      <c r="CB15" s="20">
        <f t="shared" si="10"/>
        <v>56.534799687422179</v>
      </c>
      <c r="CC15" s="59">
        <f t="shared" si="11"/>
        <v>327.86813302075552</v>
      </c>
      <c r="CD15" s="59">
        <f ca="1">AVERAGE(OFFSET($CC$3,0,0,'Données projet'!$E$12+1,1))-AVERAGE(OFFSET($H$3,0,0,'Données projet'!$E$12+1,1))</f>
        <v>384.34044781465661</v>
      </c>
      <c r="CE15" s="59">
        <f t="shared" si="40"/>
        <v>374.99493809709708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9.300476190476191</v>
      </c>
      <c r="CT15" s="12">
        <f>IF('Données projet'!$A$140&gt;35,CT14+CS15-DB14,IF(A15&lt;'Données projet'!$A$140,$CQ$205^A15,IF(A15='Données projet'!$A$140,'Données projet'!$B$140,CT14+CS15-DB14)))</f>
        <v>20.369736785578038</v>
      </c>
      <c r="CU15" s="17">
        <f>CT15*VLOOKUP('Données projet'!$B$13,Paramètres!$A$1:$I$89,3,0)*VLOOKUP('Données projet'!$B$13,Paramètres!$A$1:$I$89,5,0)</f>
        <v>11.386682863138123</v>
      </c>
      <c r="CV15" s="13">
        <f t="shared" si="41"/>
        <v>3.9535264886168462</v>
      </c>
      <c r="CW15" s="20">
        <f t="shared" si="13"/>
        <v>26.717531287639904</v>
      </c>
      <c r="CX15" s="59">
        <f t="shared" si="14"/>
        <v>298.05086462097324</v>
      </c>
      <c r="CY15" s="59">
        <f ca="1">AVERAGE(OFFSET($CX$3,0,0,'Données projet'!$E$13+1,1))-AVERAGE(OFFSET($H$3,0,0,'Données projet'!$E$13+1,1))</f>
        <v>386.66324266750968</v>
      </c>
      <c r="CZ15" s="59">
        <f t="shared" si="42"/>
        <v>356.22149461585769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4.333333333333333</v>
      </c>
      <c r="DO15" s="12">
        <f>IF('Données projet'!$A$166&gt;35,DO14+DN15-DW14,IF(A15&lt;'Données projet'!$A$166,$DL$205^A15,IF(A15='Données projet'!$A$166,'Données projet'!$B$166,DO14+DN15-DW14)))</f>
        <v>28.205297528345746</v>
      </c>
      <c r="DP15" s="17">
        <f>DO15*VLOOKUP('Données projet'!$B$14,Paramètres!$A$1:$I$89,3,0)*VLOOKUP('Données projet'!$B$14,Paramètres!$A$1:$I$89,5,0)</f>
        <v>22.000132072109682</v>
      </c>
      <c r="DQ15" s="13">
        <f t="shared" si="43"/>
        <v>7.0748795331495931</v>
      </c>
      <c r="DR15" s="20">
        <f t="shared" si="16"/>
        <v>50.638978545826575</v>
      </c>
      <c r="DS15" s="59">
        <f t="shared" si="17"/>
        <v>321.97231187915986</v>
      </c>
      <c r="DT15" s="59">
        <f ca="1">AVERAGE(OFFSET($DS$3,0,0,'Données projet'!$E$14+1,1))-AVERAGE(OFFSET($H$3,0,0,'Données projet'!$E$14+1,1))</f>
        <v>347.17417070871716</v>
      </c>
      <c r="DU15" s="59">
        <f t="shared" si="44"/>
        <v>339.56378046986441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4.333333333333333</v>
      </c>
      <c r="EJ15" s="12">
        <f>IF('Données projet'!$A$192&gt;35,EJ14+EI15-ER14,IF(A15&lt;'Données projet'!$A$192,$EG$205^A15,IF(A15='Données projet'!$A$192,'Données projet'!$B$192,EJ14+EI15-ER14)))</f>
        <v>28.205297528345746</v>
      </c>
      <c r="EK15" s="17">
        <f>EJ15*VLOOKUP('Données projet'!$B$15,Paramètres!$A$1:$I$89,3,0)*VLOOKUP('Données projet'!$B$15,Paramètres!$A$1:$I$89,5,0)</f>
        <v>24.640147920762846</v>
      </c>
      <c r="EL15" s="13">
        <f t="shared" si="45"/>
        <v>7.8200241485704662</v>
      </c>
      <c r="EM15" s="20">
        <f t="shared" si="19"/>
        <v>56.534799687422179</v>
      </c>
      <c r="EN15" s="59">
        <f t="shared" si="20"/>
        <v>327.86813302075552</v>
      </c>
      <c r="EO15" s="59">
        <f ca="1">AVERAGE(OFFSET($EN$3,0,0,'Données projet'!$E$15+1,1))-AVERAGE(OFFSET($H$3,0,0,'Données projet'!$E$15+1,1))</f>
        <v>384.34044781465661</v>
      </c>
      <c r="EP15" s="59">
        <f t="shared" si="46"/>
        <v>374.99493809709708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4.333333333333333</v>
      </c>
      <c r="FE15" s="12">
        <f>IF('Données projet'!$A$218&gt;35,FE14+FD15-FM14,IF(A15&lt;'Données projet'!$A$218,$FB$205^A15,IF(A15='Données projet'!$A$218,'Données projet'!$B$218,FE14+FD15-FM14)))</f>
        <v>28.205297528345746</v>
      </c>
      <c r="FF15" s="17">
        <f>FE15*VLOOKUP('Données projet'!$B$16,Paramètres!$A$1:$I$89,3,0)*VLOOKUP('Données projet'!$B$16,Paramètres!$A$1:$I$89,5,0)</f>
        <v>22.880137354994069</v>
      </c>
      <c r="FG15" s="13">
        <f t="shared" si="47"/>
        <v>7.3243604346098863</v>
      </c>
      <c r="FH15" s="20">
        <f t="shared" si="22"/>
        <v>52.606166983560222</v>
      </c>
      <c r="FI15" s="59">
        <f t="shared" si="23"/>
        <v>323.93950031689354</v>
      </c>
      <c r="FJ15" s="59">
        <f ca="1">AVERAGE(OFFSET($FI$3,0,0,'Données projet'!$E$16+1,1))-AVERAGE(OFFSET($H$3,0,0,'Données projet'!$E$16+1,1))</f>
        <v>359.57284550600366</v>
      </c>
      <c r="FK15" s="59">
        <f t="shared" si="48"/>
        <v>351.38386928091433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6">
        <f t="shared" si="1"/>
        <v>256.66666666666669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5.0894117647058819</v>
      </c>
      <c r="N16" s="13">
        <f>IF('Données projet'!$A$36&gt;35,N15+M16-V15,IF(A16&lt;'Données projet'!$A$36,$K$205^A16,IF(A16='Données projet'!$A$36,'Données projet'!$B$36,N15+M16-V15)))</f>
        <v>7.1740087083211872</v>
      </c>
      <c r="O16" s="13">
        <f>N16*VLOOKUP('Données projet'!$B$9,Paramètres!$A$1:$I$89,3,0)*VLOOKUP('Données projet'!$B$9,Paramètres!$A$1:$I$89,5,0)</f>
        <v>6.4910430792890104</v>
      </c>
      <c r="P16" s="13">
        <f t="shared" si="33"/>
        <v>2.4060970991030577</v>
      </c>
      <c r="Q16" s="20">
        <f t="shared" si="2"/>
        <v>15.495852477366185</v>
      </c>
      <c r="R16" s="59">
        <f t="shared" si="0"/>
        <v>288.0514080329217</v>
      </c>
      <c r="S16" s="59">
        <f ca="1">AVERAGE(OFFSET($R$3,0,0,'Données projet'!$E$9+1,1))-AVERAGE(OFFSET($H$3,0,0,'Données projet'!$E$9+1,1))</f>
        <v>695.0879239758051</v>
      </c>
      <c r="T16" s="59">
        <f t="shared" si="34"/>
        <v>226.22150997227476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9.5933333333333337</v>
      </c>
      <c r="AI16" s="13">
        <f>IF('Données projet'!$A$62&gt;35,AI15+AH16-AQ15,IF(A16&lt;'Données projet'!$A$62,$AF$205^A16,IF(A16='Données projet'!$A$62,'Données projet'!$B$62,AI15+AH16-AQ15)))</f>
        <v>74.185555793984392</v>
      </c>
      <c r="AJ16" s="13">
        <f>AI16*VLOOKUP('Données projet'!$B$10,Paramètres!$A$1:$I$89,3,0)*VLOOKUP('Données projet'!$B$10,Paramètres!$A$1:$I$89,5,0)</f>
        <v>44.362962364802677</v>
      </c>
      <c r="AK16" s="13">
        <f t="shared" si="35"/>
        <v>13.147991447029501</v>
      </c>
      <c r="AL16" s="20">
        <f t="shared" si="4"/>
        <v>100.16491122227438</v>
      </c>
      <c r="AM16" s="59">
        <f t="shared" si="5"/>
        <v>372.72046677782993</v>
      </c>
      <c r="AN16" s="59">
        <f ca="1">AVERAGE(OFFSET($AM$3,0,0,'Données projet'!$E$10+1,1))-AVERAGE(OFFSET($H$3,0,0,'Données projet'!$E$10+1,1))</f>
        <v>388.12151914648013</v>
      </c>
      <c r="AO16" s="59">
        <f t="shared" si="36"/>
        <v>481.43684454382793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4.333333333333333</v>
      </c>
      <c r="BD16" s="12">
        <f>IF('Données projet'!$A$88&gt;35,BD15+BC16-BL15,IF(A16&lt;'Données projet'!$A$88,$BA$205^A16,IF(A16='Données projet'!$A$88,'Données projet'!$B$88,BD15+BC16-BL15)))</f>
        <v>37.255601172785397</v>
      </c>
      <c r="BE16" s="13">
        <f>BD16*VLOOKUP('Données projet'!$B$11,Paramètres!$A$1:$I$89,3,0)*VLOOKUP('Données projet'!$B$11,Paramètres!$A$1:$I$89,5,0)</f>
        <v>35.45243007602258</v>
      </c>
      <c r="BF16" s="13">
        <f t="shared" si="37"/>
        <v>10.784978372420079</v>
      </c>
      <c r="BG16" s="20">
        <f t="shared" si="7"/>
        <v>80.530153047704303</v>
      </c>
      <c r="BH16" s="59">
        <f t="shared" si="8"/>
        <v>353.08570860325983</v>
      </c>
      <c r="BI16" s="59">
        <f ca="1">AVERAGE(OFFSET($BH$3,0,0,'Données projet'!$E$11+1,1))-AVERAGE(OFFSET($H$3,0,0,'Données projet'!$E$11+1,1))</f>
        <v>415.24818074059294</v>
      </c>
      <c r="BJ16" s="59">
        <f t="shared" si="38"/>
        <v>404.45811532046872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4.333333333333333</v>
      </c>
      <c r="BY16" s="12">
        <f>IF('Données projet'!$A$114&gt;35,BY15+BX16-CG15,IF(A16&lt;'Données projet'!$A$114,$BV$205^A16,IF(A16='Données projet'!$A$114,'Données projet'!$B$114,BY15+BX16-CG15)))</f>
        <v>37.255601172785397</v>
      </c>
      <c r="BZ16" s="13">
        <f>BY16*VLOOKUP('Données projet'!$B$12,Paramètres!$A$1:$I$89,3,0)*VLOOKUP('Données projet'!$B$12,Paramètres!$A$1:$I$89,5,0)</f>
        <v>32.546493184545326</v>
      </c>
      <c r="CA16" s="13">
        <f t="shared" si="39"/>
        <v>10.000017890578144</v>
      </c>
      <c r="CB16" s="20">
        <f t="shared" si="10"/>
        <v>74.101840122506715</v>
      </c>
      <c r="CC16" s="59">
        <f t="shared" si="11"/>
        <v>346.65739567806224</v>
      </c>
      <c r="CD16" s="59">
        <f ca="1">AVERAGE(OFFSET($CC$3,0,0,'Données projet'!$E$12+1,1))-AVERAGE(OFFSET($H$3,0,0,'Données projet'!$E$12+1,1))</f>
        <v>384.34044781465661</v>
      </c>
      <c r="CE16" s="59">
        <f t="shared" si="40"/>
        <v>374.99493809709708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9.300476190476191</v>
      </c>
      <c r="CT16" s="12">
        <f>IF('Données projet'!$A$140&gt;35,CT15+CS16-DB15,IF(A16&lt;'Données projet'!$A$140,$CQ$205^A16,IF(A16='Données projet'!$A$140,'Données projet'!$B$140,CT15+CS16-DB15)))</f>
        <v>26.185901821535015</v>
      </c>
      <c r="CU16" s="17">
        <f>CT16*VLOOKUP('Données projet'!$B$13,Paramètres!$A$1:$I$89,3,0)*VLOOKUP('Données projet'!$B$13,Paramètres!$A$1:$I$89,5,0)</f>
        <v>14.637919118238074</v>
      </c>
      <c r="CV16" s="13">
        <f t="shared" si="41"/>
        <v>4.935937051561945</v>
      </c>
      <c r="CW16" s="20">
        <f t="shared" si="13"/>
        <v>34.091132829068357</v>
      </c>
      <c r="CX16" s="59">
        <f t="shared" si="14"/>
        <v>306.64668838462387</v>
      </c>
      <c r="CY16" s="59">
        <f ca="1">AVERAGE(OFFSET($CX$3,0,0,'Données projet'!$E$13+1,1))-AVERAGE(OFFSET($H$3,0,0,'Données projet'!$E$13+1,1))</f>
        <v>386.66324266750968</v>
      </c>
      <c r="CZ16" s="59">
        <f t="shared" si="42"/>
        <v>356.22149461585769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4.333333333333333</v>
      </c>
      <c r="DO16" s="12">
        <f>IF('Données projet'!$A$166&gt;35,DO15+DN16-DW15,IF(A16&lt;'Données projet'!$A$166,$DL$205^A16,IF(A16='Données projet'!$A$166,'Données projet'!$B$166,DO15+DN16-DW15)))</f>
        <v>37.255601172785397</v>
      </c>
      <c r="DP16" s="17">
        <f>DO16*VLOOKUP('Données projet'!$B$14,Paramètres!$A$1:$I$89,3,0)*VLOOKUP('Données projet'!$B$14,Paramètres!$A$1:$I$89,5,0)</f>
        <v>29.059368914772612</v>
      </c>
      <c r="DQ16" s="13">
        <f t="shared" si="43"/>
        <v>9.0471487761472318</v>
      </c>
      <c r="DR16" s="20">
        <f t="shared" si="16"/>
        <v>66.368851645018722</v>
      </c>
      <c r="DS16" s="59">
        <f t="shared" si="17"/>
        <v>338.92440720057425</v>
      </c>
      <c r="DT16" s="59">
        <f ca="1">AVERAGE(OFFSET($DS$3,0,0,'Données projet'!$E$14+1,1))-AVERAGE(OFFSET($H$3,0,0,'Données projet'!$E$14+1,1))</f>
        <v>347.17417070871716</v>
      </c>
      <c r="DU16" s="59">
        <f t="shared" si="44"/>
        <v>339.56378046986441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4.333333333333333</v>
      </c>
      <c r="EJ16" s="12">
        <f>IF('Données projet'!$A$192&gt;35,EJ15+EI16-ER15,IF(A16&lt;'Données projet'!$A$192,$EG$205^A16,IF(A16='Données projet'!$A$192,'Données projet'!$B$192,EJ15+EI16-ER15)))</f>
        <v>37.255601172785397</v>
      </c>
      <c r="EK16" s="17">
        <f>EJ16*VLOOKUP('Données projet'!$B$15,Paramètres!$A$1:$I$89,3,0)*VLOOKUP('Données projet'!$B$15,Paramètres!$A$1:$I$89,5,0)</f>
        <v>32.546493184545326</v>
      </c>
      <c r="EL16" s="13">
        <f t="shared" si="45"/>
        <v>10.000017890578144</v>
      </c>
      <c r="EM16" s="20">
        <f t="shared" si="19"/>
        <v>74.101840122506715</v>
      </c>
      <c r="EN16" s="59">
        <f t="shared" si="20"/>
        <v>346.65739567806224</v>
      </c>
      <c r="EO16" s="59">
        <f ca="1">AVERAGE(OFFSET($EN$3,0,0,'Données projet'!$E$15+1,1))-AVERAGE(OFFSET($H$3,0,0,'Données projet'!$E$15+1,1))</f>
        <v>384.34044781465661</v>
      </c>
      <c r="EP16" s="59">
        <f t="shared" si="46"/>
        <v>374.99493809709708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4.333333333333333</v>
      </c>
      <c r="FE16" s="12">
        <f>IF('Données projet'!$A$218&gt;35,FE15+FD16-FM15,IF(A16&lt;'Données projet'!$A$218,$FB$205^A16,IF(A16='Données projet'!$A$218,'Données projet'!$B$218,FE15+FD16-FM15)))</f>
        <v>37.255601172785397</v>
      </c>
      <c r="FF16" s="17">
        <f>FE16*VLOOKUP('Données projet'!$B$16,Paramètres!$A$1:$I$89,3,0)*VLOOKUP('Données projet'!$B$16,Paramètres!$A$1:$I$89,5,0)</f>
        <v>30.221743671363516</v>
      </c>
      <c r="FG16" s="13">
        <f t="shared" si="47"/>
        <v>9.3661776474860101</v>
      </c>
      <c r="FH16" s="20">
        <f t="shared" si="22"/>
        <v>68.948962963662908</v>
      </c>
      <c r="FI16" s="59">
        <f t="shared" si="23"/>
        <v>341.50451851921844</v>
      </c>
      <c r="FJ16" s="59">
        <f ca="1">AVERAGE(OFFSET($FI$3,0,0,'Données projet'!$E$16+1,1))-AVERAGE(OFFSET($H$3,0,0,'Données projet'!$E$16+1,1))</f>
        <v>359.57284550600366</v>
      </c>
      <c r="FK16" s="59">
        <f t="shared" si="48"/>
        <v>351.38386928091433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6">
        <f t="shared" si="1"/>
        <v>256.66666666666669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5.0894117647058819</v>
      </c>
      <c r="N17" s="13">
        <f>IF('Données projet'!$A$36&gt;35,N16+M17-V16,IF(A17&lt;'Données projet'!$A$36,$K$205^A17,IF(A17='Données projet'!$A$36,'Données projet'!$B$36,N16+M17-V16)))</f>
        <v>8.3481402745177196</v>
      </c>
      <c r="O17" s="13">
        <f>N17*VLOOKUP('Données projet'!$B$9,Paramètres!$A$1:$I$89,3,0)*VLOOKUP('Données projet'!$B$9,Paramètres!$A$1:$I$89,5,0)</f>
        <v>7.553397320383632</v>
      </c>
      <c r="P17" s="13">
        <f t="shared" si="33"/>
        <v>2.7509242233886888</v>
      </c>
      <c r="Q17" s="20">
        <f t="shared" si="2"/>
        <v>17.946693355403458</v>
      </c>
      <c r="R17" s="59">
        <f t="shared" si="0"/>
        <v>291.72447113318123</v>
      </c>
      <c r="S17" s="59">
        <f ca="1">AVERAGE(OFFSET($R$3,0,0,'Données projet'!$E$9+1,1))-AVERAGE(OFFSET($H$3,0,0,'Données projet'!$E$9+1,1))</f>
        <v>695.0879239758051</v>
      </c>
      <c r="T17" s="59">
        <f t="shared" si="34"/>
        <v>226.22150997227476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9.5933333333333337</v>
      </c>
      <c r="AI17" s="13">
        <f>IF('Données projet'!$A$62&gt;35,AI16+AH17-AQ16,IF(A17&lt;'Données projet'!$A$62,$AF$205^A17,IF(A17='Données projet'!$A$62,'Données projet'!$B$62,AI16+AH17-AQ16)))</f>
        <v>103.32135054650782</v>
      </c>
      <c r="AJ17" s="13">
        <f>AI17*VLOOKUP('Données projet'!$B$10,Paramètres!$A$1:$I$89,3,0)*VLOOKUP('Données projet'!$B$10,Paramètres!$A$1:$I$89,5,0)</f>
        <v>61.786167626811675</v>
      </c>
      <c r="AK17" s="13">
        <f t="shared" si="35"/>
        <v>17.61909433051207</v>
      </c>
      <c r="AL17" s="20">
        <f t="shared" si="4"/>
        <v>138.2974979090055</v>
      </c>
      <c r="AM17" s="59">
        <f t="shared" si="5"/>
        <v>412.07527568678324</v>
      </c>
      <c r="AN17" s="59">
        <f ca="1">AVERAGE(OFFSET($AM$3,0,0,'Données projet'!$E$10+1,1))-AVERAGE(OFFSET($H$3,0,0,'Données projet'!$E$10+1,1))</f>
        <v>388.12151914648013</v>
      </c>
      <c r="AO17" s="59">
        <f t="shared" si="36"/>
        <v>481.43684454382793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4.333333333333333</v>
      </c>
      <c r="BD17" s="12">
        <f>IF('Données projet'!$A$88&gt;35,BD16+BC17-BL16,IF(A17&lt;'Données projet'!$A$88,$BA$205^A17,IF(A17='Données projet'!$A$88,'Données projet'!$B$88,BD16+BC17-BL16)))</f>
        <v>49.209898153024547</v>
      </c>
      <c r="BE17" s="13">
        <f>BD17*VLOOKUP('Données projet'!$B$11,Paramètres!$A$1:$I$89,3,0)*VLOOKUP('Données projet'!$B$11,Paramètres!$A$1:$I$89,5,0)</f>
        <v>46.828139082418161</v>
      </c>
      <c r="BF17" s="13">
        <f t="shared" si="37"/>
        <v>13.791514530478091</v>
      </c>
      <c r="BG17" s="20">
        <f t="shared" si="7"/>
        <v>105.57923004246095</v>
      </c>
      <c r="BH17" s="59">
        <f t="shared" si="8"/>
        <v>379.35700782023872</v>
      </c>
      <c r="BI17" s="59">
        <f ca="1">AVERAGE(OFFSET($BH$3,0,0,'Données projet'!$E$11+1,1))-AVERAGE(OFFSET($H$3,0,0,'Données projet'!$E$11+1,1))</f>
        <v>415.24818074059294</v>
      </c>
      <c r="BJ17" s="59">
        <f t="shared" si="38"/>
        <v>404.45811532046872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4.333333333333333</v>
      </c>
      <c r="BY17" s="12">
        <f>IF('Données projet'!$A$114&gt;35,BY16+BX17-CG16,IF(A17&lt;'Données projet'!$A$114,$BV$205^A17,IF(A17='Données projet'!$A$114,'Données projet'!$B$114,BY16+BX17-CG16)))</f>
        <v>49.209898153024547</v>
      </c>
      <c r="BZ17" s="13">
        <f>BY17*VLOOKUP('Données projet'!$B$12,Paramètres!$A$1:$I$89,3,0)*VLOOKUP('Données projet'!$B$12,Paramètres!$A$1:$I$89,5,0)</f>
        <v>42.989767026482248</v>
      </c>
      <c r="CA17" s="13">
        <f t="shared" si="39"/>
        <v>12.78773005197989</v>
      </c>
      <c r="CB17" s="20">
        <f t="shared" si="10"/>
        <v>97.145807411654872</v>
      </c>
      <c r="CC17" s="59">
        <f t="shared" si="11"/>
        <v>370.92358518943263</v>
      </c>
      <c r="CD17" s="59">
        <f ca="1">AVERAGE(OFFSET($CC$3,0,0,'Données projet'!$E$12+1,1))-AVERAGE(OFFSET($H$3,0,0,'Données projet'!$E$12+1,1))</f>
        <v>384.34044781465661</v>
      </c>
      <c r="CE17" s="59">
        <f t="shared" si="40"/>
        <v>374.99493809709708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9.300476190476191</v>
      </c>
      <c r="CT17" s="12">
        <f>IF('Données projet'!$A$140&gt;35,CT16+CS17-DB16,IF(A17&lt;'Données projet'!$A$140,$CQ$205^A17,IF(A17='Données projet'!$A$140,'Données projet'!$B$140,CT16+CS17-DB16)))</f>
        <v>33.662754773176729</v>
      </c>
      <c r="CU17" s="17">
        <f>CT17*VLOOKUP('Données projet'!$B$13,Paramètres!$A$1:$I$89,3,0)*VLOOKUP('Données projet'!$B$13,Paramètres!$A$1:$I$89,5,0)</f>
        <v>18.817479918205791</v>
      </c>
      <c r="CV17" s="13">
        <f t="shared" si="41"/>
        <v>6.1624665086044912</v>
      </c>
      <c r="CW17" s="20">
        <f t="shared" si="13"/>
        <v>43.50674002669458</v>
      </c>
      <c r="CX17" s="59">
        <f t="shared" si="14"/>
        <v>317.28451780447233</v>
      </c>
      <c r="CY17" s="59">
        <f ca="1">AVERAGE(OFFSET($CX$3,0,0,'Données projet'!$E$13+1,1))-AVERAGE(OFFSET($H$3,0,0,'Données projet'!$E$13+1,1))</f>
        <v>386.66324266750968</v>
      </c>
      <c r="CZ17" s="59">
        <f t="shared" si="42"/>
        <v>356.22149461585769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4.333333333333333</v>
      </c>
      <c r="DO17" s="12">
        <f>IF('Données projet'!$A$166&gt;35,DO16+DN17-DW16,IF(A17&lt;'Données projet'!$A$166,$DL$205^A17,IF(A17='Données projet'!$A$166,'Données projet'!$B$166,DO16+DN17-DW16)))</f>
        <v>49.209898153024547</v>
      </c>
      <c r="DP17" s="17">
        <f>DO17*VLOOKUP('Données projet'!$B$14,Paramètres!$A$1:$I$89,3,0)*VLOOKUP('Données projet'!$B$14,Paramètres!$A$1:$I$89,5,0)</f>
        <v>38.383720559359148</v>
      </c>
      <c r="DQ17" s="13">
        <f t="shared" si="43"/>
        <v>11.569228930927673</v>
      </c>
      <c r="DR17" s="20">
        <f t="shared" si="16"/>
        <v>87.001387028916199</v>
      </c>
      <c r="DS17" s="59">
        <f t="shared" si="17"/>
        <v>360.77916480669398</v>
      </c>
      <c r="DT17" s="59">
        <f ca="1">AVERAGE(OFFSET($DS$3,0,0,'Données projet'!$E$14+1,1))-AVERAGE(OFFSET($H$3,0,0,'Données projet'!$E$14+1,1))</f>
        <v>347.17417070871716</v>
      </c>
      <c r="DU17" s="59">
        <f t="shared" si="44"/>
        <v>339.56378046986441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4.333333333333333</v>
      </c>
      <c r="EJ17" s="12">
        <f>IF('Données projet'!$A$192&gt;35,EJ16+EI17-ER16,IF(A17&lt;'Données projet'!$A$192,$EG$205^A17,IF(A17='Données projet'!$A$192,'Données projet'!$B$192,EJ16+EI17-ER16)))</f>
        <v>49.209898153024547</v>
      </c>
      <c r="EK17" s="17">
        <f>EJ17*VLOOKUP('Données projet'!$B$15,Paramètres!$A$1:$I$89,3,0)*VLOOKUP('Données projet'!$B$15,Paramètres!$A$1:$I$89,5,0)</f>
        <v>42.989767026482248</v>
      </c>
      <c r="EL17" s="13">
        <f t="shared" si="45"/>
        <v>12.78773005197989</v>
      </c>
      <c r="EM17" s="20">
        <f t="shared" si="19"/>
        <v>97.145807411654872</v>
      </c>
      <c r="EN17" s="59">
        <f t="shared" si="20"/>
        <v>370.92358518943263</v>
      </c>
      <c r="EO17" s="59">
        <f ca="1">AVERAGE(OFFSET($EN$3,0,0,'Données projet'!$E$15+1,1))-AVERAGE(OFFSET($H$3,0,0,'Données projet'!$E$15+1,1))</f>
        <v>384.34044781465661</v>
      </c>
      <c r="EP17" s="59">
        <f t="shared" si="46"/>
        <v>374.99493809709708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4.333333333333333</v>
      </c>
      <c r="FE17" s="12">
        <f>IF('Données projet'!$A$218&gt;35,FE16+FD17-FM16,IF(A17&lt;'Données projet'!$A$218,$FB$205^A17,IF(A17='Données projet'!$A$218,'Données projet'!$B$218,FE16+FD17-FM16)))</f>
        <v>49.209898153024547</v>
      </c>
      <c r="FF17" s="17">
        <f>FE17*VLOOKUP('Données projet'!$B$16,Paramètres!$A$1:$I$89,3,0)*VLOOKUP('Données projet'!$B$16,Paramètres!$A$1:$I$89,5,0)</f>
        <v>39.919069381733514</v>
      </c>
      <c r="FG17" s="13">
        <f t="shared" si="47"/>
        <v>11.977193709601915</v>
      </c>
      <c r="FH17" s="20">
        <f t="shared" si="22"/>
        <v>90.385991550742531</v>
      </c>
      <c r="FI17" s="59">
        <f t="shared" si="23"/>
        <v>364.16376932852029</v>
      </c>
      <c r="FJ17" s="59">
        <f ca="1">AVERAGE(OFFSET($FI$3,0,0,'Données projet'!$E$16+1,1))-AVERAGE(OFFSET($H$3,0,0,'Données projet'!$E$16+1,1))</f>
        <v>359.57284550600366</v>
      </c>
      <c r="FK17" s="59">
        <f t="shared" si="48"/>
        <v>351.38386928091433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6">
        <f t="shared" si="1"/>
        <v>256.66666666666669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5.0894117647058819</v>
      </c>
      <c r="N18" s="13">
        <f>IF('Données projet'!$A$36&gt;35,N17+M18-V17,IF(A18&lt;'Données projet'!$A$36,$K$205^A18,IF(A18='Données projet'!$A$36,'Données projet'!$B$36,N17+M18-V17)))</f>
        <v>9.7144356630330186</v>
      </c>
      <c r="O18" s="13">
        <f>N18*VLOOKUP('Données projet'!$B$9,Paramètres!$A$1:$I$89,3,0)*VLOOKUP('Données projet'!$B$9,Paramètres!$A$1:$I$89,5,0)</f>
        <v>8.7896213879122751</v>
      </c>
      <c r="P18" s="13">
        <f t="shared" si="33"/>
        <v>3.1451698626990985</v>
      </c>
      <c r="Q18" s="20">
        <f t="shared" si="2"/>
        <v>20.786428094814809</v>
      </c>
      <c r="R18" s="59">
        <f t="shared" si="0"/>
        <v>295.78642809481482</v>
      </c>
      <c r="S18" s="59">
        <f ca="1">AVERAGE(OFFSET($R$3,0,0,'Données projet'!$E$9+1,1))-AVERAGE(OFFSET($H$3,0,0,'Données projet'!$E$9+1,1))</f>
        <v>695.0879239758051</v>
      </c>
      <c r="T18" s="59">
        <f t="shared" si="34"/>
        <v>226.22150997227476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143.9</v>
      </c>
      <c r="AG18" s="12">
        <f>VLOOKUP(A18,'Données projet'!$A$61:$I$81,9,0)</f>
        <v>9.5933333333333337</v>
      </c>
      <c r="AH18" s="12">
        <f t="array" ref="AH18">INDEX(AG:AG,MIN(IF(ISNUMBER(AG18:AG214),ROW(AG18:AG214),"")))</f>
        <v>9.5933333333333337</v>
      </c>
      <c r="AI18" s="13">
        <f>IF('Données projet'!$A$62&gt;35,AI17+AH18-AQ17,IF(A18&lt;'Données projet'!$A$62,$AF$205^A18,IF(A18='Données projet'!$A$62,'Données projet'!$B$62,AI17+AH18-AQ17)))</f>
        <v>143.9</v>
      </c>
      <c r="AJ18" s="13">
        <f>AI18*VLOOKUP('Données projet'!$B$10,Paramètres!$A$1:$I$89,3,0)*VLOOKUP('Données projet'!$B$10,Paramètres!$A$1:$I$89,5,0)</f>
        <v>86.052200000000013</v>
      </c>
      <c r="AK18" s="13">
        <f t="shared" si="35"/>
        <v>23.610639410449146</v>
      </c>
      <c r="AL18" s="20">
        <f t="shared" si="4"/>
        <v>190.99611197319894</v>
      </c>
      <c r="AM18" s="59">
        <f t="shared" si="5"/>
        <v>465.99611197319894</v>
      </c>
      <c r="AN18" s="59">
        <f ca="1">AVERAGE(OFFSET($AM$3,0,0,'Données projet'!$E$10+1,1))-AVERAGE(OFFSET($H$3,0,0,'Données projet'!$E$10+1,1))</f>
        <v>388.12151914648013</v>
      </c>
      <c r="AO18" s="59">
        <f t="shared" si="36"/>
        <v>481.43684454382793</v>
      </c>
      <c r="AP18" s="15">
        <f>IF(ISNA(VLOOKUP(A18,'Données projet'!$A$61:$I$81,3,0)),0,VLOOKUP(A18,'Données projet'!$A$61:$I$81,3,0))</f>
        <v>1</v>
      </c>
      <c r="AQ18" s="15">
        <f>IF(ISNA(VLOOKUP(A18,'Données projet'!$A$61:$I$81,4,0)),0,VLOOKUP(A18,'Données projet'!$A$61:$I$81,4,0))</f>
        <v>50.480000000000004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0.22500000000000001</v>
      </c>
      <c r="AT18" s="16">
        <f>IF(ISNA(VLOOKUP(A18,'Données projet'!$A$61:$I$81,7,0)),0%,VLOOKUP(A18,'Données projet'!$A$61:$I$81,7,0))</f>
        <v>0.5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8.9746608694215499</v>
      </c>
      <c r="AW18" s="21">
        <f>EXP(-LN(2)/2)*AW17+(1-EXP(-LN(2)/2))/(LN(2)/2)*AQ18*AT18*VLOOKUP('Données projet'!$B$10,Paramètres!$A$1:$I$89,3,0)*0.475*44/12</f>
        <v>17.089370827361666</v>
      </c>
      <c r="AX18" s="21">
        <f t="shared" si="6"/>
        <v>26.064031696783218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65</v>
      </c>
      <c r="BB18" s="12">
        <f>VLOOKUP(A18,'Données projet'!$A$87:$I$107,9,0)</f>
        <v>4.333333333333333</v>
      </c>
      <c r="BC18" s="12">
        <f t="array" ref="BC18">INDEX(BB:BB,MIN(IF(ISNUMBER(BB18:BB214),ROW(BB18:BB214),"")))</f>
        <v>4.333333333333333</v>
      </c>
      <c r="BD18" s="12">
        <f>IF('Données projet'!$A$88&gt;35,BD17+BC18-BL17,IF(A18&lt;'Données projet'!$A$88,$BA$205^A18,IF(A18='Données projet'!$A$88,'Données projet'!$B$88,BD17+BC18-BL17)))</f>
        <v>65</v>
      </c>
      <c r="BE18" s="13">
        <f>BD18*VLOOKUP('Données projet'!$B$11,Paramètres!$A$1:$I$89,3,0)*VLOOKUP('Données projet'!$B$11,Paramètres!$A$1:$I$89,5,0)</f>
        <v>61.853999999999999</v>
      </c>
      <c r="BF18" s="13">
        <f t="shared" si="37"/>
        <v>17.63618493021675</v>
      </c>
      <c r="BG18" s="20">
        <f t="shared" si="7"/>
        <v>138.44540542012751</v>
      </c>
      <c r="BH18" s="59">
        <f t="shared" si="8"/>
        <v>413.44540542012749</v>
      </c>
      <c r="BI18" s="59">
        <f ca="1">AVERAGE(OFFSET($BH$3,0,0,'Données projet'!$E$11+1,1))-AVERAGE(OFFSET($H$3,0,0,'Données projet'!$E$11+1,1))</f>
        <v>415.24818074059294</v>
      </c>
      <c r="BJ18" s="59">
        <f t="shared" si="38"/>
        <v>404.45811532046872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32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0.1075</v>
      </c>
      <c r="BO18" s="16">
        <f>IF(ISNA(VLOOKUP(A18,'Données projet'!$A$87:$I$107,7,0)),0%,VLOOKUP(A18,'Données projet'!$A$87:$I$107,7,0))</f>
        <v>0.25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3.6045132655768728</v>
      </c>
      <c r="BR18" s="21">
        <f>EXP(-LN(2)/2)*BR17+(1-EXP(-LN(2)/2))/(LN(2)/2)*BL18*BO18*VLOOKUP('Données projet'!$B$11,Paramètres!$A$1:$I$89,3,0)*0.475*44/12</f>
        <v>7.1828816955078993</v>
      </c>
      <c r="BS18" s="22">
        <f t="shared" si="9"/>
        <v>10.787394961084772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65</v>
      </c>
      <c r="BW18" s="12">
        <f>VLOOKUP(A18,'Données projet'!$A$113:$I$133,9,0)</f>
        <v>4.333333333333333</v>
      </c>
      <c r="BX18" s="12">
        <f t="array" ref="BX18">INDEX(BW:BW,MIN(IF(ISNUMBER(BW18:BW214),ROW(BW18:BW214),"")))</f>
        <v>4.333333333333333</v>
      </c>
      <c r="BY18" s="12">
        <f>IF('Données projet'!$A$114&gt;35,BY17+BX18-CG17,IF(A18&lt;'Données projet'!$A$114,$BV$205^A18,IF(A18='Données projet'!$A$114,'Données projet'!$B$114,BY17+BX18-CG17)))</f>
        <v>65</v>
      </c>
      <c r="BZ18" s="13">
        <f>BY18*VLOOKUP('Données projet'!$B$12,Paramètres!$A$1:$I$89,3,0)*VLOOKUP('Données projet'!$B$12,Paramètres!$A$1:$I$89,5,0)</f>
        <v>56.784000000000013</v>
      </c>
      <c r="CA18" s="13">
        <f t="shared" si="39"/>
        <v>16.352574732529362</v>
      </c>
      <c r="CB18" s="20">
        <f t="shared" si="10"/>
        <v>127.37953432582198</v>
      </c>
      <c r="CC18" s="59">
        <f t="shared" si="11"/>
        <v>402.37953432582196</v>
      </c>
      <c r="CD18" s="59">
        <f ca="1">AVERAGE(OFFSET($CC$3,0,0,'Données projet'!$E$12+1,1))-AVERAGE(OFFSET($H$3,0,0,'Données projet'!$E$12+1,1))</f>
        <v>384.34044781465661</v>
      </c>
      <c r="CE18" s="59">
        <f t="shared" si="40"/>
        <v>374.99493809709708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32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0.13250000000000001</v>
      </c>
      <c r="CJ18" s="16">
        <f>IF(ISNA(VLOOKUP(A18,'Données projet'!$A$113:$I$133,7,0)),0%,VLOOKUP(A18,'Données projet'!$A$113:$I$133,7,0))</f>
        <v>0.25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4.0786105117164171</v>
      </c>
      <c r="CM18" s="21">
        <f>EXP(-LN(2)/2)*CM17+(1-EXP(-LN(2)/2))/(LN(2)/2)*CG18*CJ18*VLOOKUP('Données projet'!$B$12,Paramètres!$A$1:$I$89,3,0)*0.475*44/12</f>
        <v>6.5941209007941382</v>
      </c>
      <c r="CN18" s="22">
        <f t="shared" si="12"/>
        <v>10.672731412510554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9.300476190476191</v>
      </c>
      <c r="CT18" s="12">
        <f>IF('Données projet'!$A$140&gt;35,CT17+CS18-DB17,IF(A18&lt;'Données projet'!$A$140,$CQ$205^A18,IF(A18='Données projet'!$A$140,'Données projet'!$B$140,CT17+CS18-DB17)))</f>
        <v>43.274471379370887</v>
      </c>
      <c r="CU18" s="17">
        <f>CT18*VLOOKUP('Données projet'!$B$13,Paramètres!$A$1:$I$89,3,0)*VLOOKUP('Données projet'!$B$13,Paramètres!$A$1:$I$89,5,0)</f>
        <v>24.190429501068326</v>
      </c>
      <c r="CV18" s="13">
        <f t="shared" si="41"/>
        <v>7.6937758875297604</v>
      </c>
      <c r="CW18" s="20">
        <f t="shared" si="13"/>
        <v>55.531657718475003</v>
      </c>
      <c r="CX18" s="59">
        <f t="shared" si="14"/>
        <v>330.531657718475</v>
      </c>
      <c r="CY18" s="59">
        <f ca="1">AVERAGE(OFFSET($CX$3,0,0,'Données projet'!$E$13+1,1))-AVERAGE(OFFSET($H$3,0,0,'Données projet'!$E$13+1,1))</f>
        <v>386.66324266750968</v>
      </c>
      <c r="CZ18" s="59">
        <f t="shared" si="42"/>
        <v>356.22149461585769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65</v>
      </c>
      <c r="DM18" s="12">
        <f>VLOOKUP(A18,'Données projet'!$A$165:$I$185,9,0)</f>
        <v>4.333333333333333</v>
      </c>
      <c r="DN18" s="12">
        <f t="array" ref="DN18">INDEX(DM:DM,MIN(IF(ISNUMBER(DM18:DM214),ROW(DM18:DM214),"")))</f>
        <v>4.333333333333333</v>
      </c>
      <c r="DO18" s="12">
        <f>IF('Données projet'!$A$166&gt;35,DO17+DN18-DW17,IF(A18&lt;'Données projet'!$A$166,$DL$205^A18,IF(A18='Données projet'!$A$166,'Données projet'!$B$166,DO17+DN18-DW17)))</f>
        <v>65</v>
      </c>
      <c r="DP18" s="17">
        <f>DO18*VLOOKUP('Données projet'!$B$14,Paramètres!$A$1:$I$89,3,0)*VLOOKUP('Données projet'!$B$14,Paramètres!$A$1:$I$89,5,0)</f>
        <v>50.7</v>
      </c>
      <c r="DQ18" s="13">
        <f t="shared" si="43"/>
        <v>14.79439117980476</v>
      </c>
      <c r="DR18" s="20">
        <f t="shared" si="16"/>
        <v>114.06939797149329</v>
      </c>
      <c r="DS18" s="59">
        <f t="shared" si="17"/>
        <v>389.06939797149329</v>
      </c>
      <c r="DT18" s="59">
        <f ca="1">AVERAGE(OFFSET($DS$3,0,0,'Données projet'!$E$14+1,1))-AVERAGE(OFFSET($H$3,0,0,'Données projet'!$E$14+1,1))</f>
        <v>347.17417070871716</v>
      </c>
      <c r="DU18" s="59">
        <f t="shared" si="44"/>
        <v>339.56378046986441</v>
      </c>
      <c r="DV18" s="15">
        <f>IF(ISNA(VLOOKUP(A18,'Données projet'!$A$165:$I$185,3,0)),0,VLOOKUP(A18,'Données projet'!$A$165:$I$185,3,0))</f>
        <v>1</v>
      </c>
      <c r="DW18" s="15">
        <f>IF(ISNA(VLOOKUP(A18,'Données projet'!$A$165:$I$185,4,0)),0,VLOOKUP(A18,'Données projet'!$A$165:$I$185,4,0))</f>
        <v>32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0.1075</v>
      </c>
      <c r="DZ18" s="16">
        <f>IF(ISNA(VLOOKUP(A18,'Données projet'!$A$165:$I$185,7,0)),0%,VLOOKUP(A18,'Données projet'!$A$165:$I$185,7,0))</f>
        <v>0.25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2.9545190701449777</v>
      </c>
      <c r="EC18" s="21">
        <f>EXP(-LN(2)/2)*EC17+(1-EXP(-LN(2)/2))/(LN(2)/2)*DW18*DZ18*VLOOKUP('Données projet'!$B$14,Paramètres!$A$1:$I$89,3,0)*0.475*44/12</f>
        <v>5.8876079471376217</v>
      </c>
      <c r="ED18" s="22">
        <f t="shared" si="18"/>
        <v>8.8421270172825999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>
        <f>VLOOKUP(A18,'Données projet'!$A$191:$I$211,2,0)</f>
        <v>65</v>
      </c>
      <c r="EH18" s="12">
        <f>VLOOKUP(A18,'Données projet'!$A$191:$I$211,9,0)</f>
        <v>4.333333333333333</v>
      </c>
      <c r="EI18" s="12">
        <f t="array" ref="EI18">INDEX(EH:EH,MIN(IF(ISNUMBER(EH18:EH214),ROW(EH18:EH214),"")))</f>
        <v>4.333333333333333</v>
      </c>
      <c r="EJ18" s="12">
        <f>IF('Données projet'!$A$192&gt;35,EJ17+EI18-ER17,IF(A18&lt;'Données projet'!$A$192,$EG$205^A18,IF(A18='Données projet'!$A$192,'Données projet'!$B$192,EJ17+EI18-ER17)))</f>
        <v>65</v>
      </c>
      <c r="EK18" s="17">
        <f>EJ18*VLOOKUP('Données projet'!$B$15,Paramètres!$A$1:$I$89,3,0)*VLOOKUP('Données projet'!$B$15,Paramètres!$A$1:$I$89,5,0)</f>
        <v>56.784000000000013</v>
      </c>
      <c r="EL18" s="13">
        <f t="shared" si="45"/>
        <v>16.352574732529362</v>
      </c>
      <c r="EM18" s="20">
        <f t="shared" si="19"/>
        <v>127.37953432582198</v>
      </c>
      <c r="EN18" s="59">
        <f t="shared" si="20"/>
        <v>402.37953432582196</v>
      </c>
      <c r="EO18" s="59">
        <f ca="1">AVERAGE(OFFSET($EN$3,0,0,'Données projet'!$E$15+1,1))-AVERAGE(OFFSET($H$3,0,0,'Données projet'!$E$15+1,1))</f>
        <v>384.34044781465661</v>
      </c>
      <c r="EP18" s="59">
        <f t="shared" si="46"/>
        <v>374.99493809709708</v>
      </c>
      <c r="EQ18" s="15">
        <f>IF(ISNA(VLOOKUP(A18,'Données projet'!$A$191:$I$211,3,0)),0,VLOOKUP(A18,'Données projet'!$A$191:$I$211,3,0))</f>
        <v>1</v>
      </c>
      <c r="ER18" s="15">
        <f>IF(ISNA(VLOOKUP(A18,'Données projet'!$A$191:$I$211,4,0)),0,VLOOKUP(A18,'Données projet'!$A$191:$I$211,4,0))</f>
        <v>32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0.1075</v>
      </c>
      <c r="EU18" s="16">
        <f>IF(ISNA(VLOOKUP(A18,'Données projet'!$A$191:$I$211,7,0)),0%,VLOOKUP(A18,'Données projet'!$A$191:$I$211,7,0))</f>
        <v>0.25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3.3090613585623756</v>
      </c>
      <c r="EX18" s="21">
        <f>EXP(-LN(2)/2)*EX17+(1-EXP(-LN(2)/2))/(LN(2)/2)*ER18*EU18*VLOOKUP('Données projet'!$B$15,Paramètres!$A$1:$I$89,3,0)*0.475*44/12</f>
        <v>6.5941209007941382</v>
      </c>
      <c r="EY18" s="22">
        <f t="shared" si="21"/>
        <v>9.9031822593565142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>
        <f>VLOOKUP(A18,'Données projet'!$A$217:$I$237,2,0)</f>
        <v>65</v>
      </c>
      <c r="FC18" s="12">
        <f>VLOOKUP(A18,'Données projet'!$A$217:$I$237,9,0)</f>
        <v>4.333333333333333</v>
      </c>
      <c r="FD18" s="12">
        <f t="array" ref="FD18">INDEX(FC:FC,MIN(IF(ISNUMBER(FC18:FC214),ROW(FC18:FC214),"")))</f>
        <v>4.333333333333333</v>
      </c>
      <c r="FE18" s="12">
        <f>IF('Données projet'!$A$218&gt;35,FE17+FD18-FM17,IF(A18&lt;'Données projet'!$A$218,$FB$205^A18,IF(A18='Données projet'!$A$218,'Données projet'!$B$218,FE17+FD18-FM17)))</f>
        <v>65</v>
      </c>
      <c r="FF18" s="17">
        <f>FE18*VLOOKUP('Données projet'!$B$16,Paramètres!$A$1:$I$89,3,0)*VLOOKUP('Données projet'!$B$16,Paramètres!$A$1:$I$89,5,0)</f>
        <v>52.728000000000009</v>
      </c>
      <c r="FG18" s="13">
        <f t="shared" si="47"/>
        <v>15.316084592505286</v>
      </c>
      <c r="FH18" s="20">
        <f t="shared" si="22"/>
        <v>118.51011399861339</v>
      </c>
      <c r="FI18" s="59">
        <f t="shared" si="23"/>
        <v>393.51011399861341</v>
      </c>
      <c r="FJ18" s="59">
        <f ca="1">AVERAGE(OFFSET($FI$3,0,0,'Données projet'!$E$16+1,1))-AVERAGE(OFFSET($H$3,0,0,'Données projet'!$E$16+1,1))</f>
        <v>359.57284550600366</v>
      </c>
      <c r="FK18" s="59">
        <f t="shared" si="48"/>
        <v>351.38386928091433</v>
      </c>
      <c r="FL18" s="15">
        <f>IF(ISNA(VLOOKUP(A18,'Données projet'!$A$217:$I$237,3,0)),0,VLOOKUP(A18,'Données projet'!$A$217:$I$237,3,0))</f>
        <v>1</v>
      </c>
      <c r="FM18" s="15">
        <f>IF(ISNA(VLOOKUP(A18,'Données projet'!$A$217:$I$237,4,0)),0,VLOOKUP(A18,'Données projet'!$A$217:$I$237,4,0))</f>
        <v>32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0.1075</v>
      </c>
      <c r="FP18" s="16">
        <f>IF(ISNA(VLOOKUP(A18,'Données projet'!$A$217:$I$237,7,0)),0%,VLOOKUP(A18,'Données projet'!$A$217:$I$237,7,0))</f>
        <v>0.25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3.0726998329507769</v>
      </c>
      <c r="FS18" s="21">
        <f>EXP(-LN(2)/2)*FS17+(1-EXP(-LN(2)/2))/(LN(2)/2)*FM18*FP18*VLOOKUP('Données projet'!$B$16,Paramètres!$A$1:$I$89,3,0)*0.475*44/12</f>
        <v>6.1231122650231278</v>
      </c>
      <c r="FT18" s="22">
        <f t="shared" si="24"/>
        <v>9.1958120979739046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6">
        <f t="shared" si="1"/>
        <v>256.66666666666669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5.0894117647058819</v>
      </c>
      <c r="N19" s="13">
        <f>IF('Données projet'!$A$36&gt;35,N18+M19-V18,IF(A19&lt;'Données projet'!$A$36,$K$205^A19,IF(A19='Données projet'!$A$36,'Données projet'!$B$36,N18+M19-V18)))</f>
        <v>11.304345297031993</v>
      </c>
      <c r="O19" s="13">
        <f>N19*VLOOKUP('Données projet'!$B$9,Paramètres!$A$1:$I$89,3,0)*VLOOKUP('Données projet'!$B$9,Paramètres!$A$1:$I$89,5,0)</f>
        <v>10.228171624754548</v>
      </c>
      <c r="P19" s="13">
        <f t="shared" si="33"/>
        <v>3.5959163764406497</v>
      </c>
      <c r="Q19" s="20">
        <f t="shared" si="2"/>
        <v>24.076953268748301</v>
      </c>
      <c r="R19" s="59">
        <f t="shared" si="0"/>
        <v>300.29917549097053</v>
      </c>
      <c r="S19" s="59">
        <f ca="1">AVERAGE(OFFSET($R$3,0,0,'Données projet'!$E$9+1,1))-AVERAGE(OFFSET($H$3,0,0,'Données projet'!$E$9+1,1))</f>
        <v>695.0879239758051</v>
      </c>
      <c r="T19" s="59">
        <f t="shared" si="34"/>
        <v>226.22150997227476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22.926000000000002</v>
      </c>
      <c r="AI19" s="13">
        <f>IF('Données projet'!$A$62&gt;35,AI18+AH19-AQ18,IF(A19&lt;'Données projet'!$A$62,$AF$205^A19,IF(A19='Données projet'!$A$62,'Données projet'!$B$62,AI18+AH19-AQ18)))</f>
        <v>116.34600000000002</v>
      </c>
      <c r="AJ19" s="13">
        <f>AI19*VLOOKUP('Données projet'!$B$10,Paramètres!$A$1:$I$89,3,0)*VLOOKUP('Données projet'!$B$10,Paramètres!$A$1:$I$89,5,0)</f>
        <v>69.574908000000022</v>
      </c>
      <c r="AK19" s="13">
        <f t="shared" si="35"/>
        <v>19.567854850728789</v>
      </c>
      <c r="AL19" s="20">
        <f t="shared" si="4"/>
        <v>155.256978631686</v>
      </c>
      <c r="AM19" s="59">
        <f t="shared" si="5"/>
        <v>431.4792008539082</v>
      </c>
      <c r="AN19" s="59">
        <f ca="1">AVERAGE(OFFSET($AM$3,0,0,'Données projet'!$E$10+1,1))-AVERAGE(OFFSET($H$3,0,0,'Données projet'!$E$10+1,1))</f>
        <v>388.12151914648013</v>
      </c>
      <c r="AO19" s="59">
        <f t="shared" si="36"/>
        <v>481.43684454382793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8.729248295990315</v>
      </c>
      <c r="AW19" s="21">
        <f>EXP(-LN(2)/2)*AW18+(1-EXP(-LN(2)/2))/(LN(2)/2)*AQ19*AT19*VLOOKUP('Données projet'!$B$10,Paramètres!$A$1:$I$89,3,0)*0.475*44/12</f>
        <v>12.084009998238995</v>
      </c>
      <c r="AX19" s="21">
        <f t="shared" si="6"/>
        <v>20.813258294229311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13.8</v>
      </c>
      <c r="BD19" s="12">
        <f>IF('Données projet'!$A$88&gt;35,BD18+BC19-BL18,IF(A19&lt;'Données projet'!$A$88,$BA$205^A19,IF(A19='Données projet'!$A$88,'Données projet'!$B$88,BD18+BC19-BL18)))</f>
        <v>46.8</v>
      </c>
      <c r="BE19" s="13">
        <f>BD19*VLOOKUP('Données projet'!$B$11,Paramètres!$A$1:$I$89,3,0)*VLOOKUP('Données projet'!$B$11,Paramètres!$A$1:$I$89,5,0)</f>
        <v>44.534880000000001</v>
      </c>
      <c r="BF19" s="13">
        <f t="shared" si="37"/>
        <v>13.193002294430819</v>
      </c>
      <c r="BG19" s="20">
        <f t="shared" si="7"/>
        <v>100.54272832946701</v>
      </c>
      <c r="BH19" s="59">
        <f t="shared" si="8"/>
        <v>376.76495055168925</v>
      </c>
      <c r="BI19" s="59">
        <f ca="1">AVERAGE(OFFSET($BH$3,0,0,'Données projet'!$E$11+1,1))-AVERAGE(OFFSET($H$3,0,0,'Données projet'!$E$11+1,1))</f>
        <v>415.24818074059294</v>
      </c>
      <c r="BJ19" s="59">
        <f t="shared" si="38"/>
        <v>404.45811532046872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3.5059476607765587</v>
      </c>
      <c r="BR19" s="21">
        <f>EXP(-LN(2)/2)*BR18+(1-EXP(-LN(2)/2))/(LN(2)/2)*BL19*BO19*VLOOKUP('Données projet'!$B$11,Paramètres!$A$1:$I$89,3,0)*0.475*44/12</f>
        <v>5.0790643553543617</v>
      </c>
      <c r="BS19" s="22">
        <f t="shared" si="9"/>
        <v>8.5850120161309214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13.8</v>
      </c>
      <c r="BY19" s="12">
        <f>IF('Données projet'!$A$114&gt;35,BY18+BX19-CG18,IF(A19&lt;'Données projet'!$A$114,$BV$205^A19,IF(A19='Données projet'!$A$114,'Données projet'!$B$114,BY18+BX19-CG18)))</f>
        <v>46.8</v>
      </c>
      <c r="BZ19" s="13">
        <f>BY19*VLOOKUP('Données projet'!$B$12,Paramètres!$A$1:$I$89,3,0)*VLOOKUP('Données projet'!$B$12,Paramètres!$A$1:$I$89,5,0)</f>
        <v>40.884480000000003</v>
      </c>
      <c r="CA19" s="13">
        <f t="shared" si="39"/>
        <v>12.23277918777527</v>
      </c>
      <c r="CB19" s="20">
        <f t="shared" si="10"/>
        <v>92.512559752041952</v>
      </c>
      <c r="CC19" s="59">
        <f t="shared" si="11"/>
        <v>368.73478197426419</v>
      </c>
      <c r="CD19" s="59">
        <f ca="1">AVERAGE(OFFSET($CC$3,0,0,'Données projet'!$E$12+1,1))-AVERAGE(OFFSET($H$3,0,0,'Données projet'!$E$12+1,1))</f>
        <v>384.34044781465661</v>
      </c>
      <c r="CE19" s="59">
        <f t="shared" si="40"/>
        <v>374.99493809709708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3.9670806927887265</v>
      </c>
      <c r="CM19" s="21">
        <f>EXP(-LN(2)/2)*CM18+(1-EXP(-LN(2)/2))/(LN(2)/2)*CG19*CJ19*VLOOKUP('Données projet'!$B$12,Paramètres!$A$1:$I$89,3,0)*0.475*44/12</f>
        <v>4.6627476049154808</v>
      </c>
      <c r="CN19" s="22">
        <f t="shared" si="12"/>
        <v>8.6298282977042078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9.300476190476191</v>
      </c>
      <c r="CT19" s="12">
        <f>IF('Données projet'!$A$140&gt;35,CT18+CS19-DB18,IF(A19&lt;'Données projet'!$A$140,$CQ$205^A19,IF(A19='Données projet'!$A$140,'Données projet'!$B$140,CT18+CS19-DB18)))</f>
        <v>55.630618640165025</v>
      </c>
      <c r="CU19" s="17">
        <f>CT19*VLOOKUP('Données projet'!$B$13,Paramètres!$A$1:$I$89,3,0)*VLOOKUP('Données projet'!$B$13,Paramètres!$A$1:$I$89,5,0)</f>
        <v>31.097515819852248</v>
      </c>
      <c r="CV19" s="13">
        <f t="shared" si="41"/>
        <v>9.6055998559802376</v>
      </c>
      <c r="CW19" s="20">
        <f t="shared" si="13"/>
        <v>70.891259802074913</v>
      </c>
      <c r="CX19" s="59">
        <f t="shared" si="14"/>
        <v>347.11348202429713</v>
      </c>
      <c r="CY19" s="59">
        <f ca="1">AVERAGE(OFFSET($CX$3,0,0,'Données projet'!$E$13+1,1))-AVERAGE(OFFSET($H$3,0,0,'Données projet'!$E$13+1,1))</f>
        <v>386.66324266750968</v>
      </c>
      <c r="CZ19" s="59">
        <f t="shared" si="42"/>
        <v>356.22149461585769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13.8</v>
      </c>
      <c r="DO19" s="12">
        <f>IF('Données projet'!$A$166&gt;35,DO18+DN19-DW18,IF(A19&lt;'Données projet'!$A$166,$DL$205^A19,IF(A19='Données projet'!$A$166,'Données projet'!$B$166,DO18+DN19-DW18)))</f>
        <v>46.8</v>
      </c>
      <c r="DP19" s="17">
        <f>DO19*VLOOKUP('Données projet'!$B$14,Paramètres!$A$1:$I$89,3,0)*VLOOKUP('Données projet'!$B$14,Paramètres!$A$1:$I$89,5,0)</f>
        <v>36.503999999999998</v>
      </c>
      <c r="DQ19" s="13">
        <f t="shared" si="43"/>
        <v>11.067157525971377</v>
      </c>
      <c r="DR19" s="20">
        <f t="shared" si="16"/>
        <v>82.85309935773347</v>
      </c>
      <c r="DS19" s="59">
        <f t="shared" si="17"/>
        <v>359.0753215799557</v>
      </c>
      <c r="DT19" s="59">
        <f ca="1">AVERAGE(OFFSET($DS$3,0,0,'Données projet'!$E$14+1,1))-AVERAGE(OFFSET($H$3,0,0,'Données projet'!$E$14+1,1))</f>
        <v>347.17417070871716</v>
      </c>
      <c r="DU19" s="59">
        <f t="shared" si="44"/>
        <v>339.56378046986441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2.873727590800458</v>
      </c>
      <c r="EC19" s="21">
        <f>EXP(-LN(2)/2)*EC18+(1-EXP(-LN(2)/2))/(LN(2)/2)*DW19*DZ19*VLOOKUP('Données projet'!$B$14,Paramètres!$A$1:$I$89,3,0)*0.475*44/12</f>
        <v>4.163167504388821</v>
      </c>
      <c r="ED19" s="22">
        <f t="shared" si="18"/>
        <v>7.036895095189279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13.8</v>
      </c>
      <c r="EJ19" s="12">
        <f>IF('Données projet'!$A$192&gt;35,EJ18+EI19-ER18,IF(A19&lt;'Données projet'!$A$192,$EG$205^A19,IF(A19='Données projet'!$A$192,'Données projet'!$B$192,EJ18+EI19-ER18)))</f>
        <v>46.8</v>
      </c>
      <c r="EK19" s="17">
        <f>EJ19*VLOOKUP('Données projet'!$B$15,Paramètres!$A$1:$I$89,3,0)*VLOOKUP('Données projet'!$B$15,Paramètres!$A$1:$I$89,5,0)</f>
        <v>40.884480000000003</v>
      </c>
      <c r="EL19" s="13">
        <f t="shared" si="45"/>
        <v>12.23277918777527</v>
      </c>
      <c r="EM19" s="20">
        <f t="shared" si="19"/>
        <v>92.512559752041952</v>
      </c>
      <c r="EN19" s="59">
        <f t="shared" si="20"/>
        <v>368.73478197426419</v>
      </c>
      <c r="EO19" s="59">
        <f ca="1">AVERAGE(OFFSET($EN$3,0,0,'Données projet'!$E$15+1,1))-AVERAGE(OFFSET($H$3,0,0,'Données projet'!$E$15+1,1))</f>
        <v>384.34044781465661</v>
      </c>
      <c r="EP19" s="59">
        <f t="shared" si="46"/>
        <v>374.99493809709708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3.2185749016965137</v>
      </c>
      <c r="EX19" s="21">
        <f>EXP(-LN(2)/2)*EX18+(1-EXP(-LN(2)/2))/(LN(2)/2)*ER19*EU19*VLOOKUP('Données projet'!$B$15,Paramètres!$A$1:$I$89,3,0)*0.475*44/12</f>
        <v>4.6627476049154808</v>
      </c>
      <c r="EY19" s="22">
        <f t="shared" si="21"/>
        <v>7.8813225066119941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13.8</v>
      </c>
      <c r="FE19" s="12">
        <f>IF('Données projet'!$A$218&gt;35,FE18+FD19-FM18,IF(A19&lt;'Données projet'!$A$218,$FB$205^A19,IF(A19='Données projet'!$A$218,'Données projet'!$B$218,FE18+FD19-FM18)))</f>
        <v>46.8</v>
      </c>
      <c r="FF19" s="17">
        <f>FE19*VLOOKUP('Données projet'!$B$16,Paramètres!$A$1:$I$89,3,0)*VLOOKUP('Données projet'!$B$16,Paramètres!$A$1:$I$89,5,0)</f>
        <v>37.96416</v>
      </c>
      <c r="FG19" s="13">
        <f t="shared" si="47"/>
        <v>11.457417801534429</v>
      </c>
      <c r="FH19" s="20">
        <f t="shared" si="22"/>
        <v>86.075914671005776</v>
      </c>
      <c r="FI19" s="59">
        <f t="shared" si="23"/>
        <v>362.29813689322799</v>
      </c>
      <c r="FJ19" s="59">
        <f ca="1">AVERAGE(OFFSET($FI$3,0,0,'Données projet'!$E$16+1,1))-AVERAGE(OFFSET($H$3,0,0,'Données projet'!$E$16+1,1))</f>
        <v>359.57284550600366</v>
      </c>
      <c r="FK19" s="59">
        <f t="shared" si="48"/>
        <v>351.38386928091433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2.9886766944324763</v>
      </c>
      <c r="FS19" s="21">
        <f>EXP(-LN(2)/2)*FS18+(1-EXP(-LN(2)/2))/(LN(2)/2)*FM19*FP19*VLOOKUP('Données projet'!$B$16,Paramètres!$A$1:$I$89,3,0)*0.475*44/12</f>
        <v>4.3296942045643743</v>
      </c>
      <c r="FT19" s="22">
        <f t="shared" si="24"/>
        <v>7.3183708989968501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6">
        <f t="shared" si="1"/>
        <v>256.66666666666669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5.0894117647058819</v>
      </c>
      <c r="N20" s="13">
        <f>IF('Données projet'!$A$36&gt;35,N19+M20-V19,IF(A20&lt;'Données projet'!$A$36,$K$205^A20,IF(A20='Données projet'!$A$36,'Données projet'!$B$36,N19+M20-V19)))</f>
        <v>13.154466921924275</v>
      </c>
      <c r="O20" s="13">
        <f>N20*VLOOKUP('Données projet'!$B$9,Paramètres!$A$1:$I$89,3,0)*VLOOKUP('Données projet'!$B$9,Paramètres!$A$1:$I$89,5,0)</f>
        <v>11.902161670957083</v>
      </c>
      <c r="P20" s="13">
        <f t="shared" si="33"/>
        <v>4.1112611244651047</v>
      </c>
      <c r="Q20" s="20">
        <f t="shared" si="2"/>
        <v>27.890044702026973</v>
      </c>
      <c r="R20" s="59">
        <f t="shared" si="0"/>
        <v>305.33448914647141</v>
      </c>
      <c r="S20" s="59">
        <f ca="1">AVERAGE(OFFSET($R$3,0,0,'Données projet'!$E$9+1,1))-AVERAGE(OFFSET($H$3,0,0,'Données projet'!$E$9+1,1))</f>
        <v>695.0879239758051</v>
      </c>
      <c r="T20" s="59">
        <f t="shared" si="34"/>
        <v>226.22150997227476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22.926000000000002</v>
      </c>
      <c r="AI20" s="13">
        <f>IF('Données projet'!$A$62&gt;35,AI19+AH20-AQ19,IF(A20&lt;'Données projet'!$A$62,$AF$205^A20,IF(A20='Données projet'!$A$62,'Données projet'!$B$62,AI19+AH20-AQ19)))</f>
        <v>139.27200000000002</v>
      </c>
      <c r="AJ20" s="13">
        <f>AI20*VLOOKUP('Données projet'!$B$10,Paramètres!$A$1:$I$89,3,0)*VLOOKUP('Données projet'!$B$10,Paramètres!$A$1:$I$89,5,0)</f>
        <v>83.284656000000012</v>
      </c>
      <c r="AK20" s="13">
        <f t="shared" si="35"/>
        <v>22.938409183380077</v>
      </c>
      <c r="AL20" s="20">
        <f t="shared" si="4"/>
        <v>185.00517186105367</v>
      </c>
      <c r="AM20" s="59">
        <f t="shared" si="5"/>
        <v>462.44961630549813</v>
      </c>
      <c r="AN20" s="59">
        <f ca="1">AVERAGE(OFFSET($AM$3,0,0,'Données projet'!$E$10+1,1))-AVERAGE(OFFSET($H$3,0,0,'Données projet'!$E$10+1,1))</f>
        <v>388.12151914648013</v>
      </c>
      <c r="AO20" s="59">
        <f t="shared" si="36"/>
        <v>481.43684454382793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8.4905465422852426</v>
      </c>
      <c r="AW20" s="21">
        <f>EXP(-LN(2)/2)*AW19+(1-EXP(-LN(2)/2))/(LN(2)/2)*AQ20*AT20*VLOOKUP('Données projet'!$B$10,Paramètres!$A$1:$I$89,3,0)*0.475*44/12</f>
        <v>8.5446854136808348</v>
      </c>
      <c r="AX20" s="21">
        <f t="shared" si="6"/>
        <v>17.035231955966076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13.8</v>
      </c>
      <c r="BD20" s="12">
        <f>IF('Données projet'!$A$88&gt;35,BD19+BC20-BL19,IF(A20&lt;'Données projet'!$A$88,$BA$205^A20,IF(A20='Données projet'!$A$88,'Données projet'!$B$88,BD19+BC20-BL19)))</f>
        <v>60.599999999999994</v>
      </c>
      <c r="BE20" s="13">
        <f>BD20*VLOOKUP('Données projet'!$B$11,Paramètres!$A$1:$I$89,3,0)*VLOOKUP('Données projet'!$B$11,Paramètres!$A$1:$I$89,5,0)</f>
        <v>57.666959999999996</v>
      </c>
      <c r="BF20" s="13">
        <f t="shared" si="37"/>
        <v>16.577048683233549</v>
      </c>
      <c r="BG20" s="20">
        <f t="shared" si="7"/>
        <v>129.3083151232984</v>
      </c>
      <c r="BH20" s="59">
        <f t="shared" si="8"/>
        <v>406.75275956774283</v>
      </c>
      <c r="BI20" s="59">
        <f ca="1">AVERAGE(OFFSET($BH$3,0,0,'Données projet'!$E$11+1,1))-AVERAGE(OFFSET($H$3,0,0,'Données projet'!$E$11+1,1))</f>
        <v>415.24818074059294</v>
      </c>
      <c r="BJ20" s="59">
        <f t="shared" si="38"/>
        <v>404.45811532046872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3.410077337622849</v>
      </c>
      <c r="BR20" s="21">
        <f>EXP(-LN(2)/2)*BR19+(1-EXP(-LN(2)/2))/(LN(2)/2)*BL20*BO20*VLOOKUP('Données projet'!$B$11,Paramètres!$A$1:$I$89,3,0)*0.475*44/12</f>
        <v>3.5914408477539501</v>
      </c>
      <c r="BS20" s="22">
        <f t="shared" si="9"/>
        <v>7.0015181853767992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13.8</v>
      </c>
      <c r="BY20" s="12">
        <f>IF('Données projet'!$A$114&gt;35,BY19+BX20-CG19,IF(A20&lt;'Données projet'!$A$114,$BV$205^A20,IF(A20='Données projet'!$A$114,'Données projet'!$B$114,BY19+BX20-CG19)))</f>
        <v>60.599999999999994</v>
      </c>
      <c r="BZ20" s="13">
        <f>BY20*VLOOKUP('Données projet'!$B$12,Paramètres!$A$1:$I$89,3,0)*VLOOKUP('Données projet'!$B$12,Paramètres!$A$1:$I$89,5,0)</f>
        <v>52.940159999999999</v>
      </c>
      <c r="CA20" s="13">
        <f t="shared" si="39"/>
        <v>15.37052534377243</v>
      </c>
      <c r="CB20" s="20">
        <f t="shared" si="10"/>
        <v>118.97444364040366</v>
      </c>
      <c r="CC20" s="59">
        <f t="shared" si="11"/>
        <v>396.41888808484811</v>
      </c>
      <c r="CD20" s="59">
        <f ca="1">AVERAGE(OFFSET($CC$3,0,0,'Données projet'!$E$12+1,1))-AVERAGE(OFFSET($H$3,0,0,'Données projet'!$E$12+1,1))</f>
        <v>384.34044781465661</v>
      </c>
      <c r="CE20" s="59">
        <f t="shared" si="40"/>
        <v>374.99493809709708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3.858600662624712</v>
      </c>
      <c r="CM20" s="21">
        <f>EXP(-LN(2)/2)*CM19+(1-EXP(-LN(2)/2))/(LN(2)/2)*CG20*CJ20*VLOOKUP('Données projet'!$B$12,Paramètres!$A$1:$I$89,3,0)*0.475*44/12</f>
        <v>3.2970604503970695</v>
      </c>
      <c r="CN20" s="22">
        <f t="shared" si="12"/>
        <v>7.1556611130217815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9.300476190476191</v>
      </c>
      <c r="CT20" s="12">
        <f>IF('Données projet'!$A$140&gt;35,CT19+CS20-DB19,IF(A20&lt;'Données projet'!$A$140,$CQ$205^A20,IF(A20='Données projet'!$A$140,'Données projet'!$B$140,CT19+CS20-DB19)))</f>
        <v>71.514813044319794</v>
      </c>
      <c r="CU20" s="17">
        <f>CT20*VLOOKUP('Données projet'!$B$13,Paramètres!$A$1:$I$89,3,0)*VLOOKUP('Données projet'!$B$13,Paramètres!$A$1:$I$89,5,0)</f>
        <v>39.976780491774768</v>
      </c>
      <c r="CV20" s="13">
        <f t="shared" si="41"/>
        <v>11.992492365518064</v>
      </c>
      <c r="CW20" s="20">
        <f t="shared" si="13"/>
        <v>90.513150226451685</v>
      </c>
      <c r="CX20" s="59">
        <f t="shared" si="14"/>
        <v>367.95759467089613</v>
      </c>
      <c r="CY20" s="59">
        <f ca="1">AVERAGE(OFFSET($CX$3,0,0,'Données projet'!$E$13+1,1))-AVERAGE(OFFSET($H$3,0,0,'Données projet'!$E$13+1,1))</f>
        <v>386.66324266750968</v>
      </c>
      <c r="CZ20" s="59">
        <f t="shared" si="42"/>
        <v>356.22149461585769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13.8</v>
      </c>
      <c r="DO20" s="12">
        <f>IF('Données projet'!$A$166&gt;35,DO19+DN20-DW19,IF(A20&lt;'Données projet'!$A$166,$DL$205^A20,IF(A20='Données projet'!$A$166,'Données projet'!$B$166,DO19+DN20-DW19)))</f>
        <v>60.599999999999994</v>
      </c>
      <c r="DP20" s="17">
        <f>DO20*VLOOKUP('Données projet'!$B$14,Paramètres!$A$1:$I$89,3,0)*VLOOKUP('Données projet'!$B$14,Paramètres!$A$1:$I$89,5,0)</f>
        <v>47.268000000000001</v>
      </c>
      <c r="DQ20" s="13">
        <f t="shared" si="43"/>
        <v>13.905918076773673</v>
      </c>
      <c r="DR20" s="20">
        <f t="shared" si="16"/>
        <v>106.54457398371414</v>
      </c>
      <c r="DS20" s="59">
        <f t="shared" si="17"/>
        <v>383.9890184281586</v>
      </c>
      <c r="DT20" s="59">
        <f ca="1">AVERAGE(OFFSET($DS$3,0,0,'Données projet'!$E$14+1,1))-AVERAGE(OFFSET($H$3,0,0,'Données projet'!$E$14+1,1))</f>
        <v>347.17417070871716</v>
      </c>
      <c r="DU20" s="59">
        <f t="shared" si="44"/>
        <v>339.56378046986441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2.7951453587072534</v>
      </c>
      <c r="EC20" s="21">
        <f>EXP(-LN(2)/2)*EC19+(1-EXP(-LN(2)/2))/(LN(2)/2)*DW20*DZ20*VLOOKUP('Données projet'!$B$14,Paramètres!$A$1:$I$89,3,0)*0.475*44/12</f>
        <v>2.9438039735688113</v>
      </c>
      <c r="ED20" s="22">
        <f t="shared" si="18"/>
        <v>5.7389493322760643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13.8</v>
      </c>
      <c r="EJ20" s="12">
        <f>IF('Données projet'!$A$192&gt;35,EJ19+EI20-ER19,IF(A20&lt;'Données projet'!$A$192,$EG$205^A20,IF(A20='Données projet'!$A$192,'Données projet'!$B$192,EJ19+EI20-ER19)))</f>
        <v>60.599999999999994</v>
      </c>
      <c r="EK20" s="17">
        <f>EJ20*VLOOKUP('Données projet'!$B$15,Paramètres!$A$1:$I$89,3,0)*VLOOKUP('Données projet'!$B$15,Paramètres!$A$1:$I$89,5,0)</f>
        <v>52.940159999999999</v>
      </c>
      <c r="EL20" s="13">
        <f t="shared" si="45"/>
        <v>15.37052534377243</v>
      </c>
      <c r="EM20" s="20">
        <f t="shared" si="19"/>
        <v>118.97444364040366</v>
      </c>
      <c r="EN20" s="59">
        <f t="shared" si="20"/>
        <v>396.41888808484811</v>
      </c>
      <c r="EO20" s="59">
        <f ca="1">AVERAGE(OFFSET($EN$3,0,0,'Données projet'!$E$15+1,1))-AVERAGE(OFFSET($H$3,0,0,'Données projet'!$E$15+1,1))</f>
        <v>384.34044781465661</v>
      </c>
      <c r="EP20" s="59">
        <f t="shared" si="46"/>
        <v>374.99493809709708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3.1305628017521245</v>
      </c>
      <c r="EX20" s="21">
        <f>EXP(-LN(2)/2)*EX19+(1-EXP(-LN(2)/2))/(LN(2)/2)*ER20*EU20*VLOOKUP('Données projet'!$B$15,Paramètres!$A$1:$I$89,3,0)*0.475*44/12</f>
        <v>3.2970604503970695</v>
      </c>
      <c r="EY20" s="22">
        <f t="shared" si="21"/>
        <v>6.4276232521491945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13.8</v>
      </c>
      <c r="FE20" s="12">
        <f>IF('Données projet'!$A$218&gt;35,FE19+FD20-FM19,IF(A20&lt;'Données projet'!$A$218,$FB$205^A20,IF(A20='Données projet'!$A$218,'Données projet'!$B$218,FE19+FD20-FM19)))</f>
        <v>60.599999999999994</v>
      </c>
      <c r="FF20" s="17">
        <f>FE20*VLOOKUP('Données projet'!$B$16,Paramètres!$A$1:$I$89,3,0)*VLOOKUP('Données projet'!$B$16,Paramètres!$A$1:$I$89,5,0)</f>
        <v>49.158719999999995</v>
      </c>
      <c r="FG20" s="13">
        <f t="shared" si="47"/>
        <v>14.396281334716242</v>
      </c>
      <c r="FH20" s="20">
        <f t="shared" si="22"/>
        <v>110.69162732463077</v>
      </c>
      <c r="FI20" s="59">
        <f t="shared" si="23"/>
        <v>388.13607176907522</v>
      </c>
      <c r="FJ20" s="59">
        <f ca="1">AVERAGE(OFFSET($FI$3,0,0,'Données projet'!$E$16+1,1))-AVERAGE(OFFSET($H$3,0,0,'Données projet'!$E$16+1,1))</f>
        <v>359.57284550600366</v>
      </c>
      <c r="FK20" s="59">
        <f t="shared" si="48"/>
        <v>351.38386928091433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2.9069511730555435</v>
      </c>
      <c r="FS20" s="21">
        <f>EXP(-LN(2)/2)*FS19+(1-EXP(-LN(2)/2))/(LN(2)/2)*FM20*FP20*VLOOKUP('Données projet'!$B$16,Paramètres!$A$1:$I$89,3,0)*0.475*44/12</f>
        <v>3.0615561325115643</v>
      </c>
      <c r="FT20" s="22">
        <f t="shared" si="24"/>
        <v>5.9685073055671083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6">
        <f t="shared" si="1"/>
        <v>256.66666666666669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5.0894117647058819</v>
      </c>
      <c r="N21" s="13">
        <f>IF('Données projet'!$A$36&gt;35,N20+M21-V20,IF(A21&lt;'Données projet'!$A$36,$K$205^A21,IF(A21='Données projet'!$A$36,'Données projet'!$B$36,N20+M21-V20)))</f>
        <v>15.307388040016111</v>
      </c>
      <c r="O21" s="13">
        <f>N21*VLOOKUP('Données projet'!$B$9,Paramètres!$A$1:$I$89,3,0)*VLOOKUP('Données projet'!$B$9,Paramètres!$A$1:$I$89,5,0)</f>
        <v>13.850124698606576</v>
      </c>
      <c r="P21" s="13">
        <f t="shared" si="33"/>
        <v>4.7004619307272835</v>
      </c>
      <c r="Q21" s="20">
        <f t="shared" si="2"/>
        <v>32.30893837942314</v>
      </c>
      <c r="R21" s="59">
        <f t="shared" si="0"/>
        <v>310.97560504608981</v>
      </c>
      <c r="S21" s="59">
        <f ca="1">AVERAGE(OFFSET($R$3,0,0,'Données projet'!$E$9+1,1))-AVERAGE(OFFSET($H$3,0,0,'Données projet'!$E$9+1,1))</f>
        <v>695.0879239758051</v>
      </c>
      <c r="T21" s="59">
        <f t="shared" si="34"/>
        <v>226.22150997227476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22.926000000000002</v>
      </c>
      <c r="AI21" s="13">
        <f>IF('Données projet'!$A$62&gt;35,AI20+AH21-AQ20,IF(A21&lt;'Données projet'!$A$62,$AF$205^A21,IF(A21='Données projet'!$A$62,'Données projet'!$B$62,AI20+AH21-AQ20)))</f>
        <v>162.19800000000004</v>
      </c>
      <c r="AJ21" s="13">
        <f>AI21*VLOOKUP('Données projet'!$B$10,Paramètres!$A$1:$I$89,3,0)*VLOOKUP('Données projet'!$B$10,Paramètres!$A$1:$I$89,5,0)</f>
        <v>96.994404000000017</v>
      </c>
      <c r="AK21" s="13">
        <f t="shared" si="35"/>
        <v>26.24468896996531</v>
      </c>
      <c r="AL21" s="20">
        <f t="shared" si="4"/>
        <v>214.64142025602294</v>
      </c>
      <c r="AM21" s="59">
        <f t="shared" si="5"/>
        <v>493.30808692268965</v>
      </c>
      <c r="AN21" s="59">
        <f ca="1">AVERAGE(OFFSET($AM$3,0,0,'Données projet'!$E$10+1,1))-AVERAGE(OFFSET($H$3,0,0,'Données projet'!$E$10+1,1))</f>
        <v>388.12151914648013</v>
      </c>
      <c r="AO21" s="59">
        <f t="shared" si="36"/>
        <v>481.43684454382793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8.2583721005880157</v>
      </c>
      <c r="AW21" s="21">
        <f>EXP(-LN(2)/2)*AW20+(1-EXP(-LN(2)/2))/(LN(2)/2)*AQ21*AT21*VLOOKUP('Données projet'!$B$10,Paramètres!$A$1:$I$89,3,0)*0.475*44/12</f>
        <v>6.0420049991194986</v>
      </c>
      <c r="AX21" s="21">
        <f t="shared" si="6"/>
        <v>14.300377099707514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13.8</v>
      </c>
      <c r="BD21" s="12">
        <f>IF('Données projet'!$A$88&gt;35,BD20+BC21-BL20,IF(A21&lt;'Données projet'!$A$88,$BA$205^A21,IF(A21='Données projet'!$A$88,'Données projet'!$B$88,BD20+BC21-BL20)))</f>
        <v>74.399999999999991</v>
      </c>
      <c r="BE21" s="13">
        <f>BD21*VLOOKUP('Données projet'!$B$11,Paramètres!$A$1:$I$89,3,0)*VLOOKUP('Données projet'!$B$11,Paramètres!$A$1:$I$89,5,0)</f>
        <v>70.799039999999991</v>
      </c>
      <c r="BF21" s="13">
        <f t="shared" si="37"/>
        <v>19.871756095926923</v>
      </c>
      <c r="BG21" s="20">
        <f t="shared" si="7"/>
        <v>157.91830320040603</v>
      </c>
      <c r="BH21" s="59">
        <f t="shared" si="8"/>
        <v>436.58496986707269</v>
      </c>
      <c r="BI21" s="59">
        <f ca="1">AVERAGE(OFFSET($BH$3,0,0,'Données projet'!$E$11+1,1))-AVERAGE(OFFSET($H$3,0,0,'Données projet'!$E$11+1,1))</f>
        <v>415.24818074059294</v>
      </c>
      <c r="BJ21" s="59">
        <f t="shared" si="38"/>
        <v>404.45811532046872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3.3168285934973789</v>
      </c>
      <c r="BR21" s="21">
        <f>EXP(-LN(2)/2)*BR20+(1-EXP(-LN(2)/2))/(LN(2)/2)*BL21*BO21*VLOOKUP('Données projet'!$B$11,Paramètres!$A$1:$I$89,3,0)*0.475*44/12</f>
        <v>2.5395321776771813</v>
      </c>
      <c r="BS21" s="22">
        <f t="shared" si="9"/>
        <v>5.8563607711745602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13.8</v>
      </c>
      <c r="BY21" s="12">
        <f>IF('Données projet'!$A$114&gt;35,BY20+BX21-CG20,IF(A21&lt;'Données projet'!$A$114,$BV$205^A21,IF(A21='Données projet'!$A$114,'Données projet'!$B$114,BY20+BX21-CG20)))</f>
        <v>74.399999999999991</v>
      </c>
      <c r="BZ21" s="13">
        <f>BY21*VLOOKUP('Données projet'!$B$12,Paramètres!$A$1:$I$89,3,0)*VLOOKUP('Données projet'!$B$12,Paramètres!$A$1:$I$89,5,0)</f>
        <v>64.995840000000001</v>
      </c>
      <c r="CA21" s="13">
        <f t="shared" si="39"/>
        <v>18.425434860828894</v>
      </c>
      <c r="CB21" s="20">
        <f t="shared" si="10"/>
        <v>145.29205371594367</v>
      </c>
      <c r="CC21" s="59">
        <f t="shared" si="11"/>
        <v>423.95872038261035</v>
      </c>
      <c r="CD21" s="59">
        <f ca="1">AVERAGE(OFFSET($CC$3,0,0,'Données projet'!$E$12+1,1))-AVERAGE(OFFSET($H$3,0,0,'Données projet'!$E$12+1,1))</f>
        <v>384.34044781465661</v>
      </c>
      <c r="CE21" s="59">
        <f t="shared" si="40"/>
        <v>374.99493809709708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3.7530870245902492</v>
      </c>
      <c r="CM21" s="21">
        <f>EXP(-LN(2)/2)*CM20+(1-EXP(-LN(2)/2))/(LN(2)/2)*CG21*CJ21*VLOOKUP('Données projet'!$B$12,Paramètres!$A$1:$I$89,3,0)*0.475*44/12</f>
        <v>2.3313738024577408</v>
      </c>
      <c r="CN21" s="22">
        <f t="shared" si="12"/>
        <v>6.0844608270479901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9.300476190476191</v>
      </c>
      <c r="CT21" s="12">
        <f>IF('Données projet'!$A$140&gt;35,CT20+CS21-DB20,IF(A21&lt;'Données projet'!$A$140,$CQ$205^A21,IF(A21='Données projet'!$A$140,'Données projet'!$B$140,CT20+CS21-DB20)))</f>
        <v>91.934416869336488</v>
      </c>
      <c r="CU21" s="17">
        <f>CT21*VLOOKUP('Données projet'!$B$13,Paramètres!$A$1:$I$89,3,0)*VLOOKUP('Données projet'!$B$13,Paramètres!$A$1:$I$89,5,0)</f>
        <v>51.391339029959099</v>
      </c>
      <c r="CV21" s="13">
        <f t="shared" si="41"/>
        <v>14.972503049611195</v>
      </c>
      <c r="CW21" s="20">
        <f t="shared" si="13"/>
        <v>115.58369162191825</v>
      </c>
      <c r="CX21" s="59">
        <f t="shared" si="14"/>
        <v>394.25035828858495</v>
      </c>
      <c r="CY21" s="59">
        <f ca="1">AVERAGE(OFFSET($CX$3,0,0,'Données projet'!$E$13+1,1))-AVERAGE(OFFSET($H$3,0,0,'Données projet'!$E$13+1,1))</f>
        <v>386.66324266750968</v>
      </c>
      <c r="CZ21" s="59">
        <f t="shared" si="42"/>
        <v>356.22149461585769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13.8</v>
      </c>
      <c r="DO21" s="12">
        <f>IF('Données projet'!$A$166&gt;35,DO20+DN21-DW20,IF(A21&lt;'Données projet'!$A$166,$DL$205^A21,IF(A21='Données projet'!$A$166,'Données projet'!$B$166,DO20+DN21-DW20)))</f>
        <v>74.399999999999991</v>
      </c>
      <c r="DP21" s="17">
        <f>DO21*VLOOKUP('Données projet'!$B$14,Paramètres!$A$1:$I$89,3,0)*VLOOKUP('Données projet'!$B$14,Paramètres!$A$1:$I$89,5,0)</f>
        <v>58.031999999999996</v>
      </c>
      <c r="DQ21" s="13">
        <f t="shared" si="43"/>
        <v>16.669735221992795</v>
      </c>
      <c r="DR21" s="20">
        <f t="shared" si="16"/>
        <v>130.10552217830411</v>
      </c>
      <c r="DS21" s="59">
        <f t="shared" si="17"/>
        <v>408.7721888449708</v>
      </c>
      <c r="DT21" s="59">
        <f ca="1">AVERAGE(OFFSET($DS$3,0,0,'Données projet'!$E$14+1,1))-AVERAGE(OFFSET($H$3,0,0,'Données projet'!$E$14+1,1))</f>
        <v>347.17417070871716</v>
      </c>
      <c r="DU21" s="59">
        <f t="shared" si="44"/>
        <v>339.56378046986441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2.7187119618830975</v>
      </c>
      <c r="EC21" s="21">
        <f>EXP(-LN(2)/2)*EC20+(1-EXP(-LN(2)/2))/(LN(2)/2)*DW21*DZ21*VLOOKUP('Données projet'!$B$14,Paramètres!$A$1:$I$89,3,0)*0.475*44/12</f>
        <v>2.0815837521944109</v>
      </c>
      <c r="ED21" s="22">
        <f t="shared" si="18"/>
        <v>4.8002957140775084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13.8</v>
      </c>
      <c r="EJ21" s="12">
        <f>IF('Données projet'!$A$192&gt;35,EJ20+EI21-ER20,IF(A21&lt;'Données projet'!$A$192,$EG$205^A21,IF(A21='Données projet'!$A$192,'Données projet'!$B$192,EJ20+EI21-ER20)))</f>
        <v>74.399999999999991</v>
      </c>
      <c r="EK21" s="17">
        <f>EJ21*VLOOKUP('Données projet'!$B$15,Paramètres!$A$1:$I$89,3,0)*VLOOKUP('Données projet'!$B$15,Paramètres!$A$1:$I$89,5,0)</f>
        <v>64.995840000000001</v>
      </c>
      <c r="EL21" s="13">
        <f t="shared" si="45"/>
        <v>18.425434860828894</v>
      </c>
      <c r="EM21" s="20">
        <f t="shared" si="19"/>
        <v>145.29205371594367</v>
      </c>
      <c r="EN21" s="59">
        <f t="shared" si="20"/>
        <v>423.95872038261035</v>
      </c>
      <c r="EO21" s="59">
        <f ca="1">AVERAGE(OFFSET($EN$3,0,0,'Données projet'!$E$15+1,1))-AVERAGE(OFFSET($H$3,0,0,'Données projet'!$E$15+1,1))</f>
        <v>384.34044781465661</v>
      </c>
      <c r="EP21" s="59">
        <f t="shared" si="46"/>
        <v>374.99493809709708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3.0449573973090698</v>
      </c>
      <c r="EX21" s="21">
        <f>EXP(-LN(2)/2)*EX20+(1-EXP(-LN(2)/2))/(LN(2)/2)*ER21*EU21*VLOOKUP('Données projet'!$B$15,Paramètres!$A$1:$I$89,3,0)*0.475*44/12</f>
        <v>2.3313738024577408</v>
      </c>
      <c r="EY21" s="22">
        <f t="shared" si="21"/>
        <v>5.3763311997668106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13.8</v>
      </c>
      <c r="FE21" s="12">
        <f>IF('Données projet'!$A$218&gt;35,FE20+FD21-FM20,IF(A21&lt;'Données projet'!$A$218,$FB$205^A21,IF(A21='Données projet'!$A$218,'Données projet'!$B$218,FE20+FD21-FM20)))</f>
        <v>74.399999999999991</v>
      </c>
      <c r="FF21" s="17">
        <f>FE21*VLOOKUP('Données projet'!$B$16,Paramètres!$A$1:$I$89,3,0)*VLOOKUP('Données projet'!$B$16,Paramètres!$A$1:$I$89,5,0)</f>
        <v>60.353279999999998</v>
      </c>
      <c r="FG21" s="13">
        <f t="shared" si="47"/>
        <v>17.257558739100197</v>
      </c>
      <c r="FH21" s="20">
        <f t="shared" si="22"/>
        <v>135.17221080393281</v>
      </c>
      <c r="FI21" s="59">
        <f t="shared" si="23"/>
        <v>413.83887747059953</v>
      </c>
      <c r="FJ21" s="59">
        <f ca="1">AVERAGE(OFFSET($FI$3,0,0,'Données projet'!$E$16+1,1))-AVERAGE(OFFSET($H$3,0,0,'Données projet'!$E$16+1,1))</f>
        <v>359.57284550600366</v>
      </c>
      <c r="FK21" s="59">
        <f t="shared" si="48"/>
        <v>351.38386928091433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2.8274604403584216</v>
      </c>
      <c r="FS21" s="21">
        <f>EXP(-LN(2)/2)*FS20+(1-EXP(-LN(2)/2))/(LN(2)/2)*FM21*FP21*VLOOKUP('Données projet'!$B$16,Paramètres!$A$1:$I$89,3,0)*0.475*44/12</f>
        <v>2.1648471022821876</v>
      </c>
      <c r="FT21" s="22">
        <f t="shared" si="24"/>
        <v>4.9923075426406092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6">
        <f t="shared" si="1"/>
        <v>256.66666666666669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5.0894117647058819</v>
      </c>
      <c r="N22" s="13">
        <f>IF('Données projet'!$A$36&gt;35,N21+M22-V21,IF(A22&lt;'Données projet'!$A$36,$K$205^A22,IF(A22='Données projet'!$A$36,'Données projet'!$B$36,N21+M22-V21)))</f>
        <v>17.812666221927888</v>
      </c>
      <c r="O22" s="13">
        <f>N22*VLOOKUP('Données projet'!$B$9,Paramètres!$A$1:$I$89,3,0)*VLOOKUP('Données projet'!$B$9,Paramètres!$A$1:$I$89,5,0)</f>
        <v>16.11690039760035</v>
      </c>
      <c r="P22" s="13">
        <f t="shared" si="33"/>
        <v>5.374103393904722</v>
      </c>
      <c r="Q22" s="20">
        <f t="shared" si="2"/>
        <v>37.430164936871329</v>
      </c>
      <c r="R22" s="59">
        <f t="shared" si="0"/>
        <v>317.31905382576019</v>
      </c>
      <c r="S22" s="59">
        <f ca="1">AVERAGE(OFFSET($R$3,0,0,'Données projet'!$E$9+1,1))-AVERAGE(OFFSET($H$3,0,0,'Données projet'!$E$9+1,1))</f>
        <v>695.0879239758051</v>
      </c>
      <c r="T22" s="59">
        <f t="shared" si="34"/>
        <v>226.22150997227476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22.926000000000002</v>
      </c>
      <c r="AI22" s="13">
        <f>IF('Données projet'!$A$62&gt;35,AI21+AH22-AQ21,IF(A22&lt;'Données projet'!$A$62,$AF$205^A22,IF(A22='Données projet'!$A$62,'Données projet'!$B$62,AI21+AH22-AQ21)))</f>
        <v>185.12400000000002</v>
      </c>
      <c r="AJ22" s="13">
        <f>AI22*VLOOKUP('Données projet'!$B$10,Paramètres!$A$1:$I$89,3,0)*VLOOKUP('Données projet'!$B$10,Paramètres!$A$1:$I$89,5,0)</f>
        <v>110.70415200000002</v>
      </c>
      <c r="AK22" s="13">
        <f t="shared" si="35"/>
        <v>29.496826613531113</v>
      </c>
      <c r="AL22" s="20">
        <f t="shared" si="4"/>
        <v>244.18337108523338</v>
      </c>
      <c r="AM22" s="59">
        <f t="shared" si="5"/>
        <v>524.07225997412229</v>
      </c>
      <c r="AN22" s="59">
        <f ca="1">AVERAGE(OFFSET($AM$3,0,0,'Données projet'!$E$10+1,1))-AVERAGE(OFFSET($H$3,0,0,'Données projet'!$E$10+1,1))</f>
        <v>388.12151914648013</v>
      </c>
      <c r="AO22" s="59">
        <f t="shared" si="36"/>
        <v>481.43684454382793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8.0325464812085219</v>
      </c>
      <c r="AW22" s="21">
        <f>EXP(-LN(2)/2)*AW21+(1-EXP(-LN(2)/2))/(LN(2)/2)*AQ22*AT22*VLOOKUP('Données projet'!$B$10,Paramètres!$A$1:$I$89,3,0)*0.475*44/12</f>
        <v>4.2723427068404183</v>
      </c>
      <c r="AX22" s="21">
        <f t="shared" si="6"/>
        <v>12.304889188048939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13.8</v>
      </c>
      <c r="BD22" s="12">
        <f>IF('Données projet'!$A$88&gt;35,BD21+BC22-BL21,IF(A22&lt;'Données projet'!$A$88,$BA$205^A22,IF(A22='Données projet'!$A$88,'Données projet'!$B$88,BD21+BC22-BL21)))</f>
        <v>88.199999999999989</v>
      </c>
      <c r="BE22" s="13">
        <f>BD22*VLOOKUP('Données projet'!$B$11,Paramètres!$A$1:$I$89,3,0)*VLOOKUP('Données projet'!$B$11,Paramètres!$A$1:$I$89,5,0)</f>
        <v>83.931119999999993</v>
      </c>
      <c r="BF22" s="13">
        <f t="shared" si="37"/>
        <v>23.095663536885745</v>
      </c>
      <c r="BG22" s="20">
        <f t="shared" si="7"/>
        <v>186.40498132674267</v>
      </c>
      <c r="BH22" s="59">
        <f t="shared" si="8"/>
        <v>466.2938702156315</v>
      </c>
      <c r="BI22" s="59">
        <f ca="1">AVERAGE(OFFSET($BH$3,0,0,'Données projet'!$E$11+1,1))-AVERAGE(OFFSET($H$3,0,0,'Données projet'!$E$11+1,1))</f>
        <v>415.24818074059294</v>
      </c>
      <c r="BJ22" s="59">
        <f t="shared" si="38"/>
        <v>404.45811532046872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3.2261297411837582</v>
      </c>
      <c r="BR22" s="21">
        <f>EXP(-LN(2)/2)*BR21+(1-EXP(-LN(2)/2))/(LN(2)/2)*BL22*BO22*VLOOKUP('Données projet'!$B$11,Paramètres!$A$1:$I$89,3,0)*0.475*44/12</f>
        <v>1.7957204238769753</v>
      </c>
      <c r="BS22" s="22">
        <f t="shared" si="9"/>
        <v>5.0218501650607337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13.8</v>
      </c>
      <c r="BY22" s="12">
        <f>IF('Données projet'!$A$114&gt;35,BY21+BX22-CG21,IF(A22&lt;'Données projet'!$A$114,$BV$205^A22,IF(A22='Données projet'!$A$114,'Données projet'!$B$114,BY21+BX22-CG21)))</f>
        <v>88.199999999999989</v>
      </c>
      <c r="BZ22" s="13">
        <f>BY22*VLOOKUP('Données projet'!$B$12,Paramètres!$A$1:$I$89,3,0)*VLOOKUP('Données projet'!$B$12,Paramètres!$A$1:$I$89,5,0)</f>
        <v>77.051519999999996</v>
      </c>
      <c r="CA22" s="13">
        <f t="shared" si="39"/>
        <v>21.414697423431697</v>
      </c>
      <c r="CB22" s="20">
        <f t="shared" si="10"/>
        <v>171.49532867914351</v>
      </c>
      <c r="CC22" s="59">
        <f t="shared" si="11"/>
        <v>451.38421756803234</v>
      </c>
      <c r="CD22" s="59">
        <f ca="1">AVERAGE(OFFSET($CC$3,0,0,'Données projet'!$E$12+1,1))-AVERAGE(OFFSET($H$3,0,0,'Données projet'!$E$12+1,1))</f>
        <v>384.34044781465661</v>
      </c>
      <c r="CE22" s="59">
        <f t="shared" si="40"/>
        <v>374.99493809709708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3.6504586625365603</v>
      </c>
      <c r="CM22" s="21">
        <f>EXP(-LN(2)/2)*CM21+(1-EXP(-LN(2)/2))/(LN(2)/2)*CG22*CJ22*VLOOKUP('Données projet'!$B$12,Paramètres!$A$1:$I$89,3,0)*0.475*44/12</f>
        <v>1.6485302251985352</v>
      </c>
      <c r="CN22" s="22">
        <f t="shared" si="12"/>
        <v>5.2989888877350957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9.300476190476191</v>
      </c>
      <c r="CT22" s="12">
        <f>IF('Données projet'!$A$140&gt;35,CT21+CS22-DB21,IF(A22&lt;'Données projet'!$A$140,$CQ$205^A22,IF(A22='Données projet'!$A$140,'Données projet'!$B$140,CT21+CS22-DB21)))</f>
        <v>118.18442425161669</v>
      </c>
      <c r="CU22" s="17">
        <f>CT22*VLOOKUP('Données projet'!$B$13,Paramètres!$A$1:$I$89,3,0)*VLOOKUP('Données projet'!$B$13,Paramètres!$A$1:$I$89,5,0)</f>
        <v>66.065093156653731</v>
      </c>
      <c r="CV22" s="13">
        <f t="shared" si="41"/>
        <v>18.693015658295351</v>
      </c>
      <c r="CW22" s="20">
        <f t="shared" si="13"/>
        <v>147.62037285270299</v>
      </c>
      <c r="CX22" s="59">
        <f t="shared" si="14"/>
        <v>427.50926174159184</v>
      </c>
      <c r="CY22" s="59">
        <f ca="1">AVERAGE(OFFSET($CX$3,0,0,'Données projet'!$E$13+1,1))-AVERAGE(OFFSET($H$3,0,0,'Données projet'!$E$13+1,1))</f>
        <v>386.66324266750968</v>
      </c>
      <c r="CZ22" s="59">
        <f t="shared" si="42"/>
        <v>356.22149461585769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13.8</v>
      </c>
      <c r="DO22" s="12">
        <f>IF('Données projet'!$A$166&gt;35,DO21+DN22-DW21,IF(A22&lt;'Données projet'!$A$166,$DL$205^A22,IF(A22='Données projet'!$A$166,'Données projet'!$B$166,DO21+DN22-DW21)))</f>
        <v>88.199999999999989</v>
      </c>
      <c r="DP22" s="17">
        <f>DO22*VLOOKUP('Données projet'!$B$14,Paramètres!$A$1:$I$89,3,0)*VLOOKUP('Données projet'!$B$14,Paramètres!$A$1:$I$89,5,0)</f>
        <v>68.795999999999992</v>
      </c>
      <c r="DQ22" s="13">
        <f t="shared" si="43"/>
        <v>19.374160697102734</v>
      </c>
      <c r="DR22" s="20">
        <f t="shared" si="16"/>
        <v>153.56302988078724</v>
      </c>
      <c r="DS22" s="59">
        <f t="shared" si="17"/>
        <v>433.45191876967613</v>
      </c>
      <c r="DT22" s="59">
        <f ca="1">AVERAGE(OFFSET($DS$3,0,0,'Données projet'!$E$14+1,1))-AVERAGE(OFFSET($H$3,0,0,'Données projet'!$E$14+1,1))</f>
        <v>347.17417070871716</v>
      </c>
      <c r="DU22" s="59">
        <f t="shared" si="44"/>
        <v>339.56378046986441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2.6443686403145557</v>
      </c>
      <c r="EC22" s="21">
        <f>EXP(-LN(2)/2)*EC21+(1-EXP(-LN(2)/2))/(LN(2)/2)*DW22*DZ22*VLOOKUP('Données projet'!$B$14,Paramètres!$A$1:$I$89,3,0)*0.475*44/12</f>
        <v>1.4719019867844061</v>
      </c>
      <c r="ED22" s="22">
        <f t="shared" si="18"/>
        <v>4.1162706270989613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13.8</v>
      </c>
      <c r="EJ22" s="12">
        <f>IF('Données projet'!$A$192&gt;35,EJ21+EI22-ER21,IF(A22&lt;'Données projet'!$A$192,$EG$205^A22,IF(A22='Données projet'!$A$192,'Données projet'!$B$192,EJ21+EI22-ER21)))</f>
        <v>88.199999999999989</v>
      </c>
      <c r="EK22" s="17">
        <f>EJ22*VLOOKUP('Données projet'!$B$15,Paramètres!$A$1:$I$89,3,0)*VLOOKUP('Données projet'!$B$15,Paramètres!$A$1:$I$89,5,0)</f>
        <v>77.051519999999996</v>
      </c>
      <c r="EL22" s="13">
        <f t="shared" si="45"/>
        <v>21.414697423431697</v>
      </c>
      <c r="EM22" s="20">
        <f t="shared" si="19"/>
        <v>171.49532867914351</v>
      </c>
      <c r="EN22" s="59">
        <f t="shared" si="20"/>
        <v>451.38421756803234</v>
      </c>
      <c r="EO22" s="59">
        <f ca="1">AVERAGE(OFFSET($EN$3,0,0,'Données projet'!$E$15+1,1))-AVERAGE(OFFSET($H$3,0,0,'Données projet'!$E$15+1,1))</f>
        <v>384.34044781465661</v>
      </c>
      <c r="EP22" s="59">
        <f t="shared" si="46"/>
        <v>374.99493809709708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2.961692877152303</v>
      </c>
      <c r="EX22" s="21">
        <f>EXP(-LN(2)/2)*EX21+(1-EXP(-LN(2)/2))/(LN(2)/2)*ER22*EU22*VLOOKUP('Données projet'!$B$15,Paramètres!$A$1:$I$89,3,0)*0.475*44/12</f>
        <v>1.6485302251985352</v>
      </c>
      <c r="EY22" s="22">
        <f t="shared" si="21"/>
        <v>4.6102231023508384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13.8</v>
      </c>
      <c r="FE22" s="12">
        <f>IF('Données projet'!$A$218&gt;35,FE21+FD22-FM21,IF(A22&lt;'Données projet'!$A$218,$FB$205^A22,IF(A22='Données projet'!$A$218,'Données projet'!$B$218,FE21+FD22-FM21)))</f>
        <v>88.199999999999989</v>
      </c>
      <c r="FF22" s="17">
        <f>FE22*VLOOKUP('Données projet'!$B$16,Paramètres!$A$1:$I$89,3,0)*VLOOKUP('Données projet'!$B$16,Paramètres!$A$1:$I$89,5,0)</f>
        <v>71.547839999999994</v>
      </c>
      <c r="FG22" s="13">
        <f t="shared" si="47"/>
        <v>20.05735014974319</v>
      </c>
      <c r="FH22" s="20">
        <f t="shared" si="22"/>
        <v>159.54570617746938</v>
      </c>
      <c r="FI22" s="59">
        <f t="shared" si="23"/>
        <v>439.43459506635827</v>
      </c>
      <c r="FJ22" s="59">
        <f ca="1">AVERAGE(OFFSET($FI$3,0,0,'Données projet'!$E$16+1,1))-AVERAGE(OFFSET($H$3,0,0,'Données projet'!$E$16+1,1))</f>
        <v>359.57284550600366</v>
      </c>
      <c r="FK22" s="59">
        <f t="shared" si="48"/>
        <v>351.38386928091433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2.7501433859271383</v>
      </c>
      <c r="FS22" s="21">
        <f>EXP(-LN(2)/2)*FS21+(1-EXP(-LN(2)/2))/(LN(2)/2)*FM22*FP22*VLOOKUP('Données projet'!$B$16,Paramètres!$A$1:$I$89,3,0)*0.475*44/12</f>
        <v>1.5307780662557824</v>
      </c>
      <c r="FT22" s="22">
        <f t="shared" si="24"/>
        <v>4.2809214521829206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6">
        <f t="shared" si="1"/>
        <v>256.66666666666669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5.0894117647058819</v>
      </c>
      <c r="N23" s="13">
        <f>IF('Données projet'!$A$36&gt;35,N22+M23-V22,IF(A23&lt;'Données projet'!$A$36,$K$205^A23,IF(A23='Données projet'!$A$36,'Données projet'!$B$36,N22+M23-V22)))</f>
        <v>20.727969860328756</v>
      </c>
      <c r="O23" s="13">
        <f>N23*VLOOKUP('Données projet'!$B$9,Paramètres!$A$1:$I$89,3,0)*VLOOKUP('Données projet'!$B$9,Paramètres!$A$1:$I$89,5,0)</f>
        <v>18.754667129625457</v>
      </c>
      <c r="P23" s="13">
        <f t="shared" si="33"/>
        <v>6.1442870326384318</v>
      </c>
      <c r="Q23" s="20">
        <f t="shared" si="2"/>
        <v>43.365678499276271</v>
      </c>
      <c r="R23" s="59">
        <f t="shared" si="0"/>
        <v>324.47678961038741</v>
      </c>
      <c r="S23" s="59">
        <f ca="1">AVERAGE(OFFSET($R$3,0,0,'Données projet'!$E$9+1,1))-AVERAGE(OFFSET($H$3,0,0,'Données projet'!$E$9+1,1))</f>
        <v>695.0879239758051</v>
      </c>
      <c r="T23" s="59">
        <f t="shared" si="34"/>
        <v>226.22150997227476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208.05</v>
      </c>
      <c r="AG23" s="12">
        <f>VLOOKUP(A23,'Données projet'!$A$61:$I$81,9,0)</f>
        <v>22.926000000000002</v>
      </c>
      <c r="AH23" s="12">
        <f t="array" ref="AH23">INDEX(AG:AG,MIN(IF(ISNUMBER(AG23:AG219),ROW(AG23:AG219),"")))</f>
        <v>22.926000000000002</v>
      </c>
      <c r="AI23" s="13">
        <f>IF('Données projet'!$A$62&gt;35,AI22+AH23-AQ22,IF(A23&lt;'Données projet'!$A$62,$AF$205^A23,IF(A23='Données projet'!$A$62,'Données projet'!$B$62,AI22+AH23-AQ22)))</f>
        <v>208.05</v>
      </c>
      <c r="AJ23" s="13">
        <f>AI23*VLOOKUP('Données projet'!$B$10,Paramètres!$A$1:$I$89,3,0)*VLOOKUP('Données projet'!$B$10,Paramètres!$A$1:$I$89,5,0)</f>
        <v>124.41390000000001</v>
      </c>
      <c r="AK23" s="13">
        <f t="shared" si="35"/>
        <v>32.702294748208111</v>
      </c>
      <c r="AL23" s="20">
        <f t="shared" si="4"/>
        <v>273.64403918646246</v>
      </c>
      <c r="AM23" s="59">
        <f t="shared" si="5"/>
        <v>554.75515029757366</v>
      </c>
      <c r="AN23" s="59">
        <f ca="1">AVERAGE(OFFSET($AM$3,0,0,'Données projet'!$E$10+1,1))-AVERAGE(OFFSET($H$3,0,0,'Données projet'!$E$10+1,1))</f>
        <v>388.12151914648013</v>
      </c>
      <c r="AO23" s="59">
        <f t="shared" si="36"/>
        <v>481.43684454382793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55.160000000000025</v>
      </c>
      <c r="AR23" s="16">
        <f>IF(ISNA(VLOOKUP(A23,'Données projet'!$A$61:$I$81,5,0)),0%,VLOOKUP(A23,'Données projet'!$A$61:$I$81,5,0)*VLOOKUP('Données projet'!$B$10,Paramètres!$A$1:$I$89,7,0))</f>
        <v>0.1125</v>
      </c>
      <c r="AS23" s="16">
        <f>IF(ISNA(VLOOKUP(A23,'Données projet'!$A$61:$I$81,6,0)),0%,VLOOKUP(A23,'Données projet'!$A$61:$I$81,6,0)*VLOOKUP('Données projet'!$B$10,Paramètres!$A$1:$I$89,7,0))</f>
        <v>0.16650000000000001</v>
      </c>
      <c r="AT23" s="16">
        <f>IF(ISNA(VLOOKUP(A23,'Données projet'!$A$61:$I$81,7,0)),0%,VLOOKUP(A23,'Données projet'!$A$61:$I$81,7,0))</f>
        <v>0.38</v>
      </c>
      <c r="AU23" s="21">
        <f>EXP(-LN(2)/35)*AU22+(1-EXP(-LN(2)/35))/(LN(2)/35)*AQ23*AR23*VLOOKUP('Données projet'!$B$10,Paramètres!$A$1:$I$89,3,0)*0.475*44/12</f>
        <v>4.9227334454815823</v>
      </c>
      <c r="AV23" s="21">
        <f>EXP(-LN(2)/25)*AV22+(1-EXP(-LN(2)/25))/(LN(2)/25)*Calculateur!AQ23*Calculateur!AS23*VLOOKUP('Données projet'!$B$10,Paramètres!$A$1:$I$89,3,0)*0.475*44/12</f>
        <v>15.06985521219999</v>
      </c>
      <c r="AW23" s="21">
        <f>EXP(-LN(2)/2)*AW22+(1-EXP(-LN(2)/2))/(LN(2)/2)*AQ23*AT23*VLOOKUP('Données projet'!$B$10,Paramètres!$A$1:$I$89,3,0)*0.475*44/12</f>
        <v>17.213034355271418</v>
      </c>
      <c r="AX23" s="21">
        <f t="shared" si="6"/>
        <v>37.205623012952991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102</v>
      </c>
      <c r="BB23" s="12">
        <f>VLOOKUP(A23,'Données projet'!$A$87:$I$107,9,0)</f>
        <v>13.8</v>
      </c>
      <c r="BC23" s="12">
        <f t="array" ref="BC23">INDEX(BB:BB,MIN(IF(ISNUMBER(BB23:BB219),ROW(BB23:BB219),"")))</f>
        <v>13.8</v>
      </c>
      <c r="BD23" s="12">
        <f>IF('Données projet'!$A$88&gt;35,BD22+BC23-BL22,IF(A23&lt;'Données projet'!$A$88,$BA$205^A23,IF(A23='Données projet'!$A$88,'Données projet'!$B$88,BD22+BC23-BL22)))</f>
        <v>101.99999999999999</v>
      </c>
      <c r="BE23" s="13">
        <f>BD23*VLOOKUP('Données projet'!$B$11,Paramètres!$A$1:$I$89,3,0)*VLOOKUP('Données projet'!$B$11,Paramètres!$A$1:$I$89,5,0)</f>
        <v>97.063199999999995</v>
      </c>
      <c r="BF23" s="13">
        <f t="shared" si="37"/>
        <v>26.261136311968997</v>
      </c>
      <c r="BG23" s="20">
        <f t="shared" si="7"/>
        <v>214.78988574334596</v>
      </c>
      <c r="BH23" s="59">
        <f t="shared" si="8"/>
        <v>495.90099685445711</v>
      </c>
      <c r="BI23" s="59">
        <f ca="1">AVERAGE(OFFSET($BH$3,0,0,'Données projet'!$E$11+1,1))-AVERAGE(OFFSET($H$3,0,0,'Données projet'!$E$11+1,1))</f>
        <v>415.24818074059294</v>
      </c>
      <c r="BJ23" s="59">
        <f t="shared" si="38"/>
        <v>404.45811532046872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35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0.1075</v>
      </c>
      <c r="BO23" s="16">
        <f>IF(ISNA(VLOOKUP(A23,'Données projet'!$A$87:$I$107,7,0)),0%,VLOOKUP(A23,'Données projet'!$A$87:$I$107,7,0))</f>
        <v>0.25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7.0803474379810032</v>
      </c>
      <c r="BR23" s="21">
        <f>EXP(-LN(2)/2)*BR22+(1-EXP(-LN(2)/2))/(LN(2)/2)*BL23*BO23*VLOOKUP('Données projet'!$B$11,Paramètres!$A$1:$I$89,3,0)*0.475*44/12</f>
        <v>9.1260429433003569</v>
      </c>
      <c r="BS23" s="22">
        <f t="shared" si="9"/>
        <v>16.206390381281359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102</v>
      </c>
      <c r="BW23" s="12">
        <f>VLOOKUP(A23,'Données projet'!$A$113:$I$133,9,0)</f>
        <v>13.8</v>
      </c>
      <c r="BX23" s="12">
        <f t="array" ref="BX23">INDEX(BW:BW,MIN(IF(ISNUMBER(BW23:BW219),ROW(BW23:BW219),"")))</f>
        <v>13.8</v>
      </c>
      <c r="BY23" s="12">
        <f>IF('Données projet'!$A$114&gt;35,BY22+BX23-CG22,IF(A23&lt;'Données projet'!$A$114,$BV$205^A23,IF(A23='Données projet'!$A$114,'Données projet'!$B$114,BY22+BX23-CG22)))</f>
        <v>101.99999999999999</v>
      </c>
      <c r="BZ23" s="13">
        <f>BY23*VLOOKUP('Données projet'!$B$12,Paramètres!$A$1:$I$89,3,0)*VLOOKUP('Données projet'!$B$12,Paramètres!$A$1:$I$89,5,0)</f>
        <v>89.107200000000006</v>
      </c>
      <c r="CA23" s="13">
        <f t="shared" si="39"/>
        <v>24.349778356363352</v>
      </c>
      <c r="CB23" s="20">
        <f t="shared" si="10"/>
        <v>197.6042373039995</v>
      </c>
      <c r="CC23" s="59">
        <f t="shared" si="11"/>
        <v>478.71534841511061</v>
      </c>
      <c r="CD23" s="59">
        <f ca="1">AVERAGE(OFFSET($CC$3,0,0,'Données projet'!$E$12+1,1))-AVERAGE(OFFSET($H$3,0,0,'Données projet'!$E$12+1,1))</f>
        <v>384.34044781465661</v>
      </c>
      <c r="CE23" s="59">
        <f t="shared" si="40"/>
        <v>374.99493809709708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35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0.13250000000000001</v>
      </c>
      <c r="CJ23" s="16">
        <f>IF(ISNA(VLOOKUP(A23,'Données projet'!$A$113:$I$133,7,0)),0%,VLOOKUP(A23,'Données projet'!$A$113:$I$133,7,0))</f>
        <v>0.25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8.0116169256300509</v>
      </c>
      <c r="CM23" s="21">
        <f>EXP(-LN(2)/2)*CM22+(1-EXP(-LN(2)/2))/(LN(2)/2)*CG23*CJ23*VLOOKUP('Données projet'!$B$12,Paramètres!$A$1:$I$89,3,0)*0.475*44/12</f>
        <v>8.3780066364724597</v>
      </c>
      <c r="CN23" s="22">
        <f t="shared" si="12"/>
        <v>16.389623562102511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9.300476190476191</v>
      </c>
      <c r="CT23" s="12">
        <f>IF('Données projet'!$A$140&gt;35,CT22+CS23-DB22,IF(A23&lt;'Données projet'!$A$140,$CQ$205^A23,IF(A23='Données projet'!$A$140,'Données projet'!$B$140,CT22+CS23-DB22)))</f>
        <v>151.92958862770377</v>
      </c>
      <c r="CU23" s="17">
        <f>CT23*VLOOKUP('Données projet'!$B$13,Paramètres!$A$1:$I$89,3,0)*VLOOKUP('Données projet'!$B$13,Paramètres!$A$1:$I$89,5,0)</f>
        <v>84.928640042886414</v>
      </c>
      <c r="CV23" s="13">
        <f t="shared" si="41"/>
        <v>23.338037283642365</v>
      </c>
      <c r="CW23" s="20">
        <f t="shared" si="13"/>
        <v>188.56446301037093</v>
      </c>
      <c r="CX23" s="59">
        <f t="shared" si="14"/>
        <v>469.6755741214821</v>
      </c>
      <c r="CY23" s="59">
        <f ca="1">AVERAGE(OFFSET($CX$3,0,0,'Données projet'!$E$13+1,1))-AVERAGE(OFFSET($H$3,0,0,'Données projet'!$E$13+1,1))</f>
        <v>386.66324266750968</v>
      </c>
      <c r="CZ23" s="59">
        <f t="shared" si="42"/>
        <v>356.22149461585769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102</v>
      </c>
      <c r="DM23" s="12">
        <f>VLOOKUP(A23,'Données projet'!$A$165:$I$185,9,0)</f>
        <v>13.8</v>
      </c>
      <c r="DN23" s="12">
        <f t="array" ref="DN23">INDEX(DM:DM,MIN(IF(ISNUMBER(DM23:DM219),ROW(DM23:DM219),"")))</f>
        <v>13.8</v>
      </c>
      <c r="DO23" s="12">
        <f>IF('Données projet'!$A$166&gt;35,DO22+DN23-DW22,IF(A23&lt;'Données projet'!$A$166,$DL$205^A23,IF(A23='Données projet'!$A$166,'Données projet'!$B$166,DO22+DN23-DW22)))</f>
        <v>101.99999999999999</v>
      </c>
      <c r="DP23" s="17">
        <f>DO23*VLOOKUP('Données projet'!$B$14,Paramètres!$A$1:$I$89,3,0)*VLOOKUP('Données projet'!$B$14,Paramètres!$A$1:$I$89,5,0)</f>
        <v>79.559999999999988</v>
      </c>
      <c r="DQ23" s="13">
        <f t="shared" si="43"/>
        <v>22.029567333453311</v>
      </c>
      <c r="DR23" s="20">
        <f t="shared" si="16"/>
        <v>176.93516310576447</v>
      </c>
      <c r="DS23" s="59">
        <f t="shared" si="17"/>
        <v>458.04627421687564</v>
      </c>
      <c r="DT23" s="59">
        <f ca="1">AVERAGE(OFFSET($DS$3,0,0,'Données projet'!$E$14+1,1))-AVERAGE(OFFSET($H$3,0,0,'Données projet'!$E$14+1,1))</f>
        <v>347.17417070871716</v>
      </c>
      <c r="DU23" s="59">
        <f t="shared" si="44"/>
        <v>339.56378046986441</v>
      </c>
      <c r="DV23" s="15">
        <f>IF(ISNA(VLOOKUP(A23,'Données projet'!$A$165:$I$185,3,0)),0,VLOOKUP(A23,'Données projet'!$A$165:$I$185,3,0))</f>
        <v>2</v>
      </c>
      <c r="DW23" s="15">
        <f>IF(ISNA(VLOOKUP(A23,'Données projet'!$A$165:$I$185,4,0)),0,VLOOKUP(A23,'Données projet'!$A$165:$I$185,4,0))</f>
        <v>35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0.1075</v>
      </c>
      <c r="DZ23" s="16">
        <f>IF(ISNA(VLOOKUP(A23,'Données projet'!$A$165:$I$185,7,0)),0%,VLOOKUP(A23,'Données projet'!$A$165:$I$185,7,0))</f>
        <v>0.25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5.8035634737549202</v>
      </c>
      <c r="EC23" s="21">
        <f>EXP(-LN(2)/2)*EC22+(1-EXP(-LN(2)/2))/(LN(2)/2)*DW23*DZ23*VLOOKUP('Données projet'!$B$14,Paramètres!$A$1:$I$89,3,0)*0.475*44/12</f>
        <v>7.4803630682789803</v>
      </c>
      <c r="ED23" s="22">
        <f t="shared" si="18"/>
        <v>13.2839265420339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102</v>
      </c>
      <c r="EH23" s="12">
        <f>VLOOKUP(A23,'Données projet'!$A$191:$I$211,9,0)</f>
        <v>13.8</v>
      </c>
      <c r="EI23" s="12">
        <f t="array" ref="EI23">INDEX(EH:EH,MIN(IF(ISNUMBER(EH23:EH219),ROW(EH23:EH219),"")))</f>
        <v>13.8</v>
      </c>
      <c r="EJ23" s="12">
        <f>IF('Données projet'!$A$192&gt;35,EJ22+EI23-ER22,IF(A23&lt;'Données projet'!$A$192,$EG$205^A23,IF(A23='Données projet'!$A$192,'Données projet'!$B$192,EJ22+EI23-ER22)))</f>
        <v>101.99999999999999</v>
      </c>
      <c r="EK23" s="17">
        <f>EJ23*VLOOKUP('Données projet'!$B$15,Paramètres!$A$1:$I$89,3,0)*VLOOKUP('Données projet'!$B$15,Paramètres!$A$1:$I$89,5,0)</f>
        <v>89.107200000000006</v>
      </c>
      <c r="EL23" s="13">
        <f t="shared" si="45"/>
        <v>24.349778356363352</v>
      </c>
      <c r="EM23" s="20">
        <f t="shared" si="19"/>
        <v>197.6042373039995</v>
      </c>
      <c r="EN23" s="59">
        <f t="shared" si="20"/>
        <v>478.71534841511061</v>
      </c>
      <c r="EO23" s="59">
        <f ca="1">AVERAGE(OFFSET($EN$3,0,0,'Données projet'!$E$15+1,1))-AVERAGE(OFFSET($H$3,0,0,'Données projet'!$E$15+1,1))</f>
        <v>384.34044781465661</v>
      </c>
      <c r="EP23" s="59">
        <f t="shared" si="46"/>
        <v>374.99493809709708</v>
      </c>
      <c r="EQ23" s="15">
        <f>IF(ISNA(VLOOKUP(A23,'Données projet'!$A$191:$I$211,3,0)),0,VLOOKUP(A23,'Données projet'!$A$191:$I$211,3,0))</f>
        <v>2</v>
      </c>
      <c r="ER23" s="15">
        <f>IF(ISNA(VLOOKUP(A23,'Données projet'!$A$191:$I$211,4,0)),0,VLOOKUP(A23,'Données projet'!$A$191:$I$211,4,0))</f>
        <v>35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0.1075</v>
      </c>
      <c r="EU23" s="16">
        <f>IF(ISNA(VLOOKUP(A23,'Données projet'!$A$191:$I$211,7,0)),0%,VLOOKUP(A23,'Données projet'!$A$191:$I$211,7,0))</f>
        <v>0.25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6.4999910906055121</v>
      </c>
      <c r="EX23" s="21">
        <f>EXP(-LN(2)/2)*EX22+(1-EXP(-LN(2)/2))/(LN(2)/2)*ER23*EU23*VLOOKUP('Données projet'!$B$15,Paramètres!$A$1:$I$89,3,0)*0.475*44/12</f>
        <v>8.3780066364724597</v>
      </c>
      <c r="EY23" s="22">
        <f t="shared" si="21"/>
        <v>14.877997727077972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projet'!$A$217:$I$237,2,0)</f>
        <v>102</v>
      </c>
      <c r="FC23" s="12">
        <f>VLOOKUP(A23,'Données projet'!$A$217:$I$237,9,0)</f>
        <v>13.8</v>
      </c>
      <c r="FD23" s="12">
        <f t="array" ref="FD23">INDEX(FC:FC,MIN(IF(ISNUMBER(FC23:FC219),ROW(FC23:FC219),"")))</f>
        <v>13.8</v>
      </c>
      <c r="FE23" s="12">
        <f>IF('Données projet'!$A$218&gt;35,FE22+FD23-FM22,IF(A23&lt;'Données projet'!$A$218,$FB$205^A23,IF(A23='Données projet'!$A$218,'Données projet'!$B$218,FE22+FD23-FM22)))</f>
        <v>101.99999999999999</v>
      </c>
      <c r="FF23" s="17">
        <f>FE23*VLOOKUP('Données projet'!$B$16,Paramètres!$A$1:$I$89,3,0)*VLOOKUP('Données projet'!$B$16,Paramètres!$A$1:$I$89,5,0)</f>
        <v>82.742399999999989</v>
      </c>
      <c r="FG23" s="13">
        <f t="shared" si="47"/>
        <v>22.806394174303204</v>
      </c>
      <c r="FH23" s="20">
        <f t="shared" si="22"/>
        <v>183.83081652024472</v>
      </c>
      <c r="FI23" s="59">
        <f t="shared" si="23"/>
        <v>464.94192763135584</v>
      </c>
      <c r="FJ23" s="59">
        <f ca="1">AVERAGE(OFFSET($FI$3,0,0,'Données projet'!$E$16+1,1))-AVERAGE(OFFSET($H$3,0,0,'Données projet'!$E$16+1,1))</f>
        <v>359.57284550600366</v>
      </c>
      <c r="FK23" s="59">
        <f t="shared" si="48"/>
        <v>351.38386928091433</v>
      </c>
      <c r="FL23" s="15">
        <f>IF(ISNA(VLOOKUP(A23,'Données projet'!$A$217:$I$237,3,0)),0,VLOOKUP(A23,'Données projet'!$A$217:$I$237,3,0))</f>
        <v>2</v>
      </c>
      <c r="FM23" s="15">
        <f>IF(ISNA(VLOOKUP(A23,'Données projet'!$A$217:$I$237,4,0)),0,VLOOKUP(A23,'Données projet'!$A$217:$I$237,4,0))</f>
        <v>35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0.1075</v>
      </c>
      <c r="FP23" s="16">
        <f>IF(ISNA(VLOOKUP(A23,'Données projet'!$A$217:$I$237,7,0)),0%,VLOOKUP(A23,'Données projet'!$A$217:$I$237,7,0))</f>
        <v>0.25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6.0357060127051181</v>
      </c>
      <c r="FS23" s="21">
        <f>EXP(-LN(2)/2)*FS22+(1-EXP(-LN(2)/2))/(LN(2)/2)*FM23*FP23*VLOOKUP('Données projet'!$B$16,Paramètres!$A$1:$I$89,3,0)*0.475*44/12</f>
        <v>7.7795775910101392</v>
      </c>
      <c r="FT23" s="22">
        <f t="shared" si="24"/>
        <v>13.815283603715258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6">
        <f t="shared" si="1"/>
        <v>256.66666666666669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5.0894117647058819</v>
      </c>
      <c r="N24" s="13">
        <f>IF('Données projet'!$A$36&gt;35,N23+M24-V23,IF(A24&lt;'Données projet'!$A$36,$K$205^A24,IF(A24='Données projet'!$A$36,'Données projet'!$B$36,N23+M24-V23)))</f>
        <v>24.120405624722682</v>
      </c>
      <c r="O24" s="13">
        <f>N24*VLOOKUP('Données projet'!$B$9,Paramètres!$A$1:$I$89,3,0)*VLOOKUP('Données projet'!$B$9,Paramètres!$A$1:$I$89,5,0)</f>
        <v>21.824143009249081</v>
      </c>
      <c r="P24" s="13">
        <f t="shared" si="33"/>
        <v>7.0248486812269384</v>
      </c>
      <c r="Q24" s="20">
        <f t="shared" si="2"/>
        <v>50.245327194245732</v>
      </c>
      <c r="R24" s="59">
        <f t="shared" si="0"/>
        <v>332.57866052757902</v>
      </c>
      <c r="S24" s="59">
        <f ca="1">AVERAGE(OFFSET($R$3,0,0,'Données projet'!$E$9+1,1))-AVERAGE(OFFSET($H$3,0,0,'Données projet'!$E$9+1,1))</f>
        <v>695.0879239758051</v>
      </c>
      <c r="T24" s="59">
        <f t="shared" si="34"/>
        <v>226.22150997227476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24.238333333333333</v>
      </c>
      <c r="AI24" s="13">
        <f>IF('Données projet'!$A$62&gt;35,AI23+AH24-AQ23,IF(A24&lt;'Données projet'!$A$62,$AF$205^A24,IF(A24='Données projet'!$A$62,'Données projet'!$B$62,AI23+AH24-AQ23)))</f>
        <v>177.12833333333333</v>
      </c>
      <c r="AJ24" s="13">
        <f>AI24*VLOOKUP('Données projet'!$B$10,Paramètres!$A$1:$I$89,3,0)*VLOOKUP('Données projet'!$B$10,Paramètres!$A$1:$I$89,5,0)</f>
        <v>105.92274333333334</v>
      </c>
      <c r="AK24" s="13">
        <f t="shared" si="35"/>
        <v>28.368249625717503</v>
      </c>
      <c r="AL24" s="20">
        <f t="shared" si="4"/>
        <v>233.89014607034687</v>
      </c>
      <c r="AM24" s="59">
        <f t="shared" si="5"/>
        <v>516.22347940368013</v>
      </c>
      <c r="AN24" s="59">
        <f ca="1">AVERAGE(OFFSET($AM$3,0,0,'Données projet'!$E$10+1,1))-AVERAGE(OFFSET($H$3,0,0,'Données projet'!$E$10+1,1))</f>
        <v>388.12151914648013</v>
      </c>
      <c r="AO24" s="59">
        <f t="shared" si="36"/>
        <v>481.43684454382793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4.826201645186611</v>
      </c>
      <c r="AV24" s="21">
        <f>EXP(-LN(2)/25)*AV23+(1-EXP(-LN(2)/25))/(LN(2)/25)*Calculateur!AQ24*Calculateur!AS24*VLOOKUP('Données projet'!$B$10,Paramètres!$A$1:$I$89,3,0)*0.475*44/12</f>
        <v>14.657769228933137</v>
      </c>
      <c r="AW24" s="21">
        <f>EXP(-LN(2)/2)*AW23+(1-EXP(-LN(2)/2))/(LN(2)/2)*AQ24*AT24*VLOOKUP('Données projet'!$B$10,Paramètres!$A$1:$I$89,3,0)*0.475*44/12</f>
        <v>12.171453317409432</v>
      </c>
      <c r="AX24" s="21">
        <f t="shared" si="6"/>
        <v>31.655424191529178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14.8</v>
      </c>
      <c r="BD24" s="12">
        <f>IF('Données projet'!$A$88&gt;35,BD23+BC24-BL23,IF(A24&lt;'Données projet'!$A$88,$BA$205^A24,IF(A24='Données projet'!$A$88,'Données projet'!$B$88,BD23+BC24-BL23)))</f>
        <v>81.799999999999983</v>
      </c>
      <c r="BE24" s="13">
        <f>BD24*VLOOKUP('Données projet'!$B$11,Paramètres!$A$1:$I$89,3,0)*VLOOKUP('Données projet'!$B$11,Paramètres!$A$1:$I$89,5,0)</f>
        <v>77.840879999999984</v>
      </c>
      <c r="BF24" s="13">
        <f t="shared" si="37"/>
        <v>21.608430385373108</v>
      </c>
      <c r="BG24" s="20">
        <f t="shared" si="7"/>
        <v>173.20754892119149</v>
      </c>
      <c r="BH24" s="59">
        <f t="shared" si="8"/>
        <v>455.54088225452483</v>
      </c>
      <c r="BI24" s="59">
        <f ca="1">AVERAGE(OFFSET($BH$3,0,0,'Données projet'!$E$11+1,1))-AVERAGE(OFFSET($H$3,0,0,'Données projet'!$E$11+1,1))</f>
        <v>415.24818074059294</v>
      </c>
      <c r="BJ24" s="59">
        <f t="shared" si="38"/>
        <v>404.45811532046872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6.8867349649501231</v>
      </c>
      <c r="BR24" s="21">
        <f>EXP(-LN(2)/2)*BR23+(1-EXP(-LN(2)/2))/(LN(2)/2)*BL24*BO24*VLOOKUP('Données projet'!$B$11,Paramètres!$A$1:$I$89,3,0)*0.475*44/12</f>
        <v>6.4530868506073222</v>
      </c>
      <c r="BS24" s="22">
        <f t="shared" si="9"/>
        <v>13.339821815557446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14.8</v>
      </c>
      <c r="BY24" s="12">
        <f>IF('Données projet'!$A$114&gt;35,BY23+BX24-CG23,IF(A24&lt;'Données projet'!$A$114,$BV$205^A24,IF(A24='Données projet'!$A$114,'Données projet'!$B$114,BY23+BX24-CG23)))</f>
        <v>81.799999999999983</v>
      </c>
      <c r="BZ24" s="13">
        <f>BY24*VLOOKUP('Données projet'!$B$12,Paramètres!$A$1:$I$89,3,0)*VLOOKUP('Données projet'!$B$12,Paramètres!$A$1:$I$89,5,0)</f>
        <v>71.46047999999999</v>
      </c>
      <c r="CA24" s="13">
        <f t="shared" si="39"/>
        <v>20.035709203981977</v>
      </c>
      <c r="CB24" s="20">
        <f t="shared" si="10"/>
        <v>159.35586286360191</v>
      </c>
      <c r="CC24" s="59">
        <f t="shared" si="11"/>
        <v>441.6891961969352</v>
      </c>
      <c r="CD24" s="59">
        <f ca="1">AVERAGE(OFFSET($CC$3,0,0,'Données projet'!$E$12+1,1))-AVERAGE(OFFSET($H$3,0,0,'Données projet'!$E$12+1,1))</f>
        <v>384.34044781465661</v>
      </c>
      <c r="CE24" s="59">
        <f t="shared" si="40"/>
        <v>374.99493809709708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7.792538839486074</v>
      </c>
      <c r="CM24" s="21">
        <f>EXP(-LN(2)/2)*CM23+(1-EXP(-LN(2)/2))/(LN(2)/2)*CG24*CJ24*VLOOKUP('Données projet'!$B$12,Paramètres!$A$1:$I$89,3,0)*0.475*44/12</f>
        <v>5.9241453054755748</v>
      </c>
      <c r="CN24" s="22">
        <f t="shared" si="12"/>
        <v>13.716684144961649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>
        <f>VLOOKUP(A24,'Données projet'!$A$139:$I$159,2,0)</f>
        <v>195.31</v>
      </c>
      <c r="CR24" s="12">
        <f>VLOOKUP(A24,'Données projet'!$A$139:$I$159,9,0)</f>
        <v>9.300476190476191</v>
      </c>
      <c r="CS24" s="12">
        <f t="array" ref="CS24">INDEX(CR:CR,MIN(IF(ISNUMBER(CR24:CR220),ROW(CR24:CR220),"")))</f>
        <v>9.300476190476191</v>
      </c>
      <c r="CT24" s="12">
        <f>IF('Données projet'!$A$140&gt;35,CT23+CS24-DB23,IF(A24&lt;'Données projet'!$A$140,$CQ$205^A24,IF(A24='Données projet'!$A$140,'Données projet'!$B$140,CT23+CS24-DB23)))</f>
        <v>195.31</v>
      </c>
      <c r="CU24" s="17">
        <f>CT24*VLOOKUP('Données projet'!$B$13,Paramètres!$A$1:$I$89,3,0)*VLOOKUP('Données projet'!$B$13,Paramètres!$A$1:$I$89,5,0)</f>
        <v>109.17829</v>
      </c>
      <c r="CV24" s="13">
        <f t="shared" si="41"/>
        <v>29.137298882589644</v>
      </c>
      <c r="CW24" s="20">
        <f t="shared" si="13"/>
        <v>240.89965063717693</v>
      </c>
      <c r="CX24" s="59">
        <f t="shared" si="14"/>
        <v>523.2329839705103</v>
      </c>
      <c r="CY24" s="59">
        <f ca="1">AVERAGE(OFFSET($CX$3,0,0,'Données projet'!$E$13+1,1))-AVERAGE(OFFSET($H$3,0,0,'Données projet'!$E$13+1,1))</f>
        <v>386.66324266750968</v>
      </c>
      <c r="CZ24" s="59">
        <f t="shared" si="42"/>
        <v>356.22149461585769</v>
      </c>
      <c r="DA24" s="15">
        <f>IF(ISNA(VLOOKUP(A24,'Données projet'!$A$139:$I$159,3,0)),0,VLOOKUP(A24,'Données projet'!$A$139:$I$159,3,0))</f>
        <v>1</v>
      </c>
      <c r="DB24" s="15">
        <f>IF(ISNA(VLOOKUP(A24,'Données projet'!$A$139:$I$159,4,0)),0,VLOOKUP(A24,'Données projet'!$A$139:$I$159,4,0))</f>
        <v>64.599999999999994</v>
      </c>
      <c r="DC24" s="16">
        <f>IF(ISNA(VLOOKUP(A24,'Données projet'!$A$139:$I$159,5,0)),0%,VLOOKUP(A24,'Données projet'!$A$139:$I$159,5,0)*VLOOKUP('Données projet'!$B$13,Paramètres!$A$1:$I$89,7,0))</f>
        <v>0.13750000000000001</v>
      </c>
      <c r="DD24" s="16">
        <f>IF(ISNA(VLOOKUP(A24,'Données projet'!$A$139:$I$159,6,0)),0%,VLOOKUP(A24,'Données projet'!$A$139:$I$159,6,0)*VLOOKUP('Données projet'!$B$13,Paramètres!$A$1:$I$89,7,0))</f>
        <v>0.20350000000000001</v>
      </c>
      <c r="DE24" s="16">
        <f>IF(ISNA(VLOOKUP(A24,'Données projet'!$A$139:$I$159,7,0)),0%,VLOOKUP(A24,'Données projet'!$A$139:$I$159,7,0))</f>
        <v>0.38</v>
      </c>
      <c r="DF24" s="21">
        <f>EXP(-LN(2)/35)*DF23+(1-EXP(-LN(2)/35))/(LN(2)/35)*DB24*DC24*VLOOKUP('Données projet'!$B$13,Paramètres!$A$1:$I$89,3,0)*0.475*44/12</f>
        <v>6.5868137054719185</v>
      </c>
      <c r="DG24" s="21">
        <f>EXP(-LN(2)/25)*DG23+(1-EXP(-LN(2)/25))/(LN(2)/25)*Calculateur!DB24*Calculateur!DD24*VLOOKUP('Données projet'!$B$13,Paramètres!$A$1:$I$89,3,0)*0.475*44/12</f>
        <v>9.7101007870082245</v>
      </c>
      <c r="DH24" s="21">
        <f>EXP(-LN(2)/2)*DH23+(1-EXP(-LN(2)/2))/(LN(2)/2)*DB24*DE24*VLOOKUP('Données projet'!$B$13,Paramètres!$A$1:$I$89,3,0)*0.475*44/12</f>
        <v>15.536867487780944</v>
      </c>
      <c r="DI24" s="22">
        <f t="shared" si="15"/>
        <v>31.833781980261087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14.8</v>
      </c>
      <c r="DO24" s="12">
        <f>IF('Données projet'!$A$166&gt;35,DO23+DN24-DW23,IF(A24&lt;'Données projet'!$A$166,$DL$205^A24,IF(A24='Données projet'!$A$166,'Données projet'!$B$166,DO23+DN24-DW23)))</f>
        <v>81.799999999999983</v>
      </c>
      <c r="DP24" s="17">
        <f>DO24*VLOOKUP('Données projet'!$B$14,Paramètres!$A$1:$I$89,3,0)*VLOOKUP('Données projet'!$B$14,Paramètres!$A$1:$I$89,5,0)</f>
        <v>63.803999999999988</v>
      </c>
      <c r="DQ24" s="13">
        <f t="shared" si="43"/>
        <v>18.126571770919856</v>
      </c>
      <c r="DR24" s="20">
        <f t="shared" si="16"/>
        <v>142.69574583435204</v>
      </c>
      <c r="DS24" s="59">
        <f t="shared" si="17"/>
        <v>425.02907916768538</v>
      </c>
      <c r="DT24" s="59">
        <f ca="1">AVERAGE(OFFSET($DS$3,0,0,'Données projet'!$E$14+1,1))-AVERAGE(OFFSET($H$3,0,0,'Données projet'!$E$14+1,1))</f>
        <v>347.17417070871716</v>
      </c>
      <c r="DU24" s="59">
        <f t="shared" si="44"/>
        <v>339.56378046986441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5.6448647253689535</v>
      </c>
      <c r="EC24" s="21">
        <f>EXP(-LN(2)/2)*EC23+(1-EXP(-LN(2)/2))/(LN(2)/2)*DW24*DZ24*VLOOKUP('Données projet'!$B$14,Paramètres!$A$1:$I$89,3,0)*0.475*44/12</f>
        <v>5.2894154513174767</v>
      </c>
      <c r="ED24" s="22">
        <f t="shared" si="18"/>
        <v>10.93428017668643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14.8</v>
      </c>
      <c r="EJ24" s="12">
        <f>IF('Données projet'!$A$192&gt;35,EJ23+EI24-ER23,IF(A24&lt;'Données projet'!$A$192,$EG$205^A24,IF(A24='Données projet'!$A$192,'Données projet'!$B$192,EJ23+EI24-ER23)))</f>
        <v>81.799999999999983</v>
      </c>
      <c r="EK24" s="17">
        <f>EJ24*VLOOKUP('Données projet'!$B$15,Paramètres!$A$1:$I$89,3,0)*VLOOKUP('Données projet'!$B$15,Paramètres!$A$1:$I$89,5,0)</f>
        <v>71.46047999999999</v>
      </c>
      <c r="EL24" s="13">
        <f t="shared" si="45"/>
        <v>20.035709203981977</v>
      </c>
      <c r="EM24" s="20">
        <f t="shared" si="19"/>
        <v>159.35586286360191</v>
      </c>
      <c r="EN24" s="59">
        <f t="shared" si="20"/>
        <v>441.6891961969352</v>
      </c>
      <c r="EO24" s="59">
        <f ca="1">AVERAGE(OFFSET($EN$3,0,0,'Données projet'!$E$15+1,1))-AVERAGE(OFFSET($H$3,0,0,'Données projet'!$E$15+1,1))</f>
        <v>384.34044781465661</v>
      </c>
      <c r="EP24" s="59">
        <f t="shared" si="46"/>
        <v>374.99493809709708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6.3222484924132285</v>
      </c>
      <c r="EX24" s="21">
        <f>EXP(-LN(2)/2)*EX23+(1-EXP(-LN(2)/2))/(LN(2)/2)*ER24*EU24*VLOOKUP('Données projet'!$B$15,Paramètres!$A$1:$I$89,3,0)*0.475*44/12</f>
        <v>5.9241453054755748</v>
      </c>
      <c r="EY24" s="22">
        <f t="shared" si="21"/>
        <v>12.246393797888803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14.8</v>
      </c>
      <c r="FE24" s="12">
        <f>IF('Données projet'!$A$218&gt;35,FE23+FD24-FM23,IF(A24&lt;'Données projet'!$A$218,$FB$205^A24,IF(A24='Données projet'!$A$218,'Données projet'!$B$218,FE23+FD24-FM23)))</f>
        <v>81.799999999999983</v>
      </c>
      <c r="FF24" s="17">
        <f>FE24*VLOOKUP('Données projet'!$B$16,Paramètres!$A$1:$I$89,3,0)*VLOOKUP('Données projet'!$B$16,Paramètres!$A$1:$I$89,5,0)</f>
        <v>66.356159999999988</v>
      </c>
      <c r="FG24" s="13">
        <f t="shared" si="47"/>
        <v>18.765767596743419</v>
      </c>
      <c r="FH24" s="20">
        <f t="shared" si="22"/>
        <v>148.25402389766143</v>
      </c>
      <c r="FI24" s="59">
        <f t="shared" si="23"/>
        <v>430.58735723099471</v>
      </c>
      <c r="FJ24" s="59">
        <f ca="1">AVERAGE(OFFSET($FI$3,0,0,'Données projet'!$E$16+1,1))-AVERAGE(OFFSET($H$3,0,0,'Données projet'!$E$16+1,1))</f>
        <v>359.57284550600366</v>
      </c>
      <c r="FK24" s="59">
        <f t="shared" si="48"/>
        <v>351.38386928091433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5.8706593143837118</v>
      </c>
      <c r="FS24" s="21">
        <f>EXP(-LN(2)/2)*FS23+(1-EXP(-LN(2)/2))/(LN(2)/2)*FM24*FP24*VLOOKUP('Données projet'!$B$16,Paramètres!$A$1:$I$89,3,0)*0.475*44/12</f>
        <v>5.5009920693701755</v>
      </c>
      <c r="FT24" s="22">
        <f t="shared" si="24"/>
        <v>11.371651383753887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6">
        <f t="shared" si="1"/>
        <v>256.66666666666669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5.0894117647058819</v>
      </c>
      <c r="N25" s="13">
        <f>IF('Données projet'!$A$36&gt;35,N24+M25-V24,IF(A25&lt;'Données projet'!$A$36,$K$205^A25,IF(A25='Données projet'!$A$36,'Données projet'!$B$36,N24+M25-V24)))</f>
        <v>28.068063173646774</v>
      </c>
      <c r="O25" s="13">
        <f>N25*VLOOKUP('Données projet'!$B$9,Paramètres!$A$1:$I$89,3,0)*VLOOKUP('Données projet'!$B$9,Paramètres!$A$1:$I$89,5,0)</f>
        <v>25.395983559515599</v>
      </c>
      <c r="P25" s="13">
        <f t="shared" si="33"/>
        <v>8.0316070411419194</v>
      </c>
      <c r="Q25" s="20">
        <f t="shared" si="2"/>
        <v>58.219720296145177</v>
      </c>
      <c r="R25" s="59">
        <f t="shared" si="0"/>
        <v>341.77527585170071</v>
      </c>
      <c r="S25" s="59">
        <f ca="1">AVERAGE(OFFSET($R$3,0,0,'Données projet'!$E$9+1,1))-AVERAGE(OFFSET($H$3,0,0,'Données projet'!$E$9+1,1))</f>
        <v>695.0879239758051</v>
      </c>
      <c r="T25" s="59">
        <f t="shared" si="34"/>
        <v>226.22150997227476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24.238333333333333</v>
      </c>
      <c r="AI25" s="13">
        <f>IF('Données projet'!$A$62&gt;35,AI24+AH25-AQ24,IF(A25&lt;'Données projet'!$A$62,$AF$205^A25,IF(A25='Données projet'!$A$62,'Données projet'!$B$62,AI24+AH25-AQ24)))</f>
        <v>201.36666666666667</v>
      </c>
      <c r="AJ25" s="13">
        <f>AI25*VLOOKUP('Données projet'!$B$10,Paramètres!$A$1:$I$89,3,0)*VLOOKUP('Données projet'!$B$10,Paramètres!$A$1:$I$89,5,0)</f>
        <v>120.41726666666668</v>
      </c>
      <c r="AK25" s="13">
        <f t="shared" si="35"/>
        <v>31.772300222074016</v>
      </c>
      <c r="AL25" s="20">
        <f t="shared" si="4"/>
        <v>265.06349566455668</v>
      </c>
      <c r="AM25" s="59">
        <f t="shared" si="5"/>
        <v>548.61905122011217</v>
      </c>
      <c r="AN25" s="59">
        <f ca="1">AVERAGE(OFFSET($AM$3,0,0,'Données projet'!$E$10+1,1))-AVERAGE(OFFSET($H$3,0,0,'Données projet'!$E$10+1,1))</f>
        <v>388.12151914648013</v>
      </c>
      <c r="AO25" s="59">
        <f t="shared" si="36"/>
        <v>481.43684454382793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4.7315627746168394</v>
      </c>
      <c r="AV25" s="21">
        <f>EXP(-LN(2)/25)*AV24+(1-EXP(-LN(2)/25))/(LN(2)/25)*Calculateur!AQ25*Calculateur!AS25*VLOOKUP('Données projet'!$B$10,Paramètres!$A$1:$I$89,3,0)*0.475*44/12</f>
        <v>14.256951758549377</v>
      </c>
      <c r="AW25" s="21">
        <f>EXP(-LN(2)/2)*AW24+(1-EXP(-LN(2)/2))/(LN(2)/2)*AQ25*AT25*VLOOKUP('Données projet'!$B$10,Paramètres!$A$1:$I$89,3,0)*0.475*44/12</f>
        <v>8.606517177635709</v>
      </c>
      <c r="AX25" s="21">
        <f t="shared" si="6"/>
        <v>27.595031710801926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14.8</v>
      </c>
      <c r="BD25" s="12">
        <f>IF('Données projet'!$A$88&gt;35,BD24+BC25-BL24,IF(A25&lt;'Données projet'!$A$88,$BA$205^A25,IF(A25='Données projet'!$A$88,'Données projet'!$B$88,BD24+BC25-BL24)))</f>
        <v>96.59999999999998</v>
      </c>
      <c r="BE25" s="13">
        <f>BD25*VLOOKUP('Données projet'!$B$11,Paramètres!$A$1:$I$89,3,0)*VLOOKUP('Données projet'!$B$11,Paramètres!$A$1:$I$89,5,0)</f>
        <v>91.924559999999985</v>
      </c>
      <c r="BF25" s="13">
        <f t="shared" si="37"/>
        <v>25.028809401478473</v>
      </c>
      <c r="BG25" s="20">
        <f t="shared" si="7"/>
        <v>203.6937850409083</v>
      </c>
      <c r="BH25" s="59">
        <f t="shared" si="8"/>
        <v>487.24934059646387</v>
      </c>
      <c r="BI25" s="59">
        <f ca="1">AVERAGE(OFFSET($BH$3,0,0,'Données projet'!$E$11+1,1))-AVERAGE(OFFSET($H$3,0,0,'Données projet'!$E$11+1,1))</f>
        <v>415.24818074059294</v>
      </c>
      <c r="BJ25" s="59">
        <f t="shared" si="38"/>
        <v>404.45811532046872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6.6984168351759097</v>
      </c>
      <c r="BR25" s="21">
        <f>EXP(-LN(2)/2)*BR24+(1-EXP(-LN(2)/2))/(LN(2)/2)*BL25*BO25*VLOOKUP('Données projet'!$B$11,Paramètres!$A$1:$I$89,3,0)*0.475*44/12</f>
        <v>4.5630214716501794</v>
      </c>
      <c r="BS25" s="22">
        <f t="shared" si="9"/>
        <v>11.26143830682609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14.8</v>
      </c>
      <c r="BY25" s="12">
        <f>IF('Données projet'!$A$114&gt;35,BY24+BX25-CG24,IF(A25&lt;'Données projet'!$A$114,$BV$205^A25,IF(A25='Données projet'!$A$114,'Données projet'!$B$114,BY24+BX25-CG24)))</f>
        <v>96.59999999999998</v>
      </c>
      <c r="BZ25" s="13">
        <f>BY25*VLOOKUP('Données projet'!$B$12,Paramètres!$A$1:$I$89,3,0)*VLOOKUP('Données projet'!$B$12,Paramètres!$A$1:$I$89,5,0)</f>
        <v>84.389759999999995</v>
      </c>
      <c r="CA25" s="13">
        <f t="shared" si="39"/>
        <v>23.207143598424498</v>
      </c>
      <c r="CB25" s="20">
        <f t="shared" si="10"/>
        <v>187.39794043392263</v>
      </c>
      <c r="CC25" s="59">
        <f t="shared" si="11"/>
        <v>470.95349598947814</v>
      </c>
      <c r="CD25" s="59">
        <f ca="1">AVERAGE(OFFSET($CC$3,0,0,'Données projet'!$E$12+1,1))-AVERAGE(OFFSET($H$3,0,0,'Données projet'!$E$12+1,1))</f>
        <v>384.34044781465661</v>
      </c>
      <c r="CE25" s="59">
        <f t="shared" si="40"/>
        <v>374.99493809709708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7.5794514551285195</v>
      </c>
      <c r="CM25" s="21">
        <f>EXP(-LN(2)/2)*CM24+(1-EXP(-LN(2)/2))/(LN(2)/2)*CG25*CJ25*VLOOKUP('Données projet'!$B$12,Paramètres!$A$1:$I$89,3,0)*0.475*44/12</f>
        <v>4.1890033182362307</v>
      </c>
      <c r="CN25" s="22">
        <f t="shared" si="12"/>
        <v>11.76845477336475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21.61428571428571</v>
      </c>
      <c r="CT25" s="12">
        <f>IF('Données projet'!$A$140&gt;35,CT24+CS25-DB24,IF(A25&lt;'Données projet'!$A$140,$CQ$205^A25,IF(A25='Données projet'!$A$140,'Données projet'!$B$140,CT24+CS25-DB24)))</f>
        <v>152.32428571428571</v>
      </c>
      <c r="CU25" s="17">
        <f>CT25*VLOOKUP('Données projet'!$B$13,Paramètres!$A$1:$I$89,3,0)*VLOOKUP('Données projet'!$B$13,Paramètres!$A$1:$I$89,5,0)</f>
        <v>85.149275714285707</v>
      </c>
      <c r="CV25" s="13">
        <f t="shared" si="41"/>
        <v>23.391601652187223</v>
      </c>
      <c r="CW25" s="20">
        <f t="shared" si="13"/>
        <v>189.04202807994034</v>
      </c>
      <c r="CX25" s="59">
        <f t="shared" si="14"/>
        <v>472.59758363549588</v>
      </c>
      <c r="CY25" s="59">
        <f ca="1">AVERAGE(OFFSET($CX$3,0,0,'Données projet'!$E$13+1,1))-AVERAGE(OFFSET($H$3,0,0,'Données projet'!$E$13+1,1))</f>
        <v>386.66324266750968</v>
      </c>
      <c r="CZ25" s="59">
        <f t="shared" si="42"/>
        <v>356.22149461585769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6.457650306267273</v>
      </c>
      <c r="DG25" s="21">
        <f>EXP(-LN(2)/25)*DG24+(1-EXP(-LN(2)/25))/(LN(2)/25)*Calculateur!DB25*Calculateur!DD25*VLOOKUP('Données projet'!$B$13,Paramètres!$A$1:$I$89,3,0)*0.475*44/12</f>
        <v>9.4445775703554773</v>
      </c>
      <c r="DH25" s="21">
        <f>EXP(-LN(2)/2)*DH24+(1-EXP(-LN(2)/2))/(LN(2)/2)*DB25*DE25*VLOOKUP('Données projet'!$B$13,Paramètres!$A$1:$I$89,3,0)*0.475*44/12</f>
        <v>10.986224359006705</v>
      </c>
      <c r="DI25" s="22">
        <f t="shared" si="15"/>
        <v>26.888452235629455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14.8</v>
      </c>
      <c r="DO25" s="12">
        <f>IF('Données projet'!$A$166&gt;35,DO24+DN25-DW24,IF(A25&lt;'Données projet'!$A$166,$DL$205^A25,IF(A25='Données projet'!$A$166,'Données projet'!$B$166,DO24+DN25-DW24)))</f>
        <v>96.59999999999998</v>
      </c>
      <c r="DP25" s="17">
        <f>DO25*VLOOKUP('Données projet'!$B$14,Paramètres!$A$1:$I$89,3,0)*VLOOKUP('Données projet'!$B$14,Paramètres!$A$1:$I$89,5,0)</f>
        <v>75.347999999999985</v>
      </c>
      <c r="DQ25" s="13">
        <f t="shared" si="43"/>
        <v>20.99581051771704</v>
      </c>
      <c r="DR25" s="20">
        <f t="shared" si="16"/>
        <v>167.79880331835713</v>
      </c>
      <c r="DS25" s="59">
        <f t="shared" si="17"/>
        <v>451.3543588739127</v>
      </c>
      <c r="DT25" s="59">
        <f ca="1">AVERAGE(OFFSET($DS$3,0,0,'Données projet'!$E$14+1,1))-AVERAGE(OFFSET($H$3,0,0,'Données projet'!$E$14+1,1))</f>
        <v>347.17417070871716</v>
      </c>
      <c r="DU25" s="59">
        <f t="shared" si="44"/>
        <v>339.56378046986441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5.4905056026032053</v>
      </c>
      <c r="EC25" s="21">
        <f>EXP(-LN(2)/2)*EC24+(1-EXP(-LN(2)/2))/(LN(2)/2)*DW25*DZ25*VLOOKUP('Données projet'!$B$14,Paramètres!$A$1:$I$89,3,0)*0.475*44/12</f>
        <v>3.7401815341394906</v>
      </c>
      <c r="ED25" s="22">
        <f t="shared" si="18"/>
        <v>9.230687136742695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14.8</v>
      </c>
      <c r="EJ25" s="12">
        <f>IF('Données projet'!$A$192&gt;35,EJ24+EI25-ER24,IF(A25&lt;'Données projet'!$A$192,$EG$205^A25,IF(A25='Données projet'!$A$192,'Données projet'!$B$192,EJ24+EI25-ER24)))</f>
        <v>96.59999999999998</v>
      </c>
      <c r="EK25" s="17">
        <f>EJ25*VLOOKUP('Données projet'!$B$15,Paramètres!$A$1:$I$89,3,0)*VLOOKUP('Données projet'!$B$15,Paramètres!$A$1:$I$89,5,0)</f>
        <v>84.389759999999995</v>
      </c>
      <c r="EL25" s="13">
        <f t="shared" si="45"/>
        <v>23.207143598424498</v>
      </c>
      <c r="EM25" s="20">
        <f t="shared" si="19"/>
        <v>187.39794043392263</v>
      </c>
      <c r="EN25" s="59">
        <f t="shared" si="20"/>
        <v>470.95349598947814</v>
      </c>
      <c r="EO25" s="59">
        <f ca="1">AVERAGE(OFFSET($EN$3,0,0,'Données projet'!$E$15+1,1))-AVERAGE(OFFSET($H$3,0,0,'Données projet'!$E$15+1,1))</f>
        <v>384.34044781465661</v>
      </c>
      <c r="EP25" s="59">
        <f t="shared" si="46"/>
        <v>374.99493809709708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6.1493662749155904</v>
      </c>
      <c r="EX25" s="21">
        <f>EXP(-LN(2)/2)*EX24+(1-EXP(-LN(2)/2))/(LN(2)/2)*ER25*EU25*VLOOKUP('Données projet'!$B$15,Paramètres!$A$1:$I$89,3,0)*0.475*44/12</f>
        <v>4.1890033182362307</v>
      </c>
      <c r="EY25" s="22">
        <f t="shared" si="21"/>
        <v>10.338369593151821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14.8</v>
      </c>
      <c r="FE25" s="12">
        <f>IF('Données projet'!$A$218&gt;35,FE24+FD25-FM24,IF(A25&lt;'Données projet'!$A$218,$FB$205^A25,IF(A25='Données projet'!$A$218,'Données projet'!$B$218,FE24+FD25-FM24)))</f>
        <v>96.59999999999998</v>
      </c>
      <c r="FF25" s="17">
        <f>FE25*VLOOKUP('Données projet'!$B$16,Paramètres!$A$1:$I$89,3,0)*VLOOKUP('Données projet'!$B$16,Paramètres!$A$1:$I$89,5,0)</f>
        <v>78.361919999999984</v>
      </c>
      <c r="FG25" s="13">
        <f t="shared" si="47"/>
        <v>21.736184076066191</v>
      </c>
      <c r="FH25" s="20">
        <f t="shared" si="22"/>
        <v>174.33753126581527</v>
      </c>
      <c r="FI25" s="59">
        <f t="shared" si="23"/>
        <v>457.89308682137084</v>
      </c>
      <c r="FJ25" s="59">
        <f ca="1">AVERAGE(OFFSET($FI$3,0,0,'Données projet'!$E$16+1,1))-AVERAGE(OFFSET($H$3,0,0,'Données projet'!$E$16+1,1))</f>
        <v>359.57284550600366</v>
      </c>
      <c r="FK25" s="59">
        <f t="shared" si="48"/>
        <v>351.38386928091433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5.7101258267073334</v>
      </c>
      <c r="FS25" s="21">
        <f>EXP(-LN(2)/2)*FS24+(1-EXP(-LN(2)/2))/(LN(2)/2)*FM25*FP25*VLOOKUP('Données projet'!$B$16,Paramètres!$A$1:$I$89,3,0)*0.475*44/12</f>
        <v>3.8897887955050701</v>
      </c>
      <c r="FT25" s="22">
        <f t="shared" si="24"/>
        <v>9.5999146222124025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6">
        <f t="shared" si="1"/>
        <v>256.66666666666669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5.0894117647058819</v>
      </c>
      <c r="N26" s="13">
        <f>IF('Données projet'!$A$36&gt;35,N25+M26-V25,IF(A26&lt;'Données projet'!$A$36,$K$205^A26,IF(A26='Données projet'!$A$36,'Données projet'!$B$36,N25+M26-V25)))</f>
        <v>32.66181268163826</v>
      </c>
      <c r="O26" s="13">
        <f>N26*VLOOKUP('Données projet'!$B$9,Paramètres!$A$1:$I$89,3,0)*VLOOKUP('Données projet'!$B$9,Paramètres!$A$1:$I$89,5,0)</f>
        <v>29.552408114346299</v>
      </c>
      <c r="P26" s="13">
        <f t="shared" si="33"/>
        <v>9.1826478534273477</v>
      </c>
      <c r="Q26" s="20">
        <f t="shared" si="2"/>
        <v>67.463555810539106</v>
      </c>
      <c r="R26" s="59">
        <f t="shared" si="0"/>
        <v>352.24133358831688</v>
      </c>
      <c r="S26" s="59">
        <f ca="1">AVERAGE(OFFSET($R$3,0,0,'Données projet'!$E$9+1,1))-AVERAGE(OFFSET($H$3,0,0,'Données projet'!$E$9+1,1))</f>
        <v>695.0879239758051</v>
      </c>
      <c r="T26" s="59">
        <f t="shared" si="34"/>
        <v>226.22150997227476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24.238333333333333</v>
      </c>
      <c r="AI26" s="13">
        <f>IF('Données projet'!$A$62&gt;35,AI25+AH26-AQ25,IF(A26&lt;'Données projet'!$A$62,$AF$205^A26,IF(A26='Données projet'!$A$62,'Données projet'!$B$62,AI25+AH26-AQ25)))</f>
        <v>225.60500000000002</v>
      </c>
      <c r="AJ26" s="13">
        <f>AI26*VLOOKUP('Données projet'!$B$10,Paramètres!$A$1:$I$89,3,0)*VLOOKUP('Données projet'!$B$10,Paramètres!$A$1:$I$89,5,0)</f>
        <v>134.91179000000002</v>
      </c>
      <c r="AK26" s="13">
        <f t="shared" si="35"/>
        <v>35.128868426839887</v>
      </c>
      <c r="AL26" s="20">
        <f t="shared" si="4"/>
        <v>296.15414676007953</v>
      </c>
      <c r="AM26" s="59">
        <f t="shared" si="5"/>
        <v>580.9319245378573</v>
      </c>
      <c r="AN26" s="59">
        <f ca="1">AVERAGE(OFFSET($AM$3,0,0,'Données projet'!$E$10+1,1))-AVERAGE(OFFSET($H$3,0,0,'Données projet'!$E$10+1,1))</f>
        <v>388.12151914648013</v>
      </c>
      <c r="AO26" s="59">
        <f t="shared" si="36"/>
        <v>481.43684454382793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4.6387797145749303</v>
      </c>
      <c r="AV26" s="21">
        <f>EXP(-LN(2)/25)*AV25+(1-EXP(-LN(2)/25))/(LN(2)/25)*Calculateur!AQ26*Calculateur!AS26*VLOOKUP('Données projet'!$B$10,Paramètres!$A$1:$I$89,3,0)*0.475*44/12</f>
        <v>13.867094662971336</v>
      </c>
      <c r="AW26" s="21">
        <f>EXP(-LN(2)/2)*AW25+(1-EXP(-LN(2)/2))/(LN(2)/2)*AQ26*AT26*VLOOKUP('Données projet'!$B$10,Paramètres!$A$1:$I$89,3,0)*0.475*44/12</f>
        <v>6.0857266587047159</v>
      </c>
      <c r="AX26" s="21">
        <f t="shared" si="6"/>
        <v>24.591601036250982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14.8</v>
      </c>
      <c r="BD26" s="12">
        <f>IF('Données projet'!$A$88&gt;35,BD25+BC26-BL25,IF(A26&lt;'Données projet'!$A$88,$BA$205^A26,IF(A26='Données projet'!$A$88,'Données projet'!$B$88,BD25+BC26-BL25)))</f>
        <v>111.39999999999998</v>
      </c>
      <c r="BE26" s="13">
        <f>BD26*VLOOKUP('Données projet'!$B$11,Paramètres!$A$1:$I$89,3,0)*VLOOKUP('Données projet'!$B$11,Paramètres!$A$1:$I$89,5,0)</f>
        <v>106.00823999999997</v>
      </c>
      <c r="BF26" s="13">
        <f t="shared" si="37"/>
        <v>28.388481113150704</v>
      </c>
      <c r="BG26" s="20">
        <f t="shared" si="7"/>
        <v>234.07428927207073</v>
      </c>
      <c r="BH26" s="59">
        <f t="shared" si="8"/>
        <v>518.85206704984853</v>
      </c>
      <c r="BI26" s="59">
        <f ca="1">AVERAGE(OFFSET($BH$3,0,0,'Données projet'!$E$11+1,1))-AVERAGE(OFFSET($H$3,0,0,'Données projet'!$E$11+1,1))</f>
        <v>415.24818074059294</v>
      </c>
      <c r="BJ26" s="59">
        <f t="shared" si="38"/>
        <v>404.45811532046872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6.5152482745635929</v>
      </c>
      <c r="BR26" s="21">
        <f>EXP(-LN(2)/2)*BR25+(1-EXP(-LN(2)/2))/(LN(2)/2)*BL26*BO26*VLOOKUP('Données projet'!$B$11,Paramètres!$A$1:$I$89,3,0)*0.475*44/12</f>
        <v>3.2265434253036616</v>
      </c>
      <c r="BS26" s="22">
        <f t="shared" si="9"/>
        <v>9.7417916998672549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14.8</v>
      </c>
      <c r="BY26" s="12">
        <f>IF('Données projet'!$A$114&gt;35,BY25+BX26-CG25,IF(A26&lt;'Données projet'!$A$114,$BV$205^A26,IF(A26='Données projet'!$A$114,'Données projet'!$B$114,BY25+BX26-CG25)))</f>
        <v>111.39999999999998</v>
      </c>
      <c r="BZ26" s="13">
        <f>BY26*VLOOKUP('Données projet'!$B$12,Paramètres!$A$1:$I$89,3,0)*VLOOKUP('Données projet'!$B$12,Paramètres!$A$1:$I$89,5,0)</f>
        <v>97.319039999999987</v>
      </c>
      <c r="CA26" s="13">
        <f t="shared" si="39"/>
        <v>26.322289133542785</v>
      </c>
      <c r="CB26" s="20">
        <f t="shared" si="10"/>
        <v>215.34198157425362</v>
      </c>
      <c r="CC26" s="59">
        <f t="shared" si="11"/>
        <v>500.11975935203139</v>
      </c>
      <c r="CD26" s="59">
        <f ca="1">AVERAGE(OFFSET($CC$3,0,0,'Données projet'!$E$12+1,1))-AVERAGE(OFFSET($H$3,0,0,'Données projet'!$E$12+1,1))</f>
        <v>384.34044781465661</v>
      </c>
      <c r="CE26" s="59">
        <f t="shared" si="40"/>
        <v>374.99493809709708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7.372190956502001</v>
      </c>
      <c r="CM26" s="21">
        <f>EXP(-LN(2)/2)*CM25+(1-EXP(-LN(2)/2))/(LN(2)/2)*CG26*CJ26*VLOOKUP('Données projet'!$B$12,Paramètres!$A$1:$I$89,3,0)*0.475*44/12</f>
        <v>2.9620726527377883</v>
      </c>
      <c r="CN26" s="22">
        <f t="shared" si="12"/>
        <v>10.334263609239789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21.61428571428571</v>
      </c>
      <c r="CT26" s="12">
        <f>IF('Données projet'!$A$140&gt;35,CT25+CS26-DB25,IF(A26&lt;'Données projet'!$A$140,$CQ$205^A26,IF(A26='Données projet'!$A$140,'Données projet'!$B$140,CT25+CS26-DB25)))</f>
        <v>173.93857142857141</v>
      </c>
      <c r="CU26" s="17">
        <f>CT26*VLOOKUP('Données projet'!$B$13,Paramètres!$A$1:$I$89,3,0)*VLOOKUP('Données projet'!$B$13,Paramètres!$A$1:$I$89,5,0)</f>
        <v>97.231661428571414</v>
      </c>
      <c r="CV26" s="13">
        <f t="shared" si="41"/>
        <v>26.301405349792162</v>
      </c>
      <c r="CW26" s="20">
        <f t="shared" si="13"/>
        <v>215.15342463898321</v>
      </c>
      <c r="CX26" s="59">
        <f t="shared" si="14"/>
        <v>499.93120241676098</v>
      </c>
      <c r="CY26" s="59">
        <f ca="1">AVERAGE(OFFSET($CX$3,0,0,'Données projet'!$E$13+1,1))-AVERAGE(OFFSET($H$3,0,0,'Données projet'!$E$13+1,1))</f>
        <v>386.66324266750968</v>
      </c>
      <c r="CZ26" s="59">
        <f t="shared" si="42"/>
        <v>356.22149461585769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6.3310197225391365</v>
      </c>
      <c r="DG26" s="21">
        <f>EXP(-LN(2)/25)*DG25+(1-EXP(-LN(2)/25))/(LN(2)/25)*Calculateur!DB26*Calculateur!DD26*VLOOKUP('Données projet'!$B$13,Paramètres!$A$1:$I$89,3,0)*0.475*44/12</f>
        <v>9.1863151000253573</v>
      </c>
      <c r="DH26" s="21">
        <f>EXP(-LN(2)/2)*DH25+(1-EXP(-LN(2)/2))/(LN(2)/2)*DB26*DE26*VLOOKUP('Données projet'!$B$13,Paramètres!$A$1:$I$89,3,0)*0.475*44/12</f>
        <v>7.7684337438904736</v>
      </c>
      <c r="DI26" s="22">
        <f t="shared" si="15"/>
        <v>23.285768566454966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14.8</v>
      </c>
      <c r="DO26" s="12">
        <f>IF('Données projet'!$A$166&gt;35,DO25+DN26-DW25,IF(A26&lt;'Données projet'!$A$166,$DL$205^A26,IF(A26='Données projet'!$A$166,'Données projet'!$B$166,DO25+DN26-DW25)))</f>
        <v>111.39999999999998</v>
      </c>
      <c r="DP26" s="17">
        <f>DO26*VLOOKUP('Données projet'!$B$14,Paramètres!$A$1:$I$89,3,0)*VLOOKUP('Données projet'!$B$14,Paramètres!$A$1:$I$89,5,0)</f>
        <v>86.891999999999982</v>
      </c>
      <c r="DQ26" s="13">
        <f t="shared" si="43"/>
        <v>23.814123987147887</v>
      </c>
      <c r="DR26" s="20">
        <f t="shared" si="16"/>
        <v>192.81316594428253</v>
      </c>
      <c r="DS26" s="59">
        <f t="shared" si="17"/>
        <v>477.59094372206027</v>
      </c>
      <c r="DT26" s="59">
        <f ca="1">AVERAGE(OFFSET($DS$3,0,0,'Données projet'!$E$14+1,1))-AVERAGE(OFFSET($H$3,0,0,'Données projet'!$E$14+1,1))</f>
        <v>347.17417070871716</v>
      </c>
      <c r="DU26" s="59">
        <f t="shared" si="44"/>
        <v>339.56378046986441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5.3403674381668793</v>
      </c>
      <c r="EC26" s="21">
        <f>EXP(-LN(2)/2)*EC25+(1-EXP(-LN(2)/2))/(LN(2)/2)*DW26*DZ26*VLOOKUP('Données projet'!$B$14,Paramètres!$A$1:$I$89,3,0)*0.475*44/12</f>
        <v>2.6447077256587388</v>
      </c>
      <c r="ED26" s="22">
        <f t="shared" si="18"/>
        <v>7.9850751638256181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14.8</v>
      </c>
      <c r="EJ26" s="12">
        <f>IF('Données projet'!$A$192&gt;35,EJ25+EI26-ER25,IF(A26&lt;'Données projet'!$A$192,$EG$205^A26,IF(A26='Données projet'!$A$192,'Données projet'!$B$192,EJ25+EI26-ER25)))</f>
        <v>111.39999999999998</v>
      </c>
      <c r="EK26" s="17">
        <f>EJ26*VLOOKUP('Données projet'!$B$15,Paramètres!$A$1:$I$89,3,0)*VLOOKUP('Données projet'!$B$15,Paramètres!$A$1:$I$89,5,0)</f>
        <v>97.319039999999987</v>
      </c>
      <c r="EL26" s="13">
        <f t="shared" si="45"/>
        <v>26.322289133542785</v>
      </c>
      <c r="EM26" s="20">
        <f t="shared" si="19"/>
        <v>215.34198157425362</v>
      </c>
      <c r="EN26" s="59">
        <f t="shared" si="20"/>
        <v>500.11975935203139</v>
      </c>
      <c r="EO26" s="59">
        <f ca="1">AVERAGE(OFFSET($EN$3,0,0,'Données projet'!$E$15+1,1))-AVERAGE(OFFSET($H$3,0,0,'Données projet'!$E$15+1,1))</f>
        <v>384.34044781465661</v>
      </c>
      <c r="EP26" s="59">
        <f t="shared" si="46"/>
        <v>374.99493809709708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5.981211530746906</v>
      </c>
      <c r="EX26" s="21">
        <f>EXP(-LN(2)/2)*EX25+(1-EXP(-LN(2)/2))/(LN(2)/2)*ER26*EU26*VLOOKUP('Données projet'!$B$15,Paramètres!$A$1:$I$89,3,0)*0.475*44/12</f>
        <v>2.9620726527377883</v>
      </c>
      <c r="EY26" s="22">
        <f t="shared" si="21"/>
        <v>8.9432841834846943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14.8</v>
      </c>
      <c r="FE26" s="12">
        <f>IF('Données projet'!$A$218&gt;35,FE25+FD26-FM25,IF(A26&lt;'Données projet'!$A$218,$FB$205^A26,IF(A26='Données projet'!$A$218,'Données projet'!$B$218,FE25+FD26-FM25)))</f>
        <v>111.39999999999998</v>
      </c>
      <c r="FF26" s="17">
        <f>FE26*VLOOKUP('Données projet'!$B$16,Paramètres!$A$1:$I$89,3,0)*VLOOKUP('Données projet'!$B$16,Paramètres!$A$1:$I$89,5,0)</f>
        <v>90.367679999999993</v>
      </c>
      <c r="FG26" s="13">
        <f t="shared" si="47"/>
        <v>24.653879504109455</v>
      </c>
      <c r="FH26" s="20">
        <f t="shared" si="22"/>
        <v>200.32921613632394</v>
      </c>
      <c r="FI26" s="59">
        <f t="shared" si="23"/>
        <v>485.10699391410174</v>
      </c>
      <c r="FJ26" s="59">
        <f ca="1">AVERAGE(OFFSET($FI$3,0,0,'Données projet'!$E$16+1,1))-AVERAGE(OFFSET($H$3,0,0,'Données projet'!$E$16+1,1))</f>
        <v>359.57284550600366</v>
      </c>
      <c r="FK26" s="59">
        <f t="shared" si="48"/>
        <v>351.38386928091433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5.5539821356935546</v>
      </c>
      <c r="FS26" s="21">
        <f>EXP(-LN(2)/2)*FS25+(1-EXP(-LN(2)/2))/(LN(2)/2)*FM26*FP26*VLOOKUP('Données projet'!$B$16,Paramètres!$A$1:$I$89,3,0)*0.475*44/12</f>
        <v>2.7504960346850882</v>
      </c>
      <c r="FT26" s="22">
        <f t="shared" si="24"/>
        <v>8.3044781703786423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6">
        <f t="shared" si="1"/>
        <v>256.66666666666669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5.0894117647058819</v>
      </c>
      <c r="N27" s="13">
        <f>IF('Données projet'!$A$36&gt;35,N26+M27-V26,IF(A27&lt;'Données projet'!$A$36,$K$205^A27,IF(A27='Données projet'!$A$36,'Données projet'!$B$36,N26+M27-V26)))</f>
        <v>38.007396557808917</v>
      </c>
      <c r="O27" s="13">
        <f>N27*VLOOKUP('Données projet'!$B$9,Paramètres!$A$1:$I$89,3,0)*VLOOKUP('Données projet'!$B$9,Paramètres!$A$1:$I$89,5,0)</f>
        <v>34.389092405505508</v>
      </c>
      <c r="P27" s="13">
        <f t="shared" si="33"/>
        <v>10.498648796949267</v>
      </c>
      <c r="Q27" s="20">
        <f t="shared" si="2"/>
        <v>78.179482594275399</v>
      </c>
      <c r="R27" s="59">
        <f t="shared" si="0"/>
        <v>364.17948259427538</v>
      </c>
      <c r="S27" s="59">
        <f ca="1">AVERAGE(OFFSET($R$3,0,0,'Données projet'!$E$9+1,1))-AVERAGE(OFFSET($H$3,0,0,'Données projet'!$E$9+1,1))</f>
        <v>695.0879239758051</v>
      </c>
      <c r="T27" s="59">
        <f t="shared" si="34"/>
        <v>226.22150997227476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24.238333333333333</v>
      </c>
      <c r="AI27" s="13">
        <f>IF('Données projet'!$A$62&gt;35,AI26+AH27-AQ26,IF(A27&lt;'Données projet'!$A$62,$AF$205^A27,IF(A27='Données projet'!$A$62,'Données projet'!$B$62,AI26+AH27-AQ26)))</f>
        <v>249.84333333333336</v>
      </c>
      <c r="AJ27" s="13">
        <f>AI27*VLOOKUP('Données projet'!$B$10,Paramètres!$A$1:$I$89,3,0)*VLOOKUP('Données projet'!$B$10,Paramètres!$A$1:$I$89,5,0)</f>
        <v>149.40631333333337</v>
      </c>
      <c r="AK27" s="13">
        <f t="shared" si="35"/>
        <v>38.443637071332986</v>
      </c>
      <c r="AL27" s="20">
        <f t="shared" si="4"/>
        <v>327.17199695479388</v>
      </c>
      <c r="AM27" s="59">
        <f t="shared" si="5"/>
        <v>613.17199695479394</v>
      </c>
      <c r="AN27" s="59">
        <f ca="1">AVERAGE(OFFSET($AM$3,0,0,'Données projet'!$E$10+1,1))-AVERAGE(OFFSET($H$3,0,0,'Données projet'!$E$10+1,1))</f>
        <v>388.12151914648013</v>
      </c>
      <c r="AO27" s="59">
        <f t="shared" si="36"/>
        <v>481.43684454382793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4.5478160737483639</v>
      </c>
      <c r="AV27" s="21">
        <f>EXP(-LN(2)/25)*AV26+(1-EXP(-LN(2)/25))/(LN(2)/25)*Calculateur!AQ27*Calculateur!AS27*VLOOKUP('Données projet'!$B$10,Paramètres!$A$1:$I$89,3,0)*0.475*44/12</f>
        <v>13.48789823017357</v>
      </c>
      <c r="AW27" s="21">
        <f>EXP(-LN(2)/2)*AW26+(1-EXP(-LN(2)/2))/(LN(2)/2)*AQ27*AT27*VLOOKUP('Données projet'!$B$10,Paramètres!$A$1:$I$89,3,0)*0.475*44/12</f>
        <v>4.3032585888178545</v>
      </c>
      <c r="AX27" s="21">
        <f t="shared" si="6"/>
        <v>22.33897289273979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14.8</v>
      </c>
      <c r="BD27" s="12">
        <f>IF('Données projet'!$A$88&gt;35,BD26+BC27-BL26,IF(A27&lt;'Données projet'!$A$88,$BA$205^A27,IF(A27='Données projet'!$A$88,'Données projet'!$B$88,BD26+BC27-BL26)))</f>
        <v>126.19999999999997</v>
      </c>
      <c r="BE27" s="13">
        <f>BD27*VLOOKUP('Données projet'!$B$11,Paramètres!$A$1:$I$89,3,0)*VLOOKUP('Données projet'!$B$11,Paramètres!$A$1:$I$89,5,0)</f>
        <v>120.09191999999999</v>
      </c>
      <c r="BF27" s="13">
        <f t="shared" si="37"/>
        <v>31.69643716912881</v>
      </c>
      <c r="BG27" s="20">
        <f t="shared" si="7"/>
        <v>264.36472206956597</v>
      </c>
      <c r="BH27" s="59">
        <f t="shared" si="8"/>
        <v>550.36472206956591</v>
      </c>
      <c r="BI27" s="59">
        <f ca="1">AVERAGE(OFFSET($BH$3,0,0,'Données projet'!$E$11+1,1))-AVERAGE(OFFSET($H$3,0,0,'Données projet'!$E$11+1,1))</f>
        <v>415.24818074059294</v>
      </c>
      <c r="BJ27" s="59">
        <f t="shared" si="38"/>
        <v>404.45811532046872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6.3370884678736354</v>
      </c>
      <c r="BR27" s="21">
        <f>EXP(-LN(2)/2)*BR26+(1-EXP(-LN(2)/2))/(LN(2)/2)*BL27*BO27*VLOOKUP('Données projet'!$B$11,Paramètres!$A$1:$I$89,3,0)*0.475*44/12</f>
        <v>2.2815107358250901</v>
      </c>
      <c r="BS27" s="22">
        <f t="shared" si="9"/>
        <v>8.6185992036987251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14.8</v>
      </c>
      <c r="BY27" s="12">
        <f>IF('Données projet'!$A$114&gt;35,BY26+BX27-CG26,IF(A27&lt;'Données projet'!$A$114,$BV$205^A27,IF(A27='Données projet'!$A$114,'Données projet'!$B$114,BY26+BX27-CG26)))</f>
        <v>126.19999999999997</v>
      </c>
      <c r="BZ27" s="13">
        <f>BY27*VLOOKUP('Données projet'!$B$12,Paramètres!$A$1:$I$89,3,0)*VLOOKUP('Données projet'!$B$12,Paramètres!$A$1:$I$89,5,0)</f>
        <v>110.24831999999999</v>
      </c>
      <c r="CA27" s="13">
        <f t="shared" si="39"/>
        <v>29.389483021072536</v>
      </c>
      <c r="CB27" s="20">
        <f t="shared" si="10"/>
        <v>243.20250692836802</v>
      </c>
      <c r="CC27" s="59">
        <f t="shared" si="11"/>
        <v>529.20250692836805</v>
      </c>
      <c r="CD27" s="59">
        <f ca="1">AVERAGE(OFFSET($CC$3,0,0,'Données projet'!$E$12+1,1))-AVERAGE(OFFSET($H$3,0,0,'Données projet'!$E$12+1,1))</f>
        <v>384.34044781465661</v>
      </c>
      <c r="CE27" s="59">
        <f t="shared" si="40"/>
        <v>374.99493809709708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7.1705980071097803</v>
      </c>
      <c r="CM27" s="21">
        <f>EXP(-LN(2)/2)*CM26+(1-EXP(-LN(2)/2))/(LN(2)/2)*CG27*CJ27*VLOOKUP('Données projet'!$B$12,Paramètres!$A$1:$I$89,3,0)*0.475*44/12</f>
        <v>2.0945016591181158</v>
      </c>
      <c r="CN27" s="22">
        <f t="shared" si="12"/>
        <v>9.265099666227897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21.61428571428571</v>
      </c>
      <c r="CT27" s="12">
        <f>IF('Données projet'!$A$140&gt;35,CT26+CS27-DB26,IF(A27&lt;'Données projet'!$A$140,$CQ$205^A27,IF(A27='Données projet'!$A$140,'Données projet'!$B$140,CT26+CS27-DB26)))</f>
        <v>195.55285714285711</v>
      </c>
      <c r="CU27" s="17">
        <f>CT27*VLOOKUP('Données projet'!$B$13,Paramètres!$A$1:$I$89,3,0)*VLOOKUP('Données projet'!$B$13,Paramètres!$A$1:$I$89,5,0)</f>
        <v>109.31404714285712</v>
      </c>
      <c r="CV27" s="13">
        <f t="shared" si="41"/>
        <v>29.169309937147133</v>
      </c>
      <c r="CW27" s="20">
        <f t="shared" si="13"/>
        <v>241.19184691434074</v>
      </c>
      <c r="CX27" s="59">
        <f t="shared" si="14"/>
        <v>527.19184691434077</v>
      </c>
      <c r="CY27" s="59">
        <f ca="1">AVERAGE(OFFSET($CX$3,0,0,'Données projet'!$E$13+1,1))-AVERAGE(OFFSET($H$3,0,0,'Données projet'!$E$13+1,1))</f>
        <v>386.66324266750968</v>
      </c>
      <c r="CZ27" s="59">
        <f t="shared" si="42"/>
        <v>356.22149461585769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6.2068722873208797</v>
      </c>
      <c r="DG27" s="21">
        <f>EXP(-LN(2)/25)*DG26+(1-EXP(-LN(2)/25))/(LN(2)/25)*Calculateur!DB27*Calculateur!DD27*VLOOKUP('Données projet'!$B$13,Paramètres!$A$1:$I$89,3,0)*0.475*44/12</f>
        <v>8.9351148305278478</v>
      </c>
      <c r="DH27" s="21">
        <f>EXP(-LN(2)/2)*DH26+(1-EXP(-LN(2)/2))/(LN(2)/2)*DB27*DE27*VLOOKUP('Données projet'!$B$13,Paramètres!$A$1:$I$89,3,0)*0.475*44/12</f>
        <v>5.4931121795033535</v>
      </c>
      <c r="DI27" s="22">
        <f t="shared" si="15"/>
        <v>20.635099297352081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14.8</v>
      </c>
      <c r="DO27" s="12">
        <f>IF('Données projet'!$A$166&gt;35,DO26+DN27-DW26,IF(A27&lt;'Données projet'!$A$166,$DL$205^A27,IF(A27='Données projet'!$A$166,'Données projet'!$B$166,DO26+DN27-DW26)))</f>
        <v>126.19999999999997</v>
      </c>
      <c r="DP27" s="17">
        <f>DO27*VLOOKUP('Données projet'!$B$14,Paramètres!$A$1:$I$89,3,0)*VLOOKUP('Données projet'!$B$14,Paramètres!$A$1:$I$89,5,0)</f>
        <v>98.435999999999979</v>
      </c>
      <c r="DQ27" s="13">
        <f t="shared" si="43"/>
        <v>26.589054965213052</v>
      </c>
      <c r="DR27" s="20">
        <f t="shared" si="16"/>
        <v>217.75197073107935</v>
      </c>
      <c r="DS27" s="59">
        <f t="shared" si="17"/>
        <v>503.75197073107938</v>
      </c>
      <c r="DT27" s="59">
        <f ca="1">AVERAGE(OFFSET($DS$3,0,0,'Données projet'!$E$14+1,1))-AVERAGE(OFFSET($H$3,0,0,'Données projet'!$E$14+1,1))</f>
        <v>347.17417070871716</v>
      </c>
      <c r="DU27" s="59">
        <f t="shared" si="44"/>
        <v>339.56378046986441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5.1943348097324877</v>
      </c>
      <c r="EC27" s="21">
        <f>EXP(-LN(2)/2)*EC26+(1-EXP(-LN(2)/2))/(LN(2)/2)*DW27*DZ27*VLOOKUP('Données projet'!$B$14,Paramètres!$A$1:$I$89,3,0)*0.475*44/12</f>
        <v>1.8700907670697458</v>
      </c>
      <c r="ED27" s="22">
        <f t="shared" si="18"/>
        <v>7.0644255768022335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14.8</v>
      </c>
      <c r="EJ27" s="12">
        <f>IF('Données projet'!$A$192&gt;35,EJ26+EI27-ER26,IF(A27&lt;'Données projet'!$A$192,$EG$205^A27,IF(A27='Données projet'!$A$192,'Données projet'!$B$192,EJ26+EI27-ER26)))</f>
        <v>126.19999999999997</v>
      </c>
      <c r="EK27" s="17">
        <f>EJ27*VLOOKUP('Données projet'!$B$15,Paramètres!$A$1:$I$89,3,0)*VLOOKUP('Données projet'!$B$15,Paramètres!$A$1:$I$89,5,0)</f>
        <v>110.24831999999999</v>
      </c>
      <c r="EL27" s="13">
        <f t="shared" si="45"/>
        <v>29.389483021072536</v>
      </c>
      <c r="EM27" s="20">
        <f t="shared" si="19"/>
        <v>243.20250692836802</v>
      </c>
      <c r="EN27" s="59">
        <f t="shared" si="20"/>
        <v>529.20250692836805</v>
      </c>
      <c r="EO27" s="59">
        <f ca="1">AVERAGE(OFFSET($EN$3,0,0,'Données projet'!$E$15+1,1))-AVERAGE(OFFSET($H$3,0,0,'Données projet'!$E$15+1,1))</f>
        <v>384.34044781465661</v>
      </c>
      <c r="EP27" s="59">
        <f t="shared" si="46"/>
        <v>374.99493809709708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5.8176549869003873</v>
      </c>
      <c r="EX27" s="21">
        <f>EXP(-LN(2)/2)*EX26+(1-EXP(-LN(2)/2))/(LN(2)/2)*ER27*EU27*VLOOKUP('Données projet'!$B$15,Paramètres!$A$1:$I$89,3,0)*0.475*44/12</f>
        <v>2.0945016591181158</v>
      </c>
      <c r="EY27" s="22">
        <f t="shared" si="21"/>
        <v>7.9121566460185031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14.8</v>
      </c>
      <c r="FE27" s="12">
        <f>IF('Données projet'!$A$218&gt;35,FE26+FD27-FM26,IF(A27&lt;'Données projet'!$A$218,$FB$205^A27,IF(A27='Données projet'!$A$218,'Données projet'!$B$218,FE26+FD27-FM26)))</f>
        <v>126.19999999999997</v>
      </c>
      <c r="FF27" s="17">
        <f>FE27*VLOOKUP('Données projet'!$B$16,Paramètres!$A$1:$I$89,3,0)*VLOOKUP('Données projet'!$B$16,Paramètres!$A$1:$I$89,5,0)</f>
        <v>102.37344</v>
      </c>
      <c r="FG27" s="13">
        <f t="shared" si="47"/>
        <v>27.526662647523008</v>
      </c>
      <c r="FH27" s="20">
        <f t="shared" si="22"/>
        <v>226.24267877776924</v>
      </c>
      <c r="FI27" s="59">
        <f t="shared" si="23"/>
        <v>512.24267877776924</v>
      </c>
      <c r="FJ27" s="59">
        <f ca="1">AVERAGE(OFFSET($FI$3,0,0,'Données projet'!$E$16+1,1))-AVERAGE(OFFSET($H$3,0,0,'Données projet'!$E$16+1,1))</f>
        <v>359.57284550600366</v>
      </c>
      <c r="FK27" s="59">
        <f t="shared" si="48"/>
        <v>351.38386928091433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5.4021082021217879</v>
      </c>
      <c r="FS27" s="21">
        <f>EXP(-LN(2)/2)*FS26+(1-EXP(-LN(2)/2))/(LN(2)/2)*FM27*FP27*VLOOKUP('Données projet'!$B$16,Paramètres!$A$1:$I$89,3,0)*0.475*44/12</f>
        <v>1.9448943977525355</v>
      </c>
      <c r="FT27" s="22">
        <f t="shared" si="24"/>
        <v>7.3470025998743234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6">
        <f t="shared" si="1"/>
        <v>256.66666666666669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5.0894117647058819</v>
      </c>
      <c r="N28" s="13">
        <f>IF('Données projet'!$A$36&gt;35,N27+M28-V27,IF(A28&lt;'Données projet'!$A$36,$K$205^A28,IF(A28='Données projet'!$A$36,'Données projet'!$B$36,N27+M28-V27)))</f>
        <v>44.227863504790903</v>
      </c>
      <c r="O28" s="13">
        <f>N28*VLOOKUP('Données projet'!$B$9,Paramètres!$A$1:$I$89,3,0)*VLOOKUP('Données projet'!$B$9,Paramètres!$A$1:$I$89,5,0)</f>
        <v>40.017370899134811</v>
      </c>
      <c r="P28" s="13">
        <f t="shared" si="33"/>
        <v>12.003250949076193</v>
      </c>
      <c r="Q28" s="20">
        <f t="shared" si="2"/>
        <v>90.60258305230083</v>
      </c>
      <c r="R28" s="59">
        <f t="shared" si="0"/>
        <v>377.82480527452304</v>
      </c>
      <c r="S28" s="59">
        <f ca="1">AVERAGE(OFFSET($R$3,0,0,'Données projet'!$E$9+1,1))-AVERAGE(OFFSET($H$3,0,0,'Données projet'!$E$9+1,1))</f>
        <v>695.0879239758051</v>
      </c>
      <c r="T28" s="59">
        <f t="shared" si="34"/>
        <v>226.22150997227476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24.238333333333333</v>
      </c>
      <c r="AI28" s="13">
        <f>IF('Données projet'!$A$62&gt;35,AI27+AH28-AQ27,IF(A28&lt;'Données projet'!$A$62,$AF$205^A28,IF(A28='Données projet'!$A$62,'Données projet'!$B$62,AI27+AH28-AQ27)))</f>
        <v>274.08166666666671</v>
      </c>
      <c r="AJ28" s="13">
        <f>AI28*VLOOKUP('Données projet'!$B$10,Paramètres!$A$1:$I$89,3,0)*VLOOKUP('Données projet'!$B$10,Paramètres!$A$1:$I$89,5,0)</f>
        <v>163.90083666666669</v>
      </c>
      <c r="AK28" s="13">
        <f t="shared" si="35"/>
        <v>41.721122750851265</v>
      </c>
      <c r="AL28" s="20">
        <f t="shared" si="4"/>
        <v>358.12491265217704</v>
      </c>
      <c r="AM28" s="59">
        <f t="shared" si="5"/>
        <v>645.34713487439922</v>
      </c>
      <c r="AN28" s="59">
        <f ca="1">AVERAGE(OFFSET($AM$3,0,0,'Données projet'!$E$10+1,1))-AVERAGE(OFFSET($H$3,0,0,'Données projet'!$E$10+1,1))</f>
        <v>388.12151914648013</v>
      </c>
      <c r="AO28" s="59">
        <f t="shared" si="36"/>
        <v>481.43684454382793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4.4586361744360641</v>
      </c>
      <c r="AV28" s="21">
        <f>EXP(-LN(2)/25)*AV27+(1-EXP(-LN(2)/25))/(LN(2)/25)*Calculateur!AQ28*Calculateur!AS28*VLOOKUP('Données projet'!$B$10,Paramètres!$A$1:$I$89,3,0)*0.475*44/12</f>
        <v>13.119070943771733</v>
      </c>
      <c r="AW28" s="21">
        <f>EXP(-LN(2)/2)*AW27+(1-EXP(-LN(2)/2))/(LN(2)/2)*AQ28*AT28*VLOOKUP('Données projet'!$B$10,Paramètres!$A$1:$I$89,3,0)*0.475*44/12</f>
        <v>3.0428633293523579</v>
      </c>
      <c r="AX28" s="21">
        <f t="shared" si="6"/>
        <v>20.620570447560155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141</v>
      </c>
      <c r="BB28" s="12">
        <f>VLOOKUP(A28,'Données projet'!$A$87:$I$107,9,0)</f>
        <v>14.8</v>
      </c>
      <c r="BC28" s="12">
        <f t="array" ref="BC28">INDEX(BB:BB,MIN(IF(ISNUMBER(BB28:BB224),ROW(BB28:BB224),"")))</f>
        <v>14.8</v>
      </c>
      <c r="BD28" s="12">
        <f>IF('Données projet'!$A$88&gt;35,BD27+BC28-BL27,IF(A28&lt;'Données projet'!$A$88,$BA$205^A28,IF(A28='Données projet'!$A$88,'Données projet'!$B$88,BD27+BC28-BL27)))</f>
        <v>140.99999999999997</v>
      </c>
      <c r="BE28" s="13">
        <f>BD28*VLOOKUP('Données projet'!$B$11,Paramètres!$A$1:$I$89,3,0)*VLOOKUP('Données projet'!$B$11,Paramètres!$A$1:$I$89,5,0)</f>
        <v>134.17559999999997</v>
      </c>
      <c r="BF28" s="13">
        <f t="shared" si="37"/>
        <v>34.959435402722733</v>
      </c>
      <c r="BG28" s="20">
        <f t="shared" si="7"/>
        <v>294.5768533264087</v>
      </c>
      <c r="BH28" s="59">
        <f t="shared" si="8"/>
        <v>581.79907554863098</v>
      </c>
      <c r="BI28" s="59">
        <f ca="1">AVERAGE(OFFSET($BH$3,0,0,'Données projet'!$E$11+1,1))-AVERAGE(OFFSET($H$3,0,0,'Données projet'!$E$11+1,1))</f>
        <v>415.24818074059294</v>
      </c>
      <c r="BJ28" s="59">
        <f t="shared" si="38"/>
        <v>404.45811532046872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35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0.1075</v>
      </c>
      <c r="BO28" s="16">
        <f>IF(ISNA(VLOOKUP(A28,'Données projet'!$A$87:$I$107,7,0)),0%,VLOOKUP(A28,'Données projet'!$A$87:$I$107,7,0))</f>
        <v>0.25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10.106236834691337</v>
      </c>
      <c r="BR28" s="21">
        <f>EXP(-LN(2)/2)*BR27+(1-EXP(-LN(2)/2))/(LN(2)/2)*BL28*BO28*VLOOKUP('Données projet'!$B$11,Paramètres!$A$1:$I$89,3,0)*0.475*44/12</f>
        <v>9.4695485671135966</v>
      </c>
      <c r="BS28" s="22">
        <f t="shared" si="9"/>
        <v>19.575785401804936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141</v>
      </c>
      <c r="BW28" s="12">
        <f>VLOOKUP(A28,'Données projet'!$A$113:$I$133,9,0)</f>
        <v>14.8</v>
      </c>
      <c r="BX28" s="12">
        <f t="array" ref="BX28">INDEX(BW:BW,MIN(IF(ISNUMBER(BW28:BW224),ROW(BW28:BW224),"")))</f>
        <v>14.8</v>
      </c>
      <c r="BY28" s="12">
        <f>IF('Données projet'!$A$114&gt;35,BY27+BX28-CG27,IF(A28&lt;'Données projet'!$A$114,$BV$205^A28,IF(A28='Données projet'!$A$114,'Données projet'!$B$114,BY27+BX28-CG27)))</f>
        <v>140.99999999999997</v>
      </c>
      <c r="BZ28" s="13">
        <f>BY28*VLOOKUP('Données projet'!$B$12,Paramètres!$A$1:$I$89,3,0)*VLOOKUP('Données projet'!$B$12,Paramètres!$A$1:$I$89,5,0)</f>
        <v>123.1776</v>
      </c>
      <c r="CA28" s="13">
        <f t="shared" si="39"/>
        <v>32.414991240570416</v>
      </c>
      <c r="CB28" s="20">
        <f t="shared" si="10"/>
        <v>270.99042974399345</v>
      </c>
      <c r="CC28" s="59">
        <f t="shared" si="11"/>
        <v>558.21265196621562</v>
      </c>
      <c r="CD28" s="59">
        <f ca="1">AVERAGE(OFFSET($CC$3,0,0,'Données projet'!$E$12+1,1))-AVERAGE(OFFSET($H$3,0,0,'Données projet'!$E$12+1,1))</f>
        <v>384.34044781465661</v>
      </c>
      <c r="CE28" s="59">
        <f t="shared" si="40"/>
        <v>374.99493809709708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35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0.13250000000000001</v>
      </c>
      <c r="CJ28" s="16">
        <f>IF(ISNA(VLOOKUP(A28,'Données projet'!$A$113:$I$133,7,0)),0%,VLOOKUP(A28,'Données projet'!$A$113:$I$133,7,0))</f>
        <v>0.25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11.435497874709831</v>
      </c>
      <c r="CM28" s="21">
        <f>EXP(-LN(2)/2)*CM27+(1-EXP(-LN(2)/2))/(LN(2)/2)*CG28*CJ28*VLOOKUP('Données projet'!$B$12,Paramètres!$A$1:$I$89,3,0)*0.475*44/12</f>
        <v>8.6933560616124836</v>
      </c>
      <c r="CN28" s="22">
        <f t="shared" si="12"/>
        <v>20.128853936322315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21.61428571428571</v>
      </c>
      <c r="CT28" s="12">
        <f>IF('Données projet'!$A$140&gt;35,CT27+CS28-DB27,IF(A28&lt;'Données projet'!$A$140,$CQ$205^A28,IF(A28='Données projet'!$A$140,'Données projet'!$B$140,CT27+CS28-DB27)))</f>
        <v>217.16714285714281</v>
      </c>
      <c r="CU28" s="17">
        <f>CT28*VLOOKUP('Données projet'!$B$13,Paramètres!$A$1:$I$89,3,0)*VLOOKUP('Données projet'!$B$13,Paramètres!$A$1:$I$89,5,0)</f>
        <v>121.39643285714283</v>
      </c>
      <c r="CV28" s="13">
        <f t="shared" si="41"/>
        <v>32.00047469196349</v>
      </c>
      <c r="CW28" s="20">
        <f t="shared" si="13"/>
        <v>267.16628064802683</v>
      </c>
      <c r="CX28" s="59">
        <f t="shared" si="14"/>
        <v>554.38850287024911</v>
      </c>
      <c r="CY28" s="59">
        <f ca="1">AVERAGE(OFFSET($CX$3,0,0,'Données projet'!$E$13+1,1))-AVERAGE(OFFSET($H$3,0,0,'Données projet'!$E$13+1,1))</f>
        <v>386.66324266750968</v>
      </c>
      <c r="CZ28" s="59">
        <f t="shared" si="42"/>
        <v>356.22149461585769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6.0851593075847941</v>
      </c>
      <c r="DG28" s="21">
        <f>EXP(-LN(2)/25)*DG27+(1-EXP(-LN(2)/25))/(LN(2)/25)*Calculateur!DB28*Calculateur!DD28*VLOOKUP('Données projet'!$B$13,Paramètres!$A$1:$I$89,3,0)*0.475*44/12</f>
        <v>8.6907836456097964</v>
      </c>
      <c r="DH28" s="21">
        <f>EXP(-LN(2)/2)*DH27+(1-EXP(-LN(2)/2))/(LN(2)/2)*DB28*DE28*VLOOKUP('Données projet'!$B$13,Paramètres!$A$1:$I$89,3,0)*0.475*44/12</f>
        <v>3.8842168719452372</v>
      </c>
      <c r="DI28" s="22">
        <f t="shared" si="15"/>
        <v>18.660159825139829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141</v>
      </c>
      <c r="DM28" s="12">
        <f>VLOOKUP(A28,'Données projet'!$A$165:$I$185,9,0)</f>
        <v>14.8</v>
      </c>
      <c r="DN28" s="12">
        <f t="array" ref="DN28">INDEX(DM:DM,MIN(IF(ISNUMBER(DM28:DM224),ROW(DM28:DM224),"")))</f>
        <v>14.8</v>
      </c>
      <c r="DO28" s="12">
        <f>IF('Données projet'!$A$166&gt;35,DO27+DN28-DW27,IF(A28&lt;'Données projet'!$A$166,$DL$205^A28,IF(A28='Données projet'!$A$166,'Données projet'!$B$166,DO27+DN28-DW27)))</f>
        <v>140.99999999999997</v>
      </c>
      <c r="DP28" s="17">
        <f>DO28*VLOOKUP('Données projet'!$B$14,Paramètres!$A$1:$I$89,3,0)*VLOOKUP('Données projet'!$B$14,Paramètres!$A$1:$I$89,5,0)</f>
        <v>109.97999999999998</v>
      </c>
      <c r="DQ28" s="13">
        <f t="shared" si="43"/>
        <v>29.326272366698234</v>
      </c>
      <c r="DR28" s="20">
        <f t="shared" si="16"/>
        <v>242.62509103866606</v>
      </c>
      <c r="DS28" s="59">
        <f t="shared" si="17"/>
        <v>529.84731326088831</v>
      </c>
      <c r="DT28" s="59">
        <f ca="1">AVERAGE(OFFSET($DS$3,0,0,'Données projet'!$E$14+1,1))-AVERAGE(OFFSET($H$3,0,0,'Données projet'!$E$14+1,1))</f>
        <v>347.17417070871716</v>
      </c>
      <c r="DU28" s="59">
        <f t="shared" si="44"/>
        <v>339.56378046986441</v>
      </c>
      <c r="DV28" s="15">
        <f>IF(ISNA(VLOOKUP(A28,'Données projet'!$A$165:$I$185,3,0)),0,VLOOKUP(A28,'Données projet'!$A$165:$I$185,3,0))</f>
        <v>3</v>
      </c>
      <c r="DW28" s="15">
        <f>IF(ISNA(VLOOKUP(A28,'Données projet'!$A$165:$I$185,4,0)),0,VLOOKUP(A28,'Données projet'!$A$165:$I$185,4,0))</f>
        <v>35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0.1075</v>
      </c>
      <c r="DZ28" s="16">
        <f>IF(ISNA(VLOOKUP(A28,'Données projet'!$A$165:$I$185,7,0)),0%,VLOOKUP(A28,'Données projet'!$A$165:$I$185,7,0))</f>
        <v>0.25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8.2838006841732259</v>
      </c>
      <c r="EC28" s="21">
        <f>EXP(-LN(2)/2)*EC27+(1-EXP(-LN(2)/2))/(LN(2)/2)*DW28*DZ28*VLOOKUP('Données projet'!$B$14,Paramètres!$A$1:$I$89,3,0)*0.475*44/12</f>
        <v>7.7619250550111438</v>
      </c>
      <c r="ED28" s="22">
        <f t="shared" si="18"/>
        <v>16.04572573918437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141</v>
      </c>
      <c r="EH28" s="12">
        <f>VLOOKUP(A28,'Données projet'!$A$191:$I$211,9,0)</f>
        <v>14.8</v>
      </c>
      <c r="EI28" s="12">
        <f t="array" ref="EI28">INDEX(EH:EH,MIN(IF(ISNUMBER(EH28:EH224),ROW(EH28:EH224),"")))</f>
        <v>14.8</v>
      </c>
      <c r="EJ28" s="12">
        <f>IF('Données projet'!$A$192&gt;35,EJ27+EI28-ER27,IF(A28&lt;'Données projet'!$A$192,$EG$205^A28,IF(A28='Données projet'!$A$192,'Données projet'!$B$192,EJ27+EI28-ER27)))</f>
        <v>140.99999999999997</v>
      </c>
      <c r="EK28" s="17">
        <f>EJ28*VLOOKUP('Données projet'!$B$15,Paramètres!$A$1:$I$89,3,0)*VLOOKUP('Données projet'!$B$15,Paramètres!$A$1:$I$89,5,0)</f>
        <v>123.1776</v>
      </c>
      <c r="EL28" s="13">
        <f t="shared" si="45"/>
        <v>32.414991240570416</v>
      </c>
      <c r="EM28" s="20">
        <f t="shared" si="19"/>
        <v>270.99042974399345</v>
      </c>
      <c r="EN28" s="59">
        <f t="shared" si="20"/>
        <v>558.21265196621562</v>
      </c>
      <c r="EO28" s="59">
        <f ca="1">AVERAGE(OFFSET($EN$3,0,0,'Données projet'!$E$15+1,1))-AVERAGE(OFFSET($H$3,0,0,'Données projet'!$E$15+1,1))</f>
        <v>384.34044781465661</v>
      </c>
      <c r="EP28" s="59">
        <f t="shared" si="46"/>
        <v>374.99493809709708</v>
      </c>
      <c r="EQ28" s="15">
        <f>IF(ISNA(VLOOKUP(A28,'Données projet'!$A$191:$I$211,3,0)),0,VLOOKUP(A28,'Données projet'!$A$191:$I$211,3,0))</f>
        <v>3</v>
      </c>
      <c r="ER28" s="15">
        <f>IF(ISNA(VLOOKUP(A28,'Données projet'!$A$191:$I$211,4,0)),0,VLOOKUP(A28,'Données projet'!$A$191:$I$211,4,0))</f>
        <v>35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0.1075</v>
      </c>
      <c r="EU28" s="16">
        <f>IF(ISNA(VLOOKUP(A28,'Données projet'!$A$191:$I$211,7,0)),0%,VLOOKUP(A28,'Données projet'!$A$191:$I$211,7,0))</f>
        <v>0.25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9.2778567662740148</v>
      </c>
      <c r="EX28" s="21">
        <f>EXP(-LN(2)/2)*EX27+(1-EXP(-LN(2)/2))/(LN(2)/2)*ER28*EU28*VLOOKUP('Données projet'!$B$15,Paramètres!$A$1:$I$89,3,0)*0.475*44/12</f>
        <v>8.6933560616124836</v>
      </c>
      <c r="EY28" s="22">
        <f t="shared" si="21"/>
        <v>17.971212827886497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>
        <f>VLOOKUP(A28,'Données projet'!$A$217:$I$237,2,0)</f>
        <v>141</v>
      </c>
      <c r="FC28" s="12">
        <f>VLOOKUP(A28,'Données projet'!$A$217:$I$237,9,0)</f>
        <v>14.8</v>
      </c>
      <c r="FD28" s="12">
        <f t="array" ref="FD28">INDEX(FC:FC,MIN(IF(ISNUMBER(FC28:FC224),ROW(FC28:FC224),"")))</f>
        <v>14.8</v>
      </c>
      <c r="FE28" s="12">
        <f>IF('Données projet'!$A$218&gt;35,FE27+FD28-FM27,IF(A28&lt;'Données projet'!$A$218,$FB$205^A28,IF(A28='Données projet'!$A$218,'Données projet'!$B$218,FE27+FD28-FM27)))</f>
        <v>140.99999999999997</v>
      </c>
      <c r="FF28" s="17">
        <f>FE28*VLOOKUP('Données projet'!$B$16,Paramètres!$A$1:$I$89,3,0)*VLOOKUP('Données projet'!$B$16,Paramètres!$A$1:$I$89,5,0)</f>
        <v>114.3792</v>
      </c>
      <c r="FG28" s="13">
        <f t="shared" si="47"/>
        <v>30.360402323573549</v>
      </c>
      <c r="FH28" s="20">
        <f t="shared" si="22"/>
        <v>252.08814071355724</v>
      </c>
      <c r="FI28" s="59">
        <f t="shared" si="23"/>
        <v>539.31036293577949</v>
      </c>
      <c r="FJ28" s="59">
        <f ca="1">AVERAGE(OFFSET($FI$3,0,0,'Données projet'!$E$16+1,1))-AVERAGE(OFFSET($H$3,0,0,'Données projet'!$E$16+1,1))</f>
        <v>359.57284550600366</v>
      </c>
      <c r="FK28" s="59">
        <f t="shared" si="48"/>
        <v>351.38386928091433</v>
      </c>
      <c r="FL28" s="15">
        <f>IF(ISNA(VLOOKUP(A28,'Données projet'!$A$217:$I$237,3,0)),0,VLOOKUP(A28,'Données projet'!$A$217:$I$237,3,0))</f>
        <v>3</v>
      </c>
      <c r="FM28" s="15">
        <f>IF(ISNA(VLOOKUP(A28,'Données projet'!$A$217:$I$237,4,0)),0,VLOOKUP(A28,'Données projet'!$A$217:$I$237,4,0))</f>
        <v>35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0.1075</v>
      </c>
      <c r="FP28" s="16">
        <f>IF(ISNA(VLOOKUP(A28,'Données projet'!$A$217:$I$237,7,0)),0%,VLOOKUP(A28,'Données projet'!$A$217:$I$237,7,0))</f>
        <v>0.25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8.6151527115401567</v>
      </c>
      <c r="FS28" s="21">
        <f>EXP(-LN(2)/2)*FS27+(1-EXP(-LN(2)/2))/(LN(2)/2)*FM28*FP28*VLOOKUP('Données projet'!$B$16,Paramètres!$A$1:$I$89,3,0)*0.475*44/12</f>
        <v>8.0724020572115904</v>
      </c>
      <c r="FT28" s="22">
        <f t="shared" si="24"/>
        <v>16.687554768751745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6">
        <f t="shared" si="1"/>
        <v>256.66666666666669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5.0894117647058819</v>
      </c>
      <c r="N29" s="13">
        <f>IF('Données projet'!$A$36&gt;35,N28+M29-V28,IF(A29&lt;'Données projet'!$A$36,$K$205^A29,IF(A29='Données projet'!$A$36,'Données projet'!$B$36,N28+M29-V28)))</f>
        <v>51.466400947068237</v>
      </c>
      <c r="O29" s="13">
        <f>N29*VLOOKUP('Données projet'!$B$9,Paramètres!$A$1:$I$89,3,0)*VLOOKUP('Données projet'!$B$9,Paramètres!$A$1:$I$89,5,0)</f>
        <v>46.566799576907343</v>
      </c>
      <c r="P29" s="13">
        <f t="shared" si="33"/>
        <v>13.723483481832947</v>
      </c>
      <c r="Q29" s="20">
        <f t="shared" si="2"/>
        <v>105.005576327306</v>
      </c>
      <c r="R29" s="59">
        <f t="shared" si="0"/>
        <v>393.45002077175047</v>
      </c>
      <c r="S29" s="59">
        <f ca="1">AVERAGE(OFFSET($R$3,0,0,'Données projet'!$E$9+1,1))-AVERAGE(OFFSET($H$3,0,0,'Données projet'!$E$9+1,1))</f>
        <v>695.0879239758051</v>
      </c>
      <c r="T29" s="59">
        <f t="shared" si="34"/>
        <v>226.22150997227476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>
        <f>VLOOKUP(A29,'Données projet'!$A$61:$I$81,2,0)</f>
        <v>298.32</v>
      </c>
      <c r="AG29" s="12">
        <f>VLOOKUP(A29,'Données projet'!$A$61:$I$81,9,0)</f>
        <v>24.238333333333333</v>
      </c>
      <c r="AH29" s="12">
        <f t="array" ref="AH29">INDEX(AG:AG,MIN(IF(ISNUMBER(AG29:AG225),ROW(AG29:AG225),"")))</f>
        <v>24.238333333333333</v>
      </c>
      <c r="AI29" s="13">
        <f>IF('Données projet'!$A$62&gt;35,AI28+AH29-AQ28,IF(A29&lt;'Données projet'!$A$62,$AF$205^A29,IF(A29='Données projet'!$A$62,'Données projet'!$B$62,AI28+AH29-AQ28)))</f>
        <v>298.32000000000005</v>
      </c>
      <c r="AJ29" s="13">
        <f>AI29*VLOOKUP('Données projet'!$B$10,Paramètres!$A$1:$I$89,3,0)*VLOOKUP('Données projet'!$B$10,Paramètres!$A$1:$I$89,5,0)</f>
        <v>178.39536000000007</v>
      </c>
      <c r="AK29" s="13">
        <f t="shared" si="35"/>
        <v>44.964997487846667</v>
      </c>
      <c r="AL29" s="20">
        <f t="shared" si="4"/>
        <v>389.01928929133305</v>
      </c>
      <c r="AM29" s="59">
        <f t="shared" si="5"/>
        <v>677.46373373577751</v>
      </c>
      <c r="AN29" s="59">
        <f ca="1">AVERAGE(OFFSET($AM$3,0,0,'Données projet'!$E$10+1,1))-AVERAGE(OFFSET($H$3,0,0,'Données projet'!$E$10+1,1))</f>
        <v>388.12151914648013</v>
      </c>
      <c r="AO29" s="59">
        <f t="shared" si="36"/>
        <v>481.43684454382793</v>
      </c>
      <c r="AP29" s="15">
        <f>IF(ISNA(VLOOKUP(A29,'Données projet'!$A$61:$I$81,3,0)),0,VLOOKUP(A29,'Données projet'!$A$61:$I$81,3,0))</f>
        <v>3</v>
      </c>
      <c r="AQ29" s="15">
        <f>IF(ISNA(VLOOKUP(A29,'Données projet'!$A$61:$I$81,4,0)),0,VLOOKUP(A29,'Données projet'!$A$61:$I$81,4,0))</f>
        <v>56.150000000000006</v>
      </c>
      <c r="AR29" s="16">
        <f>IF(ISNA(VLOOKUP(A29,'Données projet'!$A$61:$I$81,5,0)),0%,VLOOKUP(A29,'Données projet'!$A$61:$I$81,5,0)*VLOOKUP('Données projet'!$B$10,Paramètres!$A$1:$I$89,7,0))</f>
        <v>0.27</v>
      </c>
      <c r="AS29" s="16">
        <f>IF(ISNA(VLOOKUP(A29,'Données projet'!$A$61:$I$81,6,0)),0%,VLOOKUP(A29,'Données projet'!$A$61:$I$81,6,0)*VLOOKUP('Données projet'!$B$10,Paramètres!$A$1:$I$89,7,0))</f>
        <v>9.0000000000000011E-2</v>
      </c>
      <c r="AT29" s="16">
        <f>IF(ISNA(VLOOKUP(A29,'Données projet'!$A$61:$I$81,7,0)),0%,VLOOKUP(A29,'Données projet'!$A$61:$I$81,7,0))</f>
        <v>0.2</v>
      </c>
      <c r="AU29" s="21">
        <f>EXP(-LN(2)/35)*AU28+(1-EXP(-LN(2)/35))/(LN(2)/35)*AQ29*AR29*VLOOKUP('Données projet'!$B$10,Paramètres!$A$1:$I$89,3,0)*0.475*44/12</f>
        <v>16.397810533716221</v>
      </c>
      <c r="AV29" s="21">
        <f>EXP(-LN(2)/25)*AV28+(1-EXP(-LN(2)/25))/(LN(2)/25)*Calculateur!AQ29*Calculateur!AS29*VLOOKUP('Données projet'!$B$10,Paramètres!$A$1:$I$89,3,0)*0.475*44/12</f>
        <v>16.753413314522639</v>
      </c>
      <c r="AW29" s="21">
        <f>EXP(-LN(2)/2)*AW28+(1-EXP(-LN(2)/2))/(LN(2)/2)*AQ29*AT29*VLOOKUP('Données projet'!$B$10,Paramètres!$A$1:$I$89,3,0)*0.475*44/12</f>
        <v>9.7551805777398108</v>
      </c>
      <c r="AX29" s="21">
        <f t="shared" si="6"/>
        <v>42.906404425978664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14.2</v>
      </c>
      <c r="BD29" s="12">
        <f>IF('Données projet'!$A$88&gt;35,BD28+BC29-BL28,IF(A29&lt;'Données projet'!$A$88,$BA$205^A29,IF(A29='Données projet'!$A$88,'Données projet'!$B$88,BD28+BC29-BL28)))</f>
        <v>120.19999999999996</v>
      </c>
      <c r="BE29" s="13">
        <f>BD29*VLOOKUP('Données projet'!$B$11,Paramètres!$A$1:$I$89,3,0)*VLOOKUP('Données projet'!$B$11,Paramètres!$A$1:$I$89,5,0)</f>
        <v>114.38231999999996</v>
      </c>
      <c r="BF29" s="13">
        <f t="shared" si="37"/>
        <v>30.361134085955022</v>
      </c>
      <c r="BG29" s="20">
        <f t="shared" si="7"/>
        <v>252.09484919970495</v>
      </c>
      <c r="BH29" s="59">
        <f t="shared" si="8"/>
        <v>540.53929364414944</v>
      </c>
      <c r="BI29" s="59">
        <f ca="1">AVERAGE(OFFSET($BH$3,0,0,'Données projet'!$E$11+1,1))-AVERAGE(OFFSET($H$3,0,0,'Données projet'!$E$11+1,1))</f>
        <v>415.24818074059294</v>
      </c>
      <c r="BJ29" s="59">
        <f t="shared" si="38"/>
        <v>404.45811532046872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9.8298812569828051</v>
      </c>
      <c r="BR29" s="21">
        <f>EXP(-LN(2)/2)*BR28+(1-EXP(-LN(2)/2))/(LN(2)/2)*BL29*BO29*VLOOKUP('Données projet'!$B$11,Paramètres!$A$1:$I$89,3,0)*0.475*44/12</f>
        <v>6.6959820065813789</v>
      </c>
      <c r="BS29" s="22">
        <f t="shared" si="9"/>
        <v>16.525863263564183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14.2</v>
      </c>
      <c r="BY29" s="12">
        <f>IF('Données projet'!$A$114&gt;35,BY28+BX29-CG28,IF(A29&lt;'Données projet'!$A$114,$BV$205^A29,IF(A29='Données projet'!$A$114,'Données projet'!$B$114,BY28+BX29-CG28)))</f>
        <v>120.19999999999996</v>
      </c>
      <c r="BZ29" s="13">
        <f>BY29*VLOOKUP('Données projet'!$B$12,Paramètres!$A$1:$I$89,3,0)*VLOOKUP('Données projet'!$B$12,Paramètres!$A$1:$I$89,5,0)</f>
        <v>105.00671999999997</v>
      </c>
      <c r="CA29" s="13">
        <f t="shared" si="39"/>
        <v>28.151366980410856</v>
      </c>
      <c r="CB29" s="20">
        <f t="shared" si="10"/>
        <v>231.91700149088217</v>
      </c>
      <c r="CC29" s="59">
        <f t="shared" si="11"/>
        <v>520.36144593532663</v>
      </c>
      <c r="CD29" s="59">
        <f ca="1">AVERAGE(OFFSET($CC$3,0,0,'Données projet'!$E$12+1,1))-AVERAGE(OFFSET($H$3,0,0,'Données projet'!$E$12+1,1))</f>
        <v>384.34044781465661</v>
      </c>
      <c r="CE29" s="59">
        <f t="shared" si="40"/>
        <v>374.99493809709708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11.122793583959194</v>
      </c>
      <c r="CM29" s="21">
        <f>EXP(-LN(2)/2)*CM28+(1-EXP(-LN(2)/2))/(LN(2)/2)*CG29*CJ29*VLOOKUP('Données projet'!$B$12,Paramètres!$A$1:$I$89,3,0)*0.475*44/12</f>
        <v>6.1471310224353655</v>
      </c>
      <c r="CN29" s="22">
        <f t="shared" si="12"/>
        <v>17.269924606394561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21.61428571428571</v>
      </c>
      <c r="CT29" s="12">
        <f>IF('Données projet'!$A$140&gt;35,CT28+CS29-DB28,IF(A29&lt;'Données projet'!$A$140,$CQ$205^A29,IF(A29='Données projet'!$A$140,'Données projet'!$B$140,CT28+CS29-DB28)))</f>
        <v>238.78142857142851</v>
      </c>
      <c r="CU29" s="17">
        <f>CT29*VLOOKUP('Données projet'!$B$13,Paramètres!$A$1:$I$89,3,0)*VLOOKUP('Données projet'!$B$13,Paramètres!$A$1:$I$89,5,0)</f>
        <v>133.47881857142855</v>
      </c>
      <c r="CV29" s="13">
        <f t="shared" si="41"/>
        <v>34.798972504515248</v>
      </c>
      <c r="CW29" s="20">
        <f t="shared" si="13"/>
        <v>293.08381945726882</v>
      </c>
      <c r="CX29" s="59">
        <f t="shared" si="14"/>
        <v>581.52826390171322</v>
      </c>
      <c r="CY29" s="59">
        <f ca="1">AVERAGE(OFFSET($CX$3,0,0,'Données projet'!$E$13+1,1))-AVERAGE(OFFSET($H$3,0,0,'Données projet'!$E$13+1,1))</f>
        <v>386.66324266750968</v>
      </c>
      <c r="CZ29" s="59">
        <f t="shared" si="42"/>
        <v>356.22149461585769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5.9658330451437456</v>
      </c>
      <c r="DG29" s="21">
        <f>EXP(-LN(2)/25)*DG28+(1-EXP(-LN(2)/25))/(LN(2)/25)*Calculateur!DB29*Calculateur!DD29*VLOOKUP('Données projet'!$B$13,Paramètres!$A$1:$I$89,3,0)*0.475*44/12</f>
        <v>8.453133709792148</v>
      </c>
      <c r="DH29" s="21">
        <f>EXP(-LN(2)/2)*DH28+(1-EXP(-LN(2)/2))/(LN(2)/2)*DB29*DE29*VLOOKUP('Données projet'!$B$13,Paramètres!$A$1:$I$89,3,0)*0.475*44/12</f>
        <v>2.7465560897516772</v>
      </c>
      <c r="DI29" s="22">
        <f t="shared" si="15"/>
        <v>17.165522844687573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14.2</v>
      </c>
      <c r="DO29" s="12">
        <f>IF('Données projet'!$A$166&gt;35,DO28+DN29-DW28,IF(A29&lt;'Données projet'!$A$166,$DL$205^A29,IF(A29='Données projet'!$A$166,'Données projet'!$B$166,DO28+DN29-DW28)))</f>
        <v>120.19999999999996</v>
      </c>
      <c r="DP29" s="17">
        <f>DO29*VLOOKUP('Données projet'!$B$14,Paramètres!$A$1:$I$89,3,0)*VLOOKUP('Données projet'!$B$14,Paramètres!$A$1:$I$89,5,0)</f>
        <v>93.755999999999972</v>
      </c>
      <c r="DQ29" s="13">
        <f t="shared" si="43"/>
        <v>25.46891496700821</v>
      </c>
      <c r="DR29" s="20">
        <f t="shared" si="16"/>
        <v>207.65006023420588</v>
      </c>
      <c r="DS29" s="59">
        <f t="shared" si="17"/>
        <v>496.09450467865031</v>
      </c>
      <c r="DT29" s="59">
        <f ca="1">AVERAGE(OFFSET($DS$3,0,0,'Données projet'!$E$14+1,1))-AVERAGE(OFFSET($H$3,0,0,'Données projet'!$E$14+1,1))</f>
        <v>347.17417070871716</v>
      </c>
      <c r="DU29" s="59">
        <f t="shared" si="44"/>
        <v>339.56378046986441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8.0572797188383642</v>
      </c>
      <c r="EC29" s="21">
        <f>EXP(-LN(2)/2)*EC28+(1-EXP(-LN(2)/2))/(LN(2)/2)*DW29*DZ29*VLOOKUP('Données projet'!$B$14,Paramètres!$A$1:$I$89,3,0)*0.475*44/12</f>
        <v>5.4885098414601465</v>
      </c>
      <c r="ED29" s="22">
        <f t="shared" si="18"/>
        <v>13.545789560298511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14.2</v>
      </c>
      <c r="EJ29" s="12">
        <f>IF('Données projet'!$A$192&gt;35,EJ28+EI29-ER28,IF(A29&lt;'Données projet'!$A$192,$EG$205^A29,IF(A29='Données projet'!$A$192,'Données projet'!$B$192,EJ28+EI29-ER28)))</f>
        <v>120.19999999999996</v>
      </c>
      <c r="EK29" s="17">
        <f>EJ29*VLOOKUP('Données projet'!$B$15,Paramètres!$A$1:$I$89,3,0)*VLOOKUP('Données projet'!$B$15,Paramètres!$A$1:$I$89,5,0)</f>
        <v>105.00671999999997</v>
      </c>
      <c r="EL29" s="13">
        <f t="shared" si="45"/>
        <v>28.151366980410856</v>
      </c>
      <c r="EM29" s="20">
        <f t="shared" si="19"/>
        <v>231.91700149088217</v>
      </c>
      <c r="EN29" s="59">
        <f t="shared" si="20"/>
        <v>520.36144593532663</v>
      </c>
      <c r="EO29" s="59">
        <f ca="1">AVERAGE(OFFSET($EN$3,0,0,'Données projet'!$E$15+1,1))-AVERAGE(OFFSET($H$3,0,0,'Données projet'!$E$15+1,1))</f>
        <v>384.34044781465661</v>
      </c>
      <c r="EP29" s="59">
        <f t="shared" si="46"/>
        <v>374.99493809709708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9.0241532850989685</v>
      </c>
      <c r="EX29" s="21">
        <f>EXP(-LN(2)/2)*EX28+(1-EXP(-LN(2)/2))/(LN(2)/2)*ER29*EU29*VLOOKUP('Données projet'!$B$15,Paramètres!$A$1:$I$89,3,0)*0.475*44/12</f>
        <v>6.1471310224353655</v>
      </c>
      <c r="EY29" s="22">
        <f t="shared" si="21"/>
        <v>15.171284307534334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14.2</v>
      </c>
      <c r="FE29" s="12">
        <f>IF('Données projet'!$A$218&gt;35,FE28+FD29-FM28,IF(A29&lt;'Données projet'!$A$218,$FB$205^A29,IF(A29='Données projet'!$A$218,'Données projet'!$B$218,FE28+FD29-FM28)))</f>
        <v>120.19999999999996</v>
      </c>
      <c r="FF29" s="17">
        <f>FE29*VLOOKUP('Données projet'!$B$16,Paramètres!$A$1:$I$89,3,0)*VLOOKUP('Données projet'!$B$16,Paramètres!$A$1:$I$89,5,0)</f>
        <v>97.506239999999977</v>
      </c>
      <c r="FG29" s="13">
        <f t="shared" si="47"/>
        <v>26.367023243681039</v>
      </c>
      <c r="FH29" s="20">
        <f t="shared" si="22"/>
        <v>215.74593348274445</v>
      </c>
      <c r="FI29" s="59">
        <f t="shared" si="23"/>
        <v>504.19037792718893</v>
      </c>
      <c r="FJ29" s="59">
        <f ca="1">AVERAGE(OFFSET($FI$3,0,0,'Données projet'!$E$16+1,1))-AVERAGE(OFFSET($H$3,0,0,'Données projet'!$E$16+1,1))</f>
        <v>359.57284550600366</v>
      </c>
      <c r="FK29" s="59">
        <f t="shared" si="48"/>
        <v>351.38386928091433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8.3795709075918996</v>
      </c>
      <c r="FS29" s="21">
        <f>EXP(-LN(2)/2)*FS28+(1-EXP(-LN(2)/2))/(LN(2)/2)*FM29*FP29*VLOOKUP('Données projet'!$B$16,Paramètres!$A$1:$I$89,3,0)*0.475*44/12</f>
        <v>5.7080502351185523</v>
      </c>
      <c r="FT29" s="22">
        <f t="shared" si="24"/>
        <v>14.087621142710452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6">
        <f t="shared" si="1"/>
        <v>256.66666666666669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5.0894117647058819</v>
      </c>
      <c r="N30" s="13">
        <f>IF('Données projet'!$A$36&gt;35,N29+M30-V29,IF(A30&lt;'Données projet'!$A$36,$K$205^A30,IF(A30='Données projet'!$A$36,'Données projet'!$B$36,N29+M30-V29)))</f>
        <v>59.889631027676955</v>
      </c>
      <c r="O30" s="13">
        <f>N30*VLOOKUP('Données projet'!$B$9,Paramètres!$A$1:$I$89,3,0)*VLOOKUP('Données projet'!$B$9,Paramètres!$A$1:$I$89,5,0)</f>
        <v>54.188138153842111</v>
      </c>
      <c r="P30" s="13">
        <f t="shared" si="33"/>
        <v>15.690249222910433</v>
      </c>
      <c r="Q30" s="20">
        <f t="shared" si="2"/>
        <v>121.70485801451069</v>
      </c>
      <c r="R30" s="59">
        <f t="shared" si="0"/>
        <v>411.37152468117739</v>
      </c>
      <c r="S30" s="59">
        <f ca="1">AVERAGE(OFFSET($R$3,0,0,'Données projet'!$E$9+1,1))-AVERAGE(OFFSET($H$3,0,0,'Données projet'!$E$9+1,1))</f>
        <v>695.0879239758051</v>
      </c>
      <c r="T30" s="59">
        <f t="shared" si="34"/>
        <v>226.22150997227476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24.998333333333338</v>
      </c>
      <c r="AI30" s="13">
        <f>IF('Données projet'!$A$62&gt;35,AI29+AH30-AQ29,IF(A30&lt;'Données projet'!$A$62,$AF$205^A30,IF(A30='Données projet'!$A$62,'Données projet'!$B$62,AI29+AH30-AQ29)))</f>
        <v>267.16833333333341</v>
      </c>
      <c r="AJ30" s="13">
        <f>AI30*VLOOKUP('Données projet'!$B$10,Paramètres!$A$1:$I$89,3,0)*VLOOKUP('Données projet'!$B$10,Paramètres!$A$1:$I$89,5,0)</f>
        <v>159.76666333333338</v>
      </c>
      <c r="AK30" s="13">
        <f t="shared" si="35"/>
        <v>40.789881200769877</v>
      </c>
      <c r="AL30" s="20">
        <f t="shared" si="4"/>
        <v>349.30264839689653</v>
      </c>
      <c r="AM30" s="59">
        <f t="shared" si="5"/>
        <v>638.96931506356327</v>
      </c>
      <c r="AN30" s="59">
        <f ca="1">AVERAGE(OFFSET($AM$3,0,0,'Données projet'!$E$10+1,1))-AVERAGE(OFFSET($H$3,0,0,'Données projet'!$E$10+1,1))</f>
        <v>388.12151914648013</v>
      </c>
      <c r="AO30" s="59">
        <f t="shared" si="36"/>
        <v>481.43684454382793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16.076259470826887</v>
      </c>
      <c r="AV30" s="21">
        <f>EXP(-LN(2)/25)*AV29+(1-EXP(-LN(2)/25))/(LN(2)/25)*Calculateur!AQ30*Calculateur!AS30*VLOOKUP('Données projet'!$B$10,Paramètres!$A$1:$I$89,3,0)*0.475*44/12</f>
        <v>16.295290346413303</v>
      </c>
      <c r="AW30" s="21">
        <f>EXP(-LN(2)/2)*AW29+(1-EXP(-LN(2)/2))/(LN(2)/2)*AQ30*AT30*VLOOKUP('Données projet'!$B$10,Paramètres!$A$1:$I$89,3,0)*0.475*44/12</f>
        <v>6.8979543382191233</v>
      </c>
      <c r="AX30" s="21">
        <f t="shared" si="6"/>
        <v>39.269504155459316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14.2</v>
      </c>
      <c r="BD30" s="12">
        <f>IF('Données projet'!$A$88&gt;35,BD29+BC30-BL29,IF(A30&lt;'Données projet'!$A$88,$BA$205^A30,IF(A30='Données projet'!$A$88,'Données projet'!$B$88,BD29+BC30-BL29)))</f>
        <v>134.39999999999995</v>
      </c>
      <c r="BE30" s="13">
        <f>BD30*VLOOKUP('Données projet'!$B$11,Paramètres!$A$1:$I$89,3,0)*VLOOKUP('Données projet'!$B$11,Paramètres!$A$1:$I$89,5,0)</f>
        <v>127.89503999999995</v>
      </c>
      <c r="BF30" s="13">
        <f t="shared" si="37"/>
        <v>33.509503727991913</v>
      </c>
      <c r="BG30" s="20">
        <f t="shared" si="7"/>
        <v>281.11291365958584</v>
      </c>
      <c r="BH30" s="59">
        <f t="shared" si="8"/>
        <v>570.77958032625247</v>
      </c>
      <c r="BI30" s="59">
        <f ca="1">AVERAGE(OFFSET($BH$3,0,0,'Données projet'!$E$11+1,1))-AVERAGE(OFFSET($H$3,0,0,'Données projet'!$E$11+1,1))</f>
        <v>415.24818074059294</v>
      </c>
      <c r="BJ30" s="59">
        <f t="shared" si="38"/>
        <v>404.45811532046872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9.5610826370796218</v>
      </c>
      <c r="BR30" s="21">
        <f>EXP(-LN(2)/2)*BR29+(1-EXP(-LN(2)/2))/(LN(2)/2)*BL30*BO30*VLOOKUP('Données projet'!$B$11,Paramètres!$A$1:$I$89,3,0)*0.475*44/12</f>
        <v>4.7347742835567992</v>
      </c>
      <c r="BS30" s="22">
        <f t="shared" si="9"/>
        <v>14.295856920636421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14.2</v>
      </c>
      <c r="BY30" s="12">
        <f>IF('Données projet'!$A$114&gt;35,BY29+BX30-CG29,IF(A30&lt;'Données projet'!$A$114,$BV$205^A30,IF(A30='Données projet'!$A$114,'Données projet'!$B$114,BY29+BX30-CG29)))</f>
        <v>134.39999999999995</v>
      </c>
      <c r="BZ30" s="13">
        <f>BY30*VLOOKUP('Données projet'!$B$12,Paramètres!$A$1:$I$89,3,0)*VLOOKUP('Données projet'!$B$12,Paramètres!$A$1:$I$89,5,0)</f>
        <v>117.41183999999997</v>
      </c>
      <c r="CA30" s="13">
        <f t="shared" si="39"/>
        <v>31.070589593507044</v>
      </c>
      <c r="CB30" s="20">
        <f t="shared" si="10"/>
        <v>258.60689820869135</v>
      </c>
      <c r="CC30" s="59">
        <f t="shared" si="11"/>
        <v>548.27356487535803</v>
      </c>
      <c r="CD30" s="59">
        <f ca="1">AVERAGE(OFFSET($CC$3,0,0,'Données projet'!$E$12+1,1))-AVERAGE(OFFSET($H$3,0,0,'Données projet'!$E$12+1,1))</f>
        <v>384.34044781465661</v>
      </c>
      <c r="CE30" s="59">
        <f t="shared" si="40"/>
        <v>374.99493809709708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10.818640208483536</v>
      </c>
      <c r="CM30" s="21">
        <f>EXP(-LN(2)/2)*CM29+(1-EXP(-LN(2)/2))/(LN(2)/2)*CG30*CJ30*VLOOKUP('Données projet'!$B$12,Paramètres!$A$1:$I$89,3,0)*0.475*44/12</f>
        <v>4.3466780308062427</v>
      </c>
      <c r="CN30" s="22">
        <f t="shared" si="12"/>
        <v>15.165318239289778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21.61428571428571</v>
      </c>
      <c r="CT30" s="12">
        <f>IF('Données projet'!$A$140&gt;35,CT29+CS30-DB29,IF(A30&lt;'Données projet'!$A$140,$CQ$205^A30,IF(A30='Données projet'!$A$140,'Données projet'!$B$140,CT29+CS30-DB29)))</f>
        <v>260.39571428571423</v>
      </c>
      <c r="CU30" s="17">
        <f>CT30*VLOOKUP('Données projet'!$B$13,Paramètres!$A$1:$I$89,3,0)*VLOOKUP('Données projet'!$B$13,Paramètres!$A$1:$I$89,5,0)</f>
        <v>145.56120428571427</v>
      </c>
      <c r="CV30" s="13">
        <f t="shared" si="41"/>
        <v>37.568096638366988</v>
      </c>
      <c r="CW30" s="20">
        <f t="shared" si="13"/>
        <v>318.95019910944154</v>
      </c>
      <c r="CX30" s="59">
        <f t="shared" si="14"/>
        <v>608.61686577610817</v>
      </c>
      <c r="CY30" s="59">
        <f ca="1">AVERAGE(OFFSET($CX$3,0,0,'Données projet'!$E$13+1,1))-AVERAGE(OFFSET($H$3,0,0,'Données projet'!$E$13+1,1))</f>
        <v>386.66324266750968</v>
      </c>
      <c r="CZ30" s="59">
        <f t="shared" si="42"/>
        <v>356.22149461585769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5.8488466979273328</v>
      </c>
      <c r="DG30" s="21">
        <f>EXP(-LN(2)/25)*DG29+(1-EXP(-LN(2)/25))/(LN(2)/25)*Calculateur!DB30*Calculateur!DD30*VLOOKUP('Données projet'!$B$13,Paramètres!$A$1:$I$89,3,0)*0.475*44/12</f>
        <v>8.2219823239669001</v>
      </c>
      <c r="DH30" s="21">
        <f>EXP(-LN(2)/2)*DH29+(1-EXP(-LN(2)/2))/(LN(2)/2)*DB30*DE30*VLOOKUP('Données projet'!$B$13,Paramètres!$A$1:$I$89,3,0)*0.475*44/12</f>
        <v>1.9421084359726188</v>
      </c>
      <c r="DI30" s="22">
        <f t="shared" si="15"/>
        <v>16.012937457866851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14.2</v>
      </c>
      <c r="DO30" s="12">
        <f>IF('Données projet'!$A$166&gt;35,DO29+DN30-DW29,IF(A30&lt;'Données projet'!$A$166,$DL$205^A30,IF(A30='Données projet'!$A$166,'Données projet'!$B$166,DO29+DN30-DW29)))</f>
        <v>134.39999999999995</v>
      </c>
      <c r="DP30" s="17">
        <f>DO30*VLOOKUP('Données projet'!$B$14,Paramètres!$A$1:$I$89,3,0)*VLOOKUP('Données projet'!$B$14,Paramètres!$A$1:$I$89,5,0)</f>
        <v>104.83199999999997</v>
      </c>
      <c r="DQ30" s="13">
        <f t="shared" si="43"/>
        <v>28.109974371137692</v>
      </c>
      <c r="DR30" s="20">
        <f t="shared" si="16"/>
        <v>231.54060536306474</v>
      </c>
      <c r="DS30" s="59">
        <f t="shared" si="17"/>
        <v>521.20727202973148</v>
      </c>
      <c r="DT30" s="59">
        <f ca="1">AVERAGE(OFFSET($DS$3,0,0,'Données projet'!$E$14+1,1))-AVERAGE(OFFSET($H$3,0,0,'Données projet'!$E$14+1,1))</f>
        <v>347.17417070871716</v>
      </c>
      <c r="DU30" s="59">
        <f t="shared" si="44"/>
        <v>339.56378046986441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7.8369529812128036</v>
      </c>
      <c r="EC30" s="21">
        <f>EXP(-LN(2)/2)*EC29+(1-EXP(-LN(2)/2))/(LN(2)/2)*DW30*DZ30*VLOOKUP('Données projet'!$B$14,Paramètres!$A$1:$I$89,3,0)*0.475*44/12</f>
        <v>3.8809625275055728</v>
      </c>
      <c r="ED30" s="22">
        <f t="shared" si="18"/>
        <v>11.717915508718377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14.2</v>
      </c>
      <c r="EJ30" s="12">
        <f>IF('Données projet'!$A$192&gt;35,EJ29+EI30-ER29,IF(A30&lt;'Données projet'!$A$192,$EG$205^A30,IF(A30='Données projet'!$A$192,'Données projet'!$B$192,EJ29+EI30-ER29)))</f>
        <v>134.39999999999995</v>
      </c>
      <c r="EK30" s="17">
        <f>EJ30*VLOOKUP('Données projet'!$B$15,Paramètres!$A$1:$I$89,3,0)*VLOOKUP('Données projet'!$B$15,Paramètres!$A$1:$I$89,5,0)</f>
        <v>117.41183999999997</v>
      </c>
      <c r="EL30" s="13">
        <f t="shared" si="45"/>
        <v>31.070589593507044</v>
      </c>
      <c r="EM30" s="20">
        <f t="shared" si="19"/>
        <v>258.60689820869135</v>
      </c>
      <c r="EN30" s="59">
        <f t="shared" si="20"/>
        <v>548.27356487535803</v>
      </c>
      <c r="EO30" s="59">
        <f ca="1">AVERAGE(OFFSET($EN$3,0,0,'Données projet'!$E$15+1,1))-AVERAGE(OFFSET($H$3,0,0,'Données projet'!$E$15+1,1))</f>
        <v>384.34044781465661</v>
      </c>
      <c r="EP30" s="59">
        <f t="shared" si="46"/>
        <v>374.99493809709708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8.7773873389583414</v>
      </c>
      <c r="EX30" s="21">
        <f>EXP(-LN(2)/2)*EX29+(1-EXP(-LN(2)/2))/(LN(2)/2)*ER30*EU30*VLOOKUP('Données projet'!$B$15,Paramètres!$A$1:$I$89,3,0)*0.475*44/12</f>
        <v>4.3466780308062427</v>
      </c>
      <c r="EY30" s="22">
        <f t="shared" si="21"/>
        <v>13.124065369764583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14.2</v>
      </c>
      <c r="FE30" s="12">
        <f>IF('Données projet'!$A$218&gt;35,FE29+FD30-FM29,IF(A30&lt;'Données projet'!$A$218,$FB$205^A30,IF(A30='Données projet'!$A$218,'Données projet'!$B$218,FE29+FD30-FM29)))</f>
        <v>134.39999999999995</v>
      </c>
      <c r="FF30" s="17">
        <f>FE30*VLOOKUP('Données projet'!$B$16,Paramètres!$A$1:$I$89,3,0)*VLOOKUP('Données projet'!$B$16,Paramètres!$A$1:$I$89,5,0)</f>
        <v>109.02527999999997</v>
      </c>
      <c r="FG30" s="13">
        <f t="shared" si="47"/>
        <v>29.101214110737224</v>
      </c>
      <c r="FH30" s="20">
        <f t="shared" si="22"/>
        <v>240.57031057620057</v>
      </c>
      <c r="FI30" s="59">
        <f t="shared" si="23"/>
        <v>530.23697724286728</v>
      </c>
      <c r="FJ30" s="59">
        <f ca="1">AVERAGE(OFFSET($FI$3,0,0,'Données projet'!$E$16+1,1))-AVERAGE(OFFSET($H$3,0,0,'Données projet'!$E$16+1,1))</f>
        <v>359.57284550600366</v>
      </c>
      <c r="FK30" s="59">
        <f t="shared" si="48"/>
        <v>351.38386928091433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8.1504311004613168</v>
      </c>
      <c r="FS30" s="21">
        <f>EXP(-LN(2)/2)*FS29+(1-EXP(-LN(2)/2))/(LN(2)/2)*FM30*FP30*VLOOKUP('Données projet'!$B$16,Paramètres!$A$1:$I$89,3,0)*0.475*44/12</f>
        <v>4.0362010286057952</v>
      </c>
      <c r="FT30" s="22">
        <f t="shared" si="24"/>
        <v>12.186632129067112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6">
        <f t="shared" si="1"/>
        <v>256.66666666666669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5.0894117647058819</v>
      </c>
      <c r="N31" s="13">
        <f>IF('Données projet'!$A$36&gt;35,N30+M31-V30,IF(A31&lt;'Données projet'!$A$36,$K$205^A31,IF(A31='Données projet'!$A$36,'Données projet'!$B$36,N30+M31-V30)))</f>
        <v>69.691446043024783</v>
      </c>
      <c r="O31" s="13">
        <f>N31*VLOOKUP('Données projet'!$B$9,Paramètres!$A$1:$I$89,3,0)*VLOOKUP('Données projet'!$B$9,Paramètres!$A$1:$I$89,5,0)</f>
        <v>63.056820379728819</v>
      </c>
      <c r="P31" s="13">
        <f t="shared" si="33"/>
        <v>17.938879804310467</v>
      </c>
      <c r="Q31" s="20">
        <f t="shared" si="2"/>
        <v>141.06751115386842</v>
      </c>
      <c r="R31" s="59">
        <f t="shared" si="0"/>
        <v>431.95640004275731</v>
      </c>
      <c r="S31" s="59">
        <f ca="1">AVERAGE(OFFSET($R$3,0,0,'Données projet'!$E$9+1,1))-AVERAGE(OFFSET($H$3,0,0,'Données projet'!$E$9+1,1))</f>
        <v>695.0879239758051</v>
      </c>
      <c r="T31" s="59">
        <f t="shared" si="34"/>
        <v>226.22150997227476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24.998333333333338</v>
      </c>
      <c r="AI31" s="13">
        <f>IF('Données projet'!$A$62&gt;35,AI30+AH31-AQ30,IF(A31&lt;'Données projet'!$A$62,$AF$205^A31,IF(A31='Données projet'!$A$62,'Données projet'!$B$62,AI30+AH31-AQ30)))</f>
        <v>292.16666666666674</v>
      </c>
      <c r="AJ31" s="13">
        <f>AI31*VLOOKUP('Données projet'!$B$10,Paramètres!$A$1:$I$89,3,0)*VLOOKUP('Données projet'!$B$10,Paramètres!$A$1:$I$89,5,0)</f>
        <v>174.71566666666672</v>
      </c>
      <c r="AK31" s="13">
        <f t="shared" si="35"/>
        <v>44.144488319820347</v>
      </c>
      <c r="AL31" s="20">
        <f t="shared" si="4"/>
        <v>381.18143660146501</v>
      </c>
      <c r="AM31" s="59">
        <f t="shared" si="5"/>
        <v>672.07032549035387</v>
      </c>
      <c r="AN31" s="59">
        <f ca="1">AVERAGE(OFFSET($AM$3,0,0,'Données projet'!$E$10+1,1))-AVERAGE(OFFSET($H$3,0,0,'Données projet'!$E$10+1,1))</f>
        <v>388.12151914648013</v>
      </c>
      <c r="AO31" s="59">
        <f t="shared" si="36"/>
        <v>481.43684454382793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15.761013828154031</v>
      </c>
      <c r="AV31" s="21">
        <f>EXP(-LN(2)/25)*AV30+(1-EXP(-LN(2)/25))/(LN(2)/25)*Calculateur!AQ31*Calculateur!AS31*VLOOKUP('Données projet'!$B$10,Paramètres!$A$1:$I$89,3,0)*0.475*44/12</f>
        <v>15.849694774958555</v>
      </c>
      <c r="AW31" s="21">
        <f>EXP(-LN(2)/2)*AW30+(1-EXP(-LN(2)/2))/(LN(2)/2)*AQ31*AT31*VLOOKUP('Données projet'!$B$10,Paramètres!$A$1:$I$89,3,0)*0.475*44/12</f>
        <v>4.8775902888699063</v>
      </c>
      <c r="AX31" s="21">
        <f t="shared" si="6"/>
        <v>36.488298891982488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14.2</v>
      </c>
      <c r="BD31" s="12">
        <f>IF('Données projet'!$A$88&gt;35,BD30+BC31-BL30,IF(A31&lt;'Données projet'!$A$88,$BA$205^A31,IF(A31='Données projet'!$A$88,'Données projet'!$B$88,BD30+BC31-BL30)))</f>
        <v>148.59999999999994</v>
      </c>
      <c r="BE31" s="13">
        <f>BD31*VLOOKUP('Données projet'!$B$11,Paramètres!$A$1:$I$89,3,0)*VLOOKUP('Données projet'!$B$11,Paramètres!$A$1:$I$89,5,0)</f>
        <v>141.40775999999994</v>
      </c>
      <c r="BF31" s="13">
        <f t="shared" si="37"/>
        <v>36.619315510870308</v>
      </c>
      <c r="BG31" s="20">
        <f t="shared" si="7"/>
        <v>310.06382318143233</v>
      </c>
      <c r="BH31" s="59">
        <f t="shared" si="8"/>
        <v>600.95271207032124</v>
      </c>
      <c r="BI31" s="59">
        <f ca="1">AVERAGE(OFFSET($BH$3,0,0,'Données projet'!$E$11+1,1))-AVERAGE(OFFSET($H$3,0,0,'Données projet'!$E$11+1,1))</f>
        <v>415.24818074059294</v>
      </c>
      <c r="BJ31" s="59">
        <f t="shared" si="38"/>
        <v>404.45811532046872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9.2996343295731965</v>
      </c>
      <c r="BR31" s="21">
        <f>EXP(-LN(2)/2)*BR30+(1-EXP(-LN(2)/2))/(LN(2)/2)*BL31*BO31*VLOOKUP('Données projet'!$B$11,Paramètres!$A$1:$I$89,3,0)*0.475*44/12</f>
        <v>3.3479910032906903</v>
      </c>
      <c r="BS31" s="22">
        <f t="shared" si="9"/>
        <v>12.647625332863887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14.2</v>
      </c>
      <c r="BY31" s="12">
        <f>IF('Données projet'!$A$114&gt;35,BY30+BX31-CG30,IF(A31&lt;'Données projet'!$A$114,$BV$205^A31,IF(A31='Données projet'!$A$114,'Données projet'!$B$114,BY30+BX31-CG30)))</f>
        <v>148.59999999999994</v>
      </c>
      <c r="BZ31" s="13">
        <f>BY31*VLOOKUP('Données projet'!$B$12,Paramètres!$A$1:$I$89,3,0)*VLOOKUP('Données projet'!$B$12,Paramètres!$A$1:$I$89,5,0)</f>
        <v>129.81695999999997</v>
      </c>
      <c r="CA31" s="13">
        <f t="shared" si="39"/>
        <v>33.954060694815986</v>
      </c>
      <c r="CB31" s="20">
        <f t="shared" si="10"/>
        <v>285.23452771013774</v>
      </c>
      <c r="CC31" s="59">
        <f t="shared" si="11"/>
        <v>576.12341659902654</v>
      </c>
      <c r="CD31" s="59">
        <f ca="1">AVERAGE(OFFSET($CC$3,0,0,'Données projet'!$E$12+1,1))-AVERAGE(OFFSET($H$3,0,0,'Données projet'!$E$12+1,1))</f>
        <v>384.34044781465661</v>
      </c>
      <c r="CE31" s="59">
        <f t="shared" si="40"/>
        <v>374.99493809709708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10.522803923054992</v>
      </c>
      <c r="CM31" s="21">
        <f>EXP(-LN(2)/2)*CM30+(1-EXP(-LN(2)/2))/(LN(2)/2)*CG31*CJ31*VLOOKUP('Données projet'!$B$12,Paramètres!$A$1:$I$89,3,0)*0.475*44/12</f>
        <v>3.0735655112176832</v>
      </c>
      <c r="CN31" s="22">
        <f t="shared" si="12"/>
        <v>13.596369434272676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>
        <f>VLOOKUP(A31,'Données projet'!$A$139:$I$159,2,0)</f>
        <v>282.01</v>
      </c>
      <c r="CR31" s="12">
        <f>VLOOKUP(A31,'Données projet'!$A$139:$I$159,9,0)</f>
        <v>21.61428571428571</v>
      </c>
      <c r="CS31" s="12">
        <f t="array" ref="CS31">INDEX(CR:CR,MIN(IF(ISNUMBER(CR31:CR227),ROW(CR31:CR227),"")))</f>
        <v>21.61428571428571</v>
      </c>
      <c r="CT31" s="12">
        <f>IF('Données projet'!$A$140&gt;35,CT30+CS31-DB30,IF(A31&lt;'Données projet'!$A$140,$CQ$205^A31,IF(A31='Données projet'!$A$140,'Données projet'!$B$140,CT30+CS31-DB30)))</f>
        <v>282.00999999999993</v>
      </c>
      <c r="CU31" s="17">
        <f>CT31*VLOOKUP('Données projet'!$B$13,Paramètres!$A$1:$I$89,3,0)*VLOOKUP('Données projet'!$B$13,Paramètres!$A$1:$I$89,5,0)</f>
        <v>157.64358999999996</v>
      </c>
      <c r="CV31" s="13">
        <f t="shared" si="41"/>
        <v>40.310562469543989</v>
      </c>
      <c r="CW31" s="20">
        <f t="shared" si="13"/>
        <v>344.77014888445569</v>
      </c>
      <c r="CX31" s="59">
        <f t="shared" si="14"/>
        <v>635.65903777334461</v>
      </c>
      <c r="CY31" s="59">
        <f ca="1">AVERAGE(OFFSET($CX$3,0,0,'Données projet'!$E$13+1,1))-AVERAGE(OFFSET($H$3,0,0,'Données projet'!$E$13+1,1))</f>
        <v>386.66324266750968</v>
      </c>
      <c r="CZ31" s="59">
        <f t="shared" si="42"/>
        <v>356.22149461585769</v>
      </c>
      <c r="DA31" s="15">
        <f>IF(ISNA(VLOOKUP(A31,'Données projet'!$A$139:$I$159,3,0)),0,VLOOKUP(A31,'Données projet'!$A$139:$I$159,3,0))</f>
        <v>2</v>
      </c>
      <c r="DB31" s="15">
        <f>IF(ISNA(VLOOKUP(A31,'Données projet'!$A$139:$I$159,4,0)),0,VLOOKUP(A31,'Données projet'!$A$139:$I$159,4,0))</f>
        <v>67.639999999999986</v>
      </c>
      <c r="DC31" s="16">
        <f>IF(ISNA(VLOOKUP(A31,'Données projet'!$A$139:$I$159,5,0)),0%,VLOOKUP(A31,'Données projet'!$A$139:$I$159,5,0)*VLOOKUP('Données projet'!$B$13,Paramètres!$A$1:$I$89,7,0))</f>
        <v>0.13750000000000001</v>
      </c>
      <c r="DD31" s="16">
        <f>IF(ISNA(VLOOKUP(A31,'Données projet'!$A$139:$I$159,6,0)),0%,VLOOKUP(A31,'Données projet'!$A$139:$I$159,6,0)*VLOOKUP('Données projet'!$B$13,Paramètres!$A$1:$I$89,7,0))</f>
        <v>0.20350000000000001</v>
      </c>
      <c r="DE31" s="16">
        <f>IF(ISNA(VLOOKUP(A31,'Données projet'!$A$139:$I$159,7,0)),0%,VLOOKUP(A31,'Données projet'!$A$139:$I$159,7,0))</f>
        <v>0.38</v>
      </c>
      <c r="DF31" s="21">
        <f>EXP(-LN(2)/35)*DF30+(1-EXP(-LN(2)/35))/(LN(2)/35)*DB31*DC31*VLOOKUP('Données projet'!$B$13,Paramètres!$A$1:$I$89,3,0)*0.475*44/12</f>
        <v>12.630935790884042</v>
      </c>
      <c r="DG31" s="21">
        <f>EXP(-LN(2)/25)*DG30+(1-EXP(-LN(2)/25))/(LN(2)/25)*Calculateur!DB31*Calculateur!DD31*VLOOKUP('Données projet'!$B$13,Paramètres!$A$1:$I$89,3,0)*0.475*44/12</f>
        <v>18.164198491339612</v>
      </c>
      <c r="DH31" s="21">
        <f>EXP(-LN(2)/2)*DH30+(1-EXP(-LN(2)/2))/(LN(2)/2)*DB31*DE31*VLOOKUP('Données projet'!$B$13,Paramètres!$A$1:$I$89,3,0)*0.475*44/12</f>
        <v>17.641292237964119</v>
      </c>
      <c r="DI31" s="22">
        <f t="shared" si="15"/>
        <v>48.436426520187773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14.2</v>
      </c>
      <c r="DO31" s="12">
        <f>IF('Données projet'!$A$166&gt;35,DO30+DN31-DW30,IF(A31&lt;'Données projet'!$A$166,$DL$205^A31,IF(A31='Données projet'!$A$166,'Données projet'!$B$166,DO30+DN31-DW30)))</f>
        <v>148.59999999999994</v>
      </c>
      <c r="DP31" s="17">
        <f>DO31*VLOOKUP('Données projet'!$B$14,Paramètres!$A$1:$I$89,3,0)*VLOOKUP('Données projet'!$B$14,Paramètres!$A$1:$I$89,5,0)</f>
        <v>115.90799999999996</v>
      </c>
      <c r="DQ31" s="13">
        <f t="shared" si="43"/>
        <v>30.718688908522875</v>
      </c>
      <c r="DR31" s="20">
        <f t="shared" si="16"/>
        <v>255.37481651567725</v>
      </c>
      <c r="DS31" s="59">
        <f t="shared" si="17"/>
        <v>546.26370540456605</v>
      </c>
      <c r="DT31" s="59">
        <f ca="1">AVERAGE(OFFSET($DS$3,0,0,'Données projet'!$E$14+1,1))-AVERAGE(OFFSET($H$3,0,0,'Données projet'!$E$14+1,1))</f>
        <v>347.17417070871716</v>
      </c>
      <c r="DU31" s="59">
        <f t="shared" si="44"/>
        <v>339.56378046986441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7.6226510898140942</v>
      </c>
      <c r="EC31" s="21">
        <f>EXP(-LN(2)/2)*EC30+(1-EXP(-LN(2)/2))/(LN(2)/2)*DW31*DZ31*VLOOKUP('Données projet'!$B$14,Paramètres!$A$1:$I$89,3,0)*0.475*44/12</f>
        <v>2.7442549207300737</v>
      </c>
      <c r="ED31" s="22">
        <f t="shared" si="18"/>
        <v>10.366906010544168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14.2</v>
      </c>
      <c r="EJ31" s="12">
        <f>IF('Données projet'!$A$192&gt;35,EJ30+EI31-ER30,IF(A31&lt;'Données projet'!$A$192,$EG$205^A31,IF(A31='Données projet'!$A$192,'Données projet'!$B$192,EJ30+EI31-ER30)))</f>
        <v>148.59999999999994</v>
      </c>
      <c r="EK31" s="17">
        <f>EJ31*VLOOKUP('Données projet'!$B$15,Paramètres!$A$1:$I$89,3,0)*VLOOKUP('Données projet'!$B$15,Paramètres!$A$1:$I$89,5,0)</f>
        <v>129.81695999999997</v>
      </c>
      <c r="EL31" s="13">
        <f t="shared" si="45"/>
        <v>33.954060694815986</v>
      </c>
      <c r="EM31" s="20">
        <f t="shared" si="19"/>
        <v>285.23452771013774</v>
      </c>
      <c r="EN31" s="59">
        <f t="shared" si="20"/>
        <v>576.12341659902654</v>
      </c>
      <c r="EO31" s="59">
        <f ca="1">AVERAGE(OFFSET($EN$3,0,0,'Données projet'!$E$15+1,1))-AVERAGE(OFFSET($H$3,0,0,'Données projet'!$E$15+1,1))</f>
        <v>384.34044781465661</v>
      </c>
      <c r="EP31" s="59">
        <f t="shared" si="46"/>
        <v>374.99493809709708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8.5373692205917866</v>
      </c>
      <c r="EX31" s="21">
        <f>EXP(-LN(2)/2)*EX30+(1-EXP(-LN(2)/2))/(LN(2)/2)*ER31*EU31*VLOOKUP('Données projet'!$B$15,Paramètres!$A$1:$I$89,3,0)*0.475*44/12</f>
        <v>3.0735655112176832</v>
      </c>
      <c r="EY31" s="22">
        <f t="shared" si="21"/>
        <v>11.61093473180947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14.2</v>
      </c>
      <c r="FE31" s="12">
        <f>IF('Données projet'!$A$218&gt;35,FE30+FD31-FM30,IF(A31&lt;'Données projet'!$A$218,$FB$205^A31,IF(A31='Données projet'!$A$218,'Données projet'!$B$218,FE30+FD31-FM30)))</f>
        <v>148.59999999999994</v>
      </c>
      <c r="FF31" s="17">
        <f>FE31*VLOOKUP('Données projet'!$B$16,Paramètres!$A$1:$I$89,3,0)*VLOOKUP('Données projet'!$B$16,Paramètres!$A$1:$I$89,5,0)</f>
        <v>120.54431999999997</v>
      </c>
      <c r="FG31" s="13">
        <f t="shared" si="47"/>
        <v>31.80191953664422</v>
      </c>
      <c r="FH31" s="20">
        <f t="shared" si="22"/>
        <v>265.33636719298863</v>
      </c>
      <c r="FI31" s="59">
        <f t="shared" si="23"/>
        <v>556.22525608187743</v>
      </c>
      <c r="FJ31" s="59">
        <f ca="1">AVERAGE(OFFSET($FI$3,0,0,'Données projet'!$E$16+1,1))-AVERAGE(OFFSET($H$3,0,0,'Données projet'!$E$16+1,1))</f>
        <v>359.57284550600366</v>
      </c>
      <c r="FK31" s="59">
        <f t="shared" si="48"/>
        <v>351.38386928091433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7.9275571334066584</v>
      </c>
      <c r="FS31" s="21">
        <f>EXP(-LN(2)/2)*FS30+(1-EXP(-LN(2)/2))/(LN(2)/2)*FM31*FP31*VLOOKUP('Données projet'!$B$16,Paramètres!$A$1:$I$89,3,0)*0.475*44/12</f>
        <v>2.8540251175592761</v>
      </c>
      <c r="FT31" s="22">
        <f t="shared" si="24"/>
        <v>10.781582250965934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6">
        <f t="shared" si="1"/>
        <v>256.66666666666669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5.0894117647058819</v>
      </c>
      <c r="N32" s="13">
        <f>IF('Données projet'!$A$36&gt;35,N31+M32-V31,IF(A32&lt;'Données projet'!$A$36,$K$205^A32,IF(A32='Données projet'!$A$36,'Données projet'!$B$36,N31+M32-V31)))</f>
        <v>81.097471602777176</v>
      </c>
      <c r="O32" s="13">
        <f>N32*VLOOKUP('Données projet'!$B$9,Paramètres!$A$1:$I$89,3,0)*VLOOKUP('Données projet'!$B$9,Paramètres!$A$1:$I$89,5,0)</f>
        <v>73.37699230619279</v>
      </c>
      <c r="P32" s="13">
        <f t="shared" si="33"/>
        <v>20.509770371499922</v>
      </c>
      <c r="Q32" s="20">
        <f t="shared" si="2"/>
        <v>163.51944499698146</v>
      </c>
      <c r="R32" s="59">
        <f t="shared" si="0"/>
        <v>455.63055610809261</v>
      </c>
      <c r="S32" s="59">
        <f ca="1">AVERAGE(OFFSET($R$3,0,0,'Données projet'!$E$9+1,1))-AVERAGE(OFFSET($H$3,0,0,'Données projet'!$E$9+1,1))</f>
        <v>695.0879239758051</v>
      </c>
      <c r="T32" s="59">
        <f t="shared" si="34"/>
        <v>226.22150997227476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24.998333333333338</v>
      </c>
      <c r="AI32" s="13">
        <f>IF('Données projet'!$A$62&gt;35,AI31+AH32-AQ31,IF(A32&lt;'Données projet'!$A$62,$AF$205^A32,IF(A32='Données projet'!$A$62,'Données projet'!$B$62,AI31+AH32-AQ31)))</f>
        <v>317.16500000000008</v>
      </c>
      <c r="AJ32" s="13">
        <f>AI32*VLOOKUP('Données projet'!$B$10,Paramètres!$A$1:$I$89,3,0)*VLOOKUP('Données projet'!$B$10,Paramètres!$A$1:$I$89,5,0)</f>
        <v>189.66467000000006</v>
      </c>
      <c r="AK32" s="13">
        <f t="shared" si="35"/>
        <v>47.465808529218805</v>
      </c>
      <c r="AL32" s="20">
        <f t="shared" si="4"/>
        <v>413.00225010505613</v>
      </c>
      <c r="AM32" s="59">
        <f t="shared" si="5"/>
        <v>705.11336121616728</v>
      </c>
      <c r="AN32" s="59">
        <f ca="1">AVERAGE(OFFSET($AM$3,0,0,'Données projet'!$E$10+1,1))-AVERAGE(OFFSET($H$3,0,0,'Données projet'!$E$10+1,1))</f>
        <v>388.12151914648013</v>
      </c>
      <c r="AO32" s="59">
        <f t="shared" si="36"/>
        <v>481.43684454382793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15.451949960253135</v>
      </c>
      <c r="AV32" s="21">
        <f>EXP(-LN(2)/25)*AV31+(1-EXP(-LN(2)/25))/(LN(2)/25)*Calculateur!AQ32*Calculateur!AS32*VLOOKUP('Données projet'!$B$10,Paramètres!$A$1:$I$89,3,0)*0.475*44/12</f>
        <v>15.416284037838091</v>
      </c>
      <c r="AW32" s="21">
        <f>EXP(-LN(2)/2)*AW31+(1-EXP(-LN(2)/2))/(LN(2)/2)*AQ32*AT32*VLOOKUP('Données projet'!$B$10,Paramètres!$A$1:$I$89,3,0)*0.475*44/12</f>
        <v>3.4489771691095621</v>
      </c>
      <c r="AX32" s="21">
        <f t="shared" si="6"/>
        <v>34.317211167200789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14.2</v>
      </c>
      <c r="BD32" s="12">
        <f>IF('Données projet'!$A$88&gt;35,BD31+BC32-BL31,IF(A32&lt;'Données projet'!$A$88,$BA$205^A32,IF(A32='Données projet'!$A$88,'Données projet'!$B$88,BD31+BC32-BL31)))</f>
        <v>162.79999999999993</v>
      </c>
      <c r="BE32" s="13">
        <f>BD32*VLOOKUP('Données projet'!$B$11,Paramètres!$A$1:$I$89,3,0)*VLOOKUP('Données projet'!$B$11,Paramètres!$A$1:$I$89,5,0)</f>
        <v>154.92047999999994</v>
      </c>
      <c r="BF32" s="13">
        <f t="shared" si="37"/>
        <v>39.694673172843629</v>
      </c>
      <c r="BG32" s="20">
        <f t="shared" si="7"/>
        <v>338.95472510936924</v>
      </c>
      <c r="BH32" s="59">
        <f t="shared" si="8"/>
        <v>631.06583622048038</v>
      </c>
      <c r="BI32" s="59">
        <f ca="1">AVERAGE(OFFSET($BH$3,0,0,'Données projet'!$E$11+1,1))-AVERAGE(OFFSET($H$3,0,0,'Données projet'!$E$11+1,1))</f>
        <v>415.24818074059294</v>
      </c>
      <c r="BJ32" s="59">
        <f t="shared" si="38"/>
        <v>404.45811532046872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9.0453353397845024</v>
      </c>
      <c r="BR32" s="21">
        <f>EXP(-LN(2)/2)*BR31+(1-EXP(-LN(2)/2))/(LN(2)/2)*BL32*BO32*VLOOKUP('Données projet'!$B$11,Paramètres!$A$1:$I$89,3,0)*0.475*44/12</f>
        <v>2.3673871417784</v>
      </c>
      <c r="BS32" s="22">
        <f t="shared" si="9"/>
        <v>11.412722481562902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14.2</v>
      </c>
      <c r="BY32" s="12">
        <f>IF('Données projet'!$A$114&gt;35,BY31+BX32-CG31,IF(A32&lt;'Données projet'!$A$114,$BV$205^A32,IF(A32='Données projet'!$A$114,'Données projet'!$B$114,BY31+BX32-CG31)))</f>
        <v>162.79999999999993</v>
      </c>
      <c r="BZ32" s="13">
        <f>BY32*VLOOKUP('Données projet'!$B$12,Paramètres!$A$1:$I$89,3,0)*VLOOKUP('Données projet'!$B$12,Paramètres!$A$1:$I$89,5,0)</f>
        <v>142.22207999999995</v>
      </c>
      <c r="CA32" s="13">
        <f t="shared" si="39"/>
        <v>36.805585341198615</v>
      </c>
      <c r="CB32" s="20">
        <f t="shared" si="10"/>
        <v>311.80651713592084</v>
      </c>
      <c r="CC32" s="59">
        <f t="shared" si="11"/>
        <v>603.91762824703198</v>
      </c>
      <c r="CD32" s="59">
        <f ca="1">AVERAGE(OFFSET($CC$3,0,0,'Données projet'!$E$12+1,1))-AVERAGE(OFFSET($H$3,0,0,'Données projet'!$E$12+1,1))</f>
        <v>384.34044781465661</v>
      </c>
      <c r="CE32" s="59">
        <f t="shared" si="40"/>
        <v>374.99493809709708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10.235057296408845</v>
      </c>
      <c r="CM32" s="21">
        <f>EXP(-LN(2)/2)*CM31+(1-EXP(-LN(2)/2))/(LN(2)/2)*CG32*CJ32*VLOOKUP('Données projet'!$B$12,Paramètres!$A$1:$I$89,3,0)*0.475*44/12</f>
        <v>2.1733390154031214</v>
      </c>
      <c r="CN32" s="22">
        <f t="shared" si="12"/>
        <v>12.408396311811966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23.265714285714289</v>
      </c>
      <c r="CT32" s="12">
        <f>IF('Données projet'!$A$140&gt;35,CT31+CS32-DB31,IF(A32&lt;'Données projet'!$A$140,$CQ$205^A32,IF(A32='Données projet'!$A$140,'Données projet'!$B$140,CT31+CS32-DB31)))</f>
        <v>237.63571428571424</v>
      </c>
      <c r="CU32" s="17">
        <f>CT32*VLOOKUP('Données projet'!$B$13,Paramètres!$A$1:$I$89,3,0)*VLOOKUP('Données projet'!$B$13,Paramètres!$A$1:$I$89,5,0)</f>
        <v>132.83836428571425</v>
      </c>
      <c r="CV32" s="13">
        <f t="shared" si="41"/>
        <v>34.651395262904387</v>
      </c>
      <c r="CW32" s="20">
        <f t="shared" si="13"/>
        <v>291.71133121384406</v>
      </c>
      <c r="CX32" s="59">
        <f t="shared" si="14"/>
        <v>583.8224423249552</v>
      </c>
      <c r="CY32" s="59">
        <f ca="1">AVERAGE(OFFSET($CX$3,0,0,'Données projet'!$E$13+1,1))-AVERAGE(OFFSET($H$3,0,0,'Données projet'!$E$13+1,1))</f>
        <v>386.66324266750968</v>
      </c>
      <c r="CZ32" s="59">
        <f t="shared" si="42"/>
        <v>356.22149461585769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12.38325084413492</v>
      </c>
      <c r="DG32" s="21">
        <f>EXP(-LN(2)/25)*DG31+(1-EXP(-LN(2)/25))/(LN(2)/25)*Calculateur!DB32*Calculateur!DD32*VLOOKUP('Données projet'!$B$13,Paramètres!$A$1:$I$89,3,0)*0.475*44/12</f>
        <v>17.667497528380245</v>
      </c>
      <c r="DH32" s="21">
        <f>EXP(-LN(2)/2)*DH31+(1-EXP(-LN(2)/2))/(LN(2)/2)*DB32*DE32*VLOOKUP('Données projet'!$B$13,Paramètres!$A$1:$I$89,3,0)*0.475*44/12</f>
        <v>12.474277370358035</v>
      </c>
      <c r="DI32" s="22">
        <f t="shared" si="15"/>
        <v>42.525025742873197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14.2</v>
      </c>
      <c r="DO32" s="12">
        <f>IF('Données projet'!$A$166&gt;35,DO31+DN32-DW31,IF(A32&lt;'Données projet'!$A$166,$DL$205^A32,IF(A32='Données projet'!$A$166,'Données projet'!$B$166,DO31+DN32-DW31)))</f>
        <v>162.79999999999993</v>
      </c>
      <c r="DP32" s="17">
        <f>DO32*VLOOKUP('Données projet'!$B$14,Paramètres!$A$1:$I$89,3,0)*VLOOKUP('Données projet'!$B$14,Paramètres!$A$1:$I$89,5,0)</f>
        <v>126.98399999999995</v>
      </c>
      <c r="DQ32" s="13">
        <f t="shared" si="43"/>
        <v>33.298501064557207</v>
      </c>
      <c r="DR32" s="20">
        <f t="shared" si="16"/>
        <v>279.15868935410367</v>
      </c>
      <c r="DS32" s="59">
        <f t="shared" si="17"/>
        <v>571.26980046521476</v>
      </c>
      <c r="DT32" s="59">
        <f ca="1">AVERAGE(OFFSET($DS$3,0,0,'Données projet'!$E$14+1,1))-AVERAGE(OFFSET($H$3,0,0,'Données projet'!$E$14+1,1))</f>
        <v>347.17417070871716</v>
      </c>
      <c r="DU32" s="59">
        <f t="shared" si="44"/>
        <v>339.56378046986441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7.4142092949053291</v>
      </c>
      <c r="EC32" s="21">
        <f>EXP(-LN(2)/2)*EC31+(1-EXP(-LN(2)/2))/(LN(2)/2)*DW32*DZ32*VLOOKUP('Données projet'!$B$14,Paramètres!$A$1:$I$89,3,0)*0.475*44/12</f>
        <v>1.9404812637527866</v>
      </c>
      <c r="ED32" s="22">
        <f t="shared" si="18"/>
        <v>9.3546905586581151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14.2</v>
      </c>
      <c r="EJ32" s="12">
        <f>IF('Données projet'!$A$192&gt;35,EJ31+EI32-ER31,IF(A32&lt;'Données projet'!$A$192,$EG$205^A32,IF(A32='Données projet'!$A$192,'Données projet'!$B$192,EJ31+EI32-ER31)))</f>
        <v>162.79999999999993</v>
      </c>
      <c r="EK32" s="17">
        <f>EJ32*VLOOKUP('Données projet'!$B$15,Paramètres!$A$1:$I$89,3,0)*VLOOKUP('Données projet'!$B$15,Paramètres!$A$1:$I$89,5,0)</f>
        <v>142.22207999999995</v>
      </c>
      <c r="EL32" s="13">
        <f t="shared" si="45"/>
        <v>36.805585341198615</v>
      </c>
      <c r="EM32" s="20">
        <f t="shared" si="19"/>
        <v>311.80651713592084</v>
      </c>
      <c r="EN32" s="59">
        <f t="shared" si="20"/>
        <v>603.91762824703198</v>
      </c>
      <c r="EO32" s="59">
        <f ca="1">AVERAGE(OFFSET($EN$3,0,0,'Données projet'!$E$15+1,1))-AVERAGE(OFFSET($H$3,0,0,'Données projet'!$E$15+1,1))</f>
        <v>384.34044781465661</v>
      </c>
      <c r="EP32" s="59">
        <f t="shared" si="46"/>
        <v>374.99493809709708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8.3039144102939701</v>
      </c>
      <c r="EX32" s="21">
        <f>EXP(-LN(2)/2)*EX31+(1-EXP(-LN(2)/2))/(LN(2)/2)*ER32*EU32*VLOOKUP('Données projet'!$B$15,Paramètres!$A$1:$I$89,3,0)*0.475*44/12</f>
        <v>2.1733390154031214</v>
      </c>
      <c r="EY32" s="22">
        <f t="shared" si="21"/>
        <v>10.477253425697091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14.2</v>
      </c>
      <c r="FE32" s="12">
        <f>IF('Données projet'!$A$218&gt;35,FE31+FD32-FM31,IF(A32&lt;'Données projet'!$A$218,$FB$205^A32,IF(A32='Données projet'!$A$218,'Données projet'!$B$218,FE31+FD32-FM31)))</f>
        <v>162.79999999999993</v>
      </c>
      <c r="FF32" s="17">
        <f>FE32*VLOOKUP('Données projet'!$B$16,Paramètres!$A$1:$I$89,3,0)*VLOOKUP('Données projet'!$B$16,Paramètres!$A$1:$I$89,5,0)</f>
        <v>132.06335999999996</v>
      </c>
      <c r="FG32" s="13">
        <f t="shared" si="47"/>
        <v>34.472703398877925</v>
      </c>
      <c r="FH32" s="20">
        <f t="shared" si="22"/>
        <v>290.05031041971233</v>
      </c>
      <c r="FI32" s="59">
        <f t="shared" si="23"/>
        <v>582.16142153082342</v>
      </c>
      <c r="FJ32" s="59">
        <f ca="1">AVERAGE(OFFSET($FI$3,0,0,'Données projet'!$E$16+1,1))-AVERAGE(OFFSET($H$3,0,0,'Données projet'!$E$16+1,1))</f>
        <v>359.57284550600366</v>
      </c>
      <c r="FK32" s="59">
        <f t="shared" si="48"/>
        <v>351.38386928091433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7.7107776667015422</v>
      </c>
      <c r="FS32" s="21">
        <f>EXP(-LN(2)/2)*FS31+(1-EXP(-LN(2)/2))/(LN(2)/2)*FM32*FP32*VLOOKUP('Données projet'!$B$16,Paramètres!$A$1:$I$89,3,0)*0.475*44/12</f>
        <v>2.0181005143028976</v>
      </c>
      <c r="FT32" s="22">
        <f t="shared" si="24"/>
        <v>9.7288781810044398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6">
        <f t="shared" si="1"/>
        <v>256.66666666666669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5.0894117647058819</v>
      </c>
      <c r="N33" s="13">
        <f>IF('Données projet'!$A$36&gt;35,N32+M33-V32,IF(A33&lt;'Données projet'!$A$36,$K$205^A33,IF(A33='Données projet'!$A$36,'Données projet'!$B$36,N32+M33-V32)))</f>
        <v>94.370260251207753</v>
      </c>
      <c r="O33" s="13">
        <f>N33*VLOOKUP('Données projet'!$B$9,Paramètres!$A$1:$I$89,3,0)*VLOOKUP('Données projet'!$B$9,Paramètres!$A$1:$I$89,5,0)</f>
        <v>85.386211475292768</v>
      </c>
      <c r="P33" s="13">
        <f t="shared" si="33"/>
        <v>23.449105255199921</v>
      </c>
      <c r="Q33" s="20">
        <f t="shared" si="2"/>
        <v>189.5548433056081</v>
      </c>
      <c r="R33" s="59">
        <f t="shared" si="0"/>
        <v>482.88817663894145</v>
      </c>
      <c r="S33" s="59">
        <f ca="1">AVERAGE(OFFSET($R$3,0,0,'Données projet'!$E$9+1,1))-AVERAGE(OFFSET($H$3,0,0,'Données projet'!$E$9+1,1))</f>
        <v>695.0879239758051</v>
      </c>
      <c r="T33" s="59">
        <f t="shared" si="34"/>
        <v>226.22150997227476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24.998333333333338</v>
      </c>
      <c r="AI33" s="13">
        <f>IF('Données projet'!$A$62&gt;35,AI32+AH33-AQ32,IF(A33&lt;'Données projet'!$A$62,$AF$205^A33,IF(A33='Données projet'!$A$62,'Données projet'!$B$62,AI32+AH33-AQ32)))</f>
        <v>342.16333333333341</v>
      </c>
      <c r="AJ33" s="13">
        <f>AI33*VLOOKUP('Données projet'!$B$10,Paramètres!$A$1:$I$89,3,0)*VLOOKUP('Données projet'!$B$10,Paramètres!$A$1:$I$89,5,0)</f>
        <v>204.6136733333334</v>
      </c>
      <c r="AK33" s="13">
        <f t="shared" si="35"/>
        <v>50.756763725323886</v>
      </c>
      <c r="AL33" s="20">
        <f t="shared" si="4"/>
        <v>444.77017787716136</v>
      </c>
      <c r="AM33" s="59">
        <f t="shared" si="5"/>
        <v>738.10351121049462</v>
      </c>
      <c r="AN33" s="59">
        <f ca="1">AVERAGE(OFFSET($AM$3,0,0,'Données projet'!$E$10+1,1))-AVERAGE(OFFSET($H$3,0,0,'Données projet'!$E$10+1,1))</f>
        <v>388.12151914648013</v>
      </c>
      <c r="AO33" s="59">
        <f t="shared" si="36"/>
        <v>481.43684454382793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15.14894664629143</v>
      </c>
      <c r="AV33" s="21">
        <f>EXP(-LN(2)/25)*AV32+(1-EXP(-LN(2)/25))/(LN(2)/25)*Calculateur!AQ33*Calculateur!AS33*VLOOKUP('Données projet'!$B$10,Paramètres!$A$1:$I$89,3,0)*0.475*44/12</f>
        <v>14.994724940116265</v>
      </c>
      <c r="AW33" s="21">
        <f>EXP(-LN(2)/2)*AW32+(1-EXP(-LN(2)/2))/(LN(2)/2)*AQ33*AT33*VLOOKUP('Données projet'!$B$10,Paramètres!$A$1:$I$89,3,0)*0.475*44/12</f>
        <v>2.4387951444349536</v>
      </c>
      <c r="AX33" s="21">
        <f t="shared" si="6"/>
        <v>32.582466730842647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177</v>
      </c>
      <c r="BB33" s="12">
        <f>VLOOKUP(A33,'Données projet'!$A$87:$I$107,9,0)</f>
        <v>14.2</v>
      </c>
      <c r="BC33" s="12">
        <f t="array" ref="BC33">INDEX(BB:BB,MIN(IF(ISNUMBER(BB33:BB229),ROW(BB33:BB229),"")))</f>
        <v>14.2</v>
      </c>
      <c r="BD33" s="12">
        <f>IF('Données projet'!$A$88&gt;35,BD32+BC33-BL32,IF(A33&lt;'Données projet'!$A$88,$BA$205^A33,IF(A33='Données projet'!$A$88,'Données projet'!$B$88,BD32+BC33-BL32)))</f>
        <v>176.99999999999991</v>
      </c>
      <c r="BE33" s="13">
        <f>BD33*VLOOKUP('Données projet'!$B$11,Paramètres!$A$1:$I$89,3,0)*VLOOKUP('Données projet'!$B$11,Paramètres!$A$1:$I$89,5,0)</f>
        <v>168.43319999999991</v>
      </c>
      <c r="BF33" s="13">
        <f t="shared" si="37"/>
        <v>42.738923628977389</v>
      </c>
      <c r="BG33" s="20">
        <f t="shared" si="7"/>
        <v>367.79144865380209</v>
      </c>
      <c r="BH33" s="59">
        <f t="shared" si="8"/>
        <v>661.12478198713541</v>
      </c>
      <c r="BI33" s="59">
        <f ca="1">AVERAGE(OFFSET($BH$3,0,0,'Données projet'!$E$11+1,1))-AVERAGE(OFFSET($H$3,0,0,'Données projet'!$E$11+1,1))</f>
        <v>415.24818074059294</v>
      </c>
      <c r="BJ33" s="59">
        <f t="shared" si="38"/>
        <v>404.45811532046872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35</v>
      </c>
      <c r="BM33" s="16">
        <f>IF(ISNA(VLOOKUP(A33,'Données projet'!$A$87:$I$107,5,0)),0%,VLOOKUP(A33,'Données projet'!$A$87:$I$107,5,0)*VLOOKUP('Données projet'!$B$11,Paramètres!$A$1:$I$89,7,0))</f>
        <v>0.1075</v>
      </c>
      <c r="BN33" s="16">
        <f>IF(ISNA(VLOOKUP(A33,'Données projet'!$A$87:$I$107,6,0)),0%,VLOOKUP(A33,'Données projet'!$A$87:$I$107,6,0)*VLOOKUP('Données projet'!$B$11,Paramètres!$A$1:$I$89,7,0))</f>
        <v>0.1075</v>
      </c>
      <c r="BO33" s="16">
        <f>IF(ISNA(VLOOKUP(A33,'Données projet'!$A$87:$I$107,7,0)),0%,VLOOKUP(A33,'Données projet'!$A$87:$I$107,7,0))</f>
        <v>0.25</v>
      </c>
      <c r="BP33" s="21">
        <f>EXP(-LN(2)/35)*BP32+(1-EXP(-LN(2)/35))/(LN(2)/35)*BL33*BM33*VLOOKUP('Données projet'!$B$11,Paramètres!$A$1:$I$89,3,0)*0.475*44/12</f>
        <v>3.9580206195278769</v>
      </c>
      <c r="BQ33" s="21">
        <f>EXP(-LN(2)/25)*BQ32+(1-EXP(-LN(2)/25))/(LN(2)/25)*Calculateur!BL33*Calculateur!BN33*VLOOKUP('Données projet'!$B$11,Paramètres!$A$1:$I$89,3,0)*0.475*44/12</f>
        <v>12.740426553469288</v>
      </c>
      <c r="BR33" s="21">
        <f>EXP(-LN(2)/2)*BR32+(1-EXP(-LN(2)/2))/(LN(2)/2)*BL33*BO33*VLOOKUP('Données projet'!$B$11,Paramètres!$A$1:$I$89,3,0)*0.475*44/12</f>
        <v>9.5302723561071119</v>
      </c>
      <c r="BS33" s="22">
        <f t="shared" si="9"/>
        <v>26.228719529104275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177</v>
      </c>
      <c r="BW33" s="12">
        <f>VLOOKUP(A33,'Données projet'!$A$113:$I$133,9,0)</f>
        <v>14.2</v>
      </c>
      <c r="BX33" s="12">
        <f t="array" ref="BX33">INDEX(BW:BW,MIN(IF(ISNUMBER(BW33:BW229),ROW(BW33:BW229),"")))</f>
        <v>14.2</v>
      </c>
      <c r="BY33" s="12">
        <f>IF('Données projet'!$A$114&gt;35,BY32+BX33-CG32,IF(A33&lt;'Données projet'!$A$114,$BV$205^A33,IF(A33='Données projet'!$A$114,'Données projet'!$B$114,BY32+BX33-CG32)))</f>
        <v>176.99999999999991</v>
      </c>
      <c r="BZ33" s="13">
        <f>BY33*VLOOKUP('Données projet'!$B$12,Paramètres!$A$1:$I$89,3,0)*VLOOKUP('Données projet'!$B$12,Paramètres!$A$1:$I$89,5,0)</f>
        <v>154.62719999999996</v>
      </c>
      <c r="CA33" s="13">
        <f t="shared" si="39"/>
        <v>39.62826685000794</v>
      </c>
      <c r="CB33" s="20">
        <f t="shared" si="10"/>
        <v>338.32827143043039</v>
      </c>
      <c r="CC33" s="59">
        <f t="shared" si="11"/>
        <v>631.66160476376376</v>
      </c>
      <c r="CD33" s="59">
        <f ca="1">AVERAGE(OFFSET($CC$3,0,0,'Données projet'!$E$12+1,1))-AVERAGE(OFFSET($H$3,0,0,'Données projet'!$E$12+1,1))</f>
        <v>384.34044781465661</v>
      </c>
      <c r="CE33" s="59">
        <f t="shared" si="40"/>
        <v>374.99493809709708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35</v>
      </c>
      <c r="CH33" s="16">
        <f>IF(ISNA(VLOOKUP(A33,'Données projet'!$A$113:$I$133,5,0)),0%,VLOOKUP(A33,'Données projet'!$A$113:$I$133,5,0)*VLOOKUP('Données projet'!$B$12,Paramètres!$A$1:$I$89,7,0))</f>
        <v>0.13250000000000001</v>
      </c>
      <c r="CI33" s="16">
        <f>IF(ISNA(VLOOKUP(A33,'Données projet'!$A$113:$I$133,6,0)),0%,VLOOKUP(A33,'Données projet'!$A$113:$I$133,6,0)*VLOOKUP('Données projet'!$B$12,Paramètres!$A$1:$I$89,7,0))</f>
        <v>0.13250000000000001</v>
      </c>
      <c r="CJ33" s="16">
        <f>IF(ISNA(VLOOKUP(A33,'Données projet'!$A$113:$I$133,7,0)),0%,VLOOKUP(A33,'Données projet'!$A$113:$I$133,7,0))</f>
        <v>0.25</v>
      </c>
      <c r="CK33" s="21">
        <f>EXP(-LN(2)/35)*CK32+(1-EXP(-LN(2)/35))/(LN(2)/35)*CG33*CH33*VLOOKUP('Données projet'!$B$12,Paramètres!$A$1:$I$89,3,0)*0.475*44/12</f>
        <v>4.4786142580094328</v>
      </c>
      <c r="CL33" s="21">
        <f>EXP(-LN(2)/25)*CL32+(1-EXP(-LN(2)/25))/(LN(2)/25)*Calculateur!CG33*Calculateur!CI33*VLOOKUP('Données projet'!$B$12,Paramètres!$A$1:$I$89,3,0)*0.475*44/12</f>
        <v>14.416159363590104</v>
      </c>
      <c r="CM33" s="21">
        <f>EXP(-LN(2)/2)*CM32+(1-EXP(-LN(2)/2))/(LN(2)/2)*CG33*CJ33*VLOOKUP('Données projet'!$B$12,Paramètres!$A$1:$I$89,3,0)*0.475*44/12</f>
        <v>8.7491024908524295</v>
      </c>
      <c r="CN33" s="22">
        <f t="shared" si="12"/>
        <v>27.643876112451967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23.265714285714289</v>
      </c>
      <c r="CT33" s="12">
        <f>IF('Données projet'!$A$140&gt;35,CT32+CS33-DB32,IF(A33&lt;'Données projet'!$A$140,$CQ$205^A33,IF(A33='Données projet'!$A$140,'Données projet'!$B$140,CT32+CS33-DB32)))</f>
        <v>260.90142857142854</v>
      </c>
      <c r="CU33" s="17">
        <f>CT33*VLOOKUP('Données projet'!$B$13,Paramètres!$A$1:$I$89,3,0)*VLOOKUP('Données projet'!$B$13,Paramètres!$A$1:$I$89,5,0)</f>
        <v>145.84389857142855</v>
      </c>
      <c r="CV33" s="13">
        <f t="shared" si="41"/>
        <v>37.632557667341459</v>
      </c>
      <c r="CW33" s="20">
        <f t="shared" si="13"/>
        <v>319.55482794919106</v>
      </c>
      <c r="CX33" s="59">
        <f t="shared" si="14"/>
        <v>612.88816128252438</v>
      </c>
      <c r="CY33" s="59">
        <f ca="1">AVERAGE(OFFSET($CX$3,0,0,'Données projet'!$E$13+1,1))-AVERAGE(OFFSET($H$3,0,0,'Données projet'!$E$13+1,1))</f>
        <v>386.66324266750968</v>
      </c>
      <c r="CZ33" s="59">
        <f t="shared" si="42"/>
        <v>356.22149461585769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12.14042284811865</v>
      </c>
      <c r="DG33" s="21">
        <f>EXP(-LN(2)/25)*DG32+(1-EXP(-LN(2)/25))/(LN(2)/25)*Calculateur!DB33*Calculateur!DD33*VLOOKUP('Données projet'!$B$13,Paramètres!$A$1:$I$89,3,0)*0.475*44/12</f>
        <v>17.184378879373373</v>
      </c>
      <c r="DH33" s="21">
        <f>EXP(-LN(2)/2)*DH32+(1-EXP(-LN(2)/2))/(LN(2)/2)*DB33*DE33*VLOOKUP('Données projet'!$B$13,Paramètres!$A$1:$I$89,3,0)*0.475*44/12</f>
        <v>8.8206461189820615</v>
      </c>
      <c r="DI33" s="22">
        <f t="shared" si="15"/>
        <v>38.145447846474084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177</v>
      </c>
      <c r="DM33" s="12">
        <f>VLOOKUP(A33,'Données projet'!$A$165:$I$185,9,0)</f>
        <v>14.2</v>
      </c>
      <c r="DN33" s="12">
        <f t="array" ref="DN33">INDEX(DM:DM,MIN(IF(ISNUMBER(DM33:DM229),ROW(DM33:DM229),"")))</f>
        <v>14.2</v>
      </c>
      <c r="DO33" s="12">
        <f>IF('Données projet'!$A$166&gt;35,DO32+DN33-DW32,IF(A33&lt;'Données projet'!$A$166,$DL$205^A33,IF(A33='Données projet'!$A$166,'Données projet'!$B$166,DO32+DN33-DW32)))</f>
        <v>176.99999999999991</v>
      </c>
      <c r="DP33" s="17">
        <f>DO33*VLOOKUP('Données projet'!$B$14,Paramètres!$A$1:$I$89,3,0)*VLOOKUP('Données projet'!$B$14,Paramètres!$A$1:$I$89,5,0)</f>
        <v>138.05999999999995</v>
      </c>
      <c r="DQ33" s="13">
        <f t="shared" si="43"/>
        <v>35.85221845159689</v>
      </c>
      <c r="DR33" s="20">
        <f t="shared" si="16"/>
        <v>302.89711380319778</v>
      </c>
      <c r="DS33" s="59">
        <f t="shared" si="17"/>
        <v>596.2304471365311</v>
      </c>
      <c r="DT33" s="59">
        <f ca="1">AVERAGE(OFFSET($DS$3,0,0,'Données projet'!$E$14+1,1))-AVERAGE(OFFSET($H$3,0,0,'Données projet'!$E$14+1,1))</f>
        <v>347.17417070871716</v>
      </c>
      <c r="DU33" s="59">
        <f t="shared" si="44"/>
        <v>339.56378046986441</v>
      </c>
      <c r="DV33" s="15">
        <f>IF(ISNA(VLOOKUP(A33,'Données projet'!$A$165:$I$185,3,0)),0,VLOOKUP(A33,'Données projet'!$A$165:$I$185,3,0))</f>
        <v>4</v>
      </c>
      <c r="DW33" s="15">
        <f>IF(ISNA(VLOOKUP(A33,'Données projet'!$A$165:$I$185,4,0)),0,VLOOKUP(A33,'Données projet'!$A$165:$I$185,4,0))</f>
        <v>35</v>
      </c>
      <c r="DX33" s="16">
        <f>IF(ISNA(VLOOKUP(A33,'Données projet'!$A$165:$I$185,5,0)),0%,VLOOKUP(A33,'Données projet'!$A$165:$I$185,5,0)*VLOOKUP('Données projet'!$B$14,Paramètres!$A$1:$I$89,7,0))</f>
        <v>0.1075</v>
      </c>
      <c r="DY33" s="16">
        <f>IF(ISNA(VLOOKUP(A33,'Données projet'!$A$165:$I$185,6,0)),0%,VLOOKUP(A33,'Données projet'!$A$165:$I$185,6,0)*VLOOKUP('Données projet'!$B$14,Paramètres!$A$1:$I$89,7,0))</f>
        <v>0.1075</v>
      </c>
      <c r="DZ33" s="16">
        <f>IF(ISNA(VLOOKUP(A33,'Données projet'!$A$165:$I$185,7,0)),0%,VLOOKUP(A33,'Données projet'!$A$165:$I$185,7,0))</f>
        <v>0.25</v>
      </c>
      <c r="EA33" s="21">
        <f>EXP(-LN(2)/35)*EA32+(1-EXP(-LN(2)/35))/(LN(2)/35)*DW33*DX33*VLOOKUP('Données projet'!$B$14,Paramètres!$A$1:$I$89,3,0)*0.475*44/12</f>
        <v>3.2442791963343254</v>
      </c>
      <c r="EB33" s="21">
        <f>EXP(-LN(2)/25)*EB32+(1-EXP(-LN(2)/25))/(LN(2)/25)*Calculateur!DW33*Calculateur!DY33*VLOOKUP('Données projet'!$B$14,Paramètres!$A$1:$I$89,3,0)*0.475*44/12</f>
        <v>10.442972584810891</v>
      </c>
      <c r="EC33" s="21">
        <f>EXP(-LN(2)/2)*EC32+(1-EXP(-LN(2)/2))/(LN(2)/2)*DW33*DZ33*VLOOKUP('Données projet'!$B$14,Paramètres!$A$1:$I$89,3,0)*0.475*44/12</f>
        <v>7.8116986525468111</v>
      </c>
      <c r="ED33" s="22">
        <f t="shared" si="18"/>
        <v>21.498950433692027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177</v>
      </c>
      <c r="EH33" s="12">
        <f>VLOOKUP(A33,'Données projet'!$A$191:$I$211,9,0)</f>
        <v>14.2</v>
      </c>
      <c r="EI33" s="12">
        <f t="array" ref="EI33">INDEX(EH:EH,MIN(IF(ISNUMBER(EH33:EH229),ROW(EH33:EH229),"")))</f>
        <v>14.2</v>
      </c>
      <c r="EJ33" s="12">
        <f>IF('Données projet'!$A$192&gt;35,EJ32+EI33-ER32,IF(A33&lt;'Données projet'!$A$192,$EG$205^A33,IF(A33='Données projet'!$A$192,'Données projet'!$B$192,EJ32+EI33-ER32)))</f>
        <v>176.99999999999991</v>
      </c>
      <c r="EK33" s="17">
        <f>EJ33*VLOOKUP('Données projet'!$B$15,Paramètres!$A$1:$I$89,3,0)*VLOOKUP('Données projet'!$B$15,Paramètres!$A$1:$I$89,5,0)</f>
        <v>154.62719999999996</v>
      </c>
      <c r="EL33" s="13">
        <f t="shared" si="45"/>
        <v>39.62826685000794</v>
      </c>
      <c r="EM33" s="20">
        <f t="shared" si="19"/>
        <v>338.32827143043039</v>
      </c>
      <c r="EN33" s="59">
        <f t="shared" si="20"/>
        <v>631.66160476376376</v>
      </c>
      <c r="EO33" s="59">
        <f ca="1">AVERAGE(OFFSET($EN$3,0,0,'Données projet'!$E$15+1,1))-AVERAGE(OFFSET($H$3,0,0,'Données projet'!$E$15+1,1))</f>
        <v>384.34044781465661</v>
      </c>
      <c r="EP33" s="59">
        <f t="shared" si="46"/>
        <v>374.99493809709708</v>
      </c>
      <c r="EQ33" s="15">
        <f>IF(ISNA(VLOOKUP(A33,'Données projet'!$A$191:$I$211,3,0)),0,VLOOKUP(A33,'Données projet'!$A$191:$I$211,3,0))</f>
        <v>4</v>
      </c>
      <c r="ER33" s="15">
        <f>IF(ISNA(VLOOKUP(A33,'Données projet'!$A$191:$I$211,4,0)),0,VLOOKUP(A33,'Données projet'!$A$191:$I$211,4,0))</f>
        <v>35</v>
      </c>
      <c r="ES33" s="16">
        <f>IF(ISNA(VLOOKUP(A33,'Données projet'!$A$191:$I$211,5,0)),0%,VLOOKUP(A33,'Données projet'!$A$191:$I$211,5,0)*VLOOKUP('Données projet'!$B$15,Paramètres!$A$1:$I$89,7,0))</f>
        <v>0.1075</v>
      </c>
      <c r="ET33" s="16">
        <f>IF(ISNA(VLOOKUP(A33,'Données projet'!$A$191:$I$211,6,0)),0%,VLOOKUP(A33,'Données projet'!$A$191:$I$211,6,0)*VLOOKUP('Données projet'!$B$15,Paramètres!$A$1:$I$89,7,0))</f>
        <v>0.1075</v>
      </c>
      <c r="EU33" s="16">
        <f>IF(ISNA(VLOOKUP(A33,'Données projet'!$A$191:$I$211,7,0)),0%,VLOOKUP(A33,'Données projet'!$A$191:$I$211,7,0))</f>
        <v>0.25</v>
      </c>
      <c r="EV33" s="21">
        <f>EXP(-LN(2)/35)*EV32+(1-EXP(-LN(2)/35))/(LN(2)/35)*ER33*ES33*VLOOKUP('Données projet'!$B$15,Paramètres!$A$1:$I$89,3,0)*0.475*44/12</f>
        <v>3.6335926998944443</v>
      </c>
      <c r="EW33" s="21">
        <f>EXP(-LN(2)/25)*EW32+(1-EXP(-LN(2)/25))/(LN(2)/25)*Calculateur!ER33*Calculateur!ET33*VLOOKUP('Données projet'!$B$15,Paramètres!$A$1:$I$89,3,0)*0.475*44/12</f>
        <v>11.696129294988198</v>
      </c>
      <c r="EX33" s="21">
        <f>EXP(-LN(2)/2)*EX32+(1-EXP(-LN(2)/2))/(LN(2)/2)*ER33*EU33*VLOOKUP('Données projet'!$B$15,Paramètres!$A$1:$I$89,3,0)*0.475*44/12</f>
        <v>8.7491024908524295</v>
      </c>
      <c r="EY33" s="22">
        <f t="shared" si="21"/>
        <v>24.078824485735073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177</v>
      </c>
      <c r="FC33" s="12">
        <f>VLOOKUP(A33,'Données projet'!$A$217:$I$237,9,0)</f>
        <v>14.2</v>
      </c>
      <c r="FD33" s="12">
        <f t="array" ref="FD33">INDEX(FC:FC,MIN(IF(ISNUMBER(FC33:FC229),ROW(FC33:FC229),"")))</f>
        <v>14.2</v>
      </c>
      <c r="FE33" s="12">
        <f>IF('Données projet'!$A$218&gt;35,FE32+FD33-FM32,IF(A33&lt;'Données projet'!$A$218,$FB$205^A33,IF(A33='Données projet'!$A$218,'Données projet'!$B$218,FE32+FD33-FM32)))</f>
        <v>176.99999999999991</v>
      </c>
      <c r="FF33" s="17">
        <f>FE33*VLOOKUP('Données projet'!$B$16,Paramètres!$A$1:$I$89,3,0)*VLOOKUP('Données projet'!$B$16,Paramètres!$A$1:$I$89,5,0)</f>
        <v>143.58239999999995</v>
      </c>
      <c r="FG33" s="13">
        <f t="shared" si="47"/>
        <v>37.116472314400653</v>
      </c>
      <c r="FH33" s="20">
        <f t="shared" si="22"/>
        <v>314.7172026142477</v>
      </c>
      <c r="FI33" s="59">
        <f t="shared" si="23"/>
        <v>608.05053594758101</v>
      </c>
      <c r="FJ33" s="59">
        <f ca="1">AVERAGE(OFFSET($FI$3,0,0,'Données projet'!$E$16+1,1))-AVERAGE(OFFSET($H$3,0,0,'Données projet'!$E$16+1,1))</f>
        <v>359.57284550600366</v>
      </c>
      <c r="FK33" s="59">
        <f t="shared" si="48"/>
        <v>351.38386928091433</v>
      </c>
      <c r="FL33" s="15">
        <f>IF(ISNA(VLOOKUP(A33,'Données projet'!$A$217:$I$237,3,0)),0,VLOOKUP(A33,'Données projet'!$A$217:$I$237,3,0))</f>
        <v>4</v>
      </c>
      <c r="FM33" s="15">
        <f>IF(ISNA(VLOOKUP(A33,'Données projet'!$A$217:$I$237,4,0)),0,VLOOKUP(A33,'Données projet'!$A$217:$I$237,4,0))</f>
        <v>35</v>
      </c>
      <c r="FN33" s="16">
        <f>IF(ISNA(VLOOKUP(A33,'Données projet'!$A$217:$I$237,5,0)),0%,VLOOKUP(A33,'Données projet'!$A$217:$I$237,5,0)*VLOOKUP('Données projet'!$B$16,Paramètres!$A$1:$I$89,7,0))</f>
        <v>0.1075</v>
      </c>
      <c r="FO33" s="16">
        <f>IF(ISNA(VLOOKUP(A33,'Données projet'!$A$217:$I$237,6,0)),0%,VLOOKUP(A33,'Données projet'!$A$217:$I$237,6,0)*VLOOKUP('Données projet'!$B$16,Paramètres!$A$1:$I$89,7,0))</f>
        <v>0.1075</v>
      </c>
      <c r="FP33" s="16">
        <f>IF(ISNA(VLOOKUP(A33,'Données projet'!$A$217:$I$237,7,0)),0%,VLOOKUP(A33,'Données projet'!$A$217:$I$237,7,0))</f>
        <v>0.25</v>
      </c>
      <c r="FQ33" s="21">
        <f>EXP(-LN(2)/35)*FQ32+(1-EXP(-LN(2)/35))/(LN(2)/35)*FM33*FN33*VLOOKUP('Données projet'!$B$16,Paramètres!$A$1:$I$89,3,0)*0.475*44/12</f>
        <v>3.3740503641876987</v>
      </c>
      <c r="FR33" s="21">
        <f>EXP(-LN(2)/25)*FR32+(1-EXP(-LN(2)/25))/(LN(2)/25)*Calculateur!FM33*Calculateur!FO33*VLOOKUP('Données projet'!$B$16,Paramètres!$A$1:$I$89,3,0)*0.475*44/12</f>
        <v>10.860691488203326</v>
      </c>
      <c r="FS33" s="21">
        <f>EXP(-LN(2)/2)*FS32+(1-EXP(-LN(2)/2))/(LN(2)/2)*FM33*FP33*VLOOKUP('Données projet'!$B$16,Paramètres!$A$1:$I$89,3,0)*0.475*44/12</f>
        <v>8.1241665986486833</v>
      </c>
      <c r="FT33" s="22">
        <f t="shared" si="24"/>
        <v>22.35890845103971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6">
        <f t="shared" si="1"/>
        <v>256.66666666666669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5.0894117647058819</v>
      </c>
      <c r="N34" s="13">
        <f>IF('Données projet'!$A$36&gt;35,N33+M34-V33,IF(A34&lt;'Données projet'!$A$36,$K$205^A34,IF(A34='Données projet'!$A$36,'Données projet'!$B$36,N33+M34-V33)))</f>
        <v>109.81533510072718</v>
      </c>
      <c r="O34" s="13">
        <f>N34*VLOOKUP('Données projet'!$B$9,Paramètres!$A$1:$I$89,3,0)*VLOOKUP('Données projet'!$B$9,Paramètres!$A$1:$I$89,5,0)</f>
        <v>99.360915199137949</v>
      </c>
      <c r="P34" s="13">
        <f t="shared" si="33"/>
        <v>26.809687642018758</v>
      </c>
      <c r="Q34" s="20">
        <f t="shared" si="2"/>
        <v>219.74713328168124</v>
      </c>
      <c r="R34" s="59">
        <f t="shared" si="0"/>
        <v>513.08046661501453</v>
      </c>
      <c r="S34" s="59">
        <f ca="1">AVERAGE(OFFSET($R$3,0,0,'Données projet'!$E$9+1,1))-AVERAGE(OFFSET($H$3,0,0,'Données projet'!$E$9+1,1))</f>
        <v>695.0879239758051</v>
      </c>
      <c r="T34" s="59">
        <f t="shared" si="34"/>
        <v>226.22150997227476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24.998333333333338</v>
      </c>
      <c r="AI34" s="13">
        <f>IF('Données projet'!$A$62&gt;35,AI33+AH34-AQ33,IF(A34&lt;'Données projet'!$A$62,$AF$205^A34,IF(A34='Données projet'!$A$62,'Données projet'!$B$62,AI33+AH34-AQ33)))</f>
        <v>367.16166666666675</v>
      </c>
      <c r="AJ34" s="13">
        <f>AI34*VLOOKUP('Données projet'!$B$10,Paramètres!$A$1:$I$89,3,0)*VLOOKUP('Données projet'!$B$10,Paramètres!$A$1:$I$89,5,0)</f>
        <v>219.56267666666673</v>
      </c>
      <c r="AK34" s="13">
        <f t="shared" si="35"/>
        <v>54.019824650159855</v>
      </c>
      <c r="AL34" s="20">
        <f t="shared" si="4"/>
        <v>476.48952312680632</v>
      </c>
      <c r="AM34" s="59">
        <f t="shared" si="5"/>
        <v>769.82285646013963</v>
      </c>
      <c r="AN34" s="59">
        <f ca="1">AVERAGE(OFFSET($AM$3,0,0,'Données projet'!$E$10+1,1))-AVERAGE(OFFSET($H$3,0,0,'Données projet'!$E$10+1,1))</f>
        <v>388.12151914648013</v>
      </c>
      <c r="AO34" s="59">
        <f t="shared" si="36"/>
        <v>481.43684454382793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14.85188504250274</v>
      </c>
      <c r="AV34" s="21">
        <f>EXP(-LN(2)/25)*AV33+(1-EXP(-LN(2)/25))/(LN(2)/25)*Calculateur!AQ34*Calculateur!AS34*VLOOKUP('Données projet'!$B$10,Paramètres!$A$1:$I$89,3,0)*0.475*44/12</f>
        <v>14.584693398090472</v>
      </c>
      <c r="AW34" s="21">
        <f>EXP(-LN(2)/2)*AW33+(1-EXP(-LN(2)/2))/(LN(2)/2)*AQ34*AT34*VLOOKUP('Données projet'!$B$10,Paramètres!$A$1:$I$89,3,0)*0.475*44/12</f>
        <v>1.7244885845547815</v>
      </c>
      <c r="AX34" s="21">
        <f t="shared" si="6"/>
        <v>31.161067025147993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12.8</v>
      </c>
      <c r="BD34" s="12">
        <f>IF('Données projet'!$A$88&gt;35,BD33+BC34-BL33,IF(A34&lt;'Données projet'!$A$88,$BA$205^A34,IF(A34='Données projet'!$A$88,'Données projet'!$B$88,BD33+BC34-BL33)))</f>
        <v>154.79999999999993</v>
      </c>
      <c r="BE34" s="13">
        <f>BD34*VLOOKUP('Données projet'!$B$11,Paramètres!$A$1:$I$89,3,0)*VLOOKUP('Données projet'!$B$11,Paramètres!$A$1:$I$89,5,0)</f>
        <v>147.30767999999995</v>
      </c>
      <c r="BF34" s="13">
        <f t="shared" si="37"/>
        <v>37.966102790040587</v>
      </c>
      <c r="BG34" s="20">
        <f t="shared" si="7"/>
        <v>322.68517169265391</v>
      </c>
      <c r="BH34" s="59">
        <f t="shared" si="8"/>
        <v>616.01850502598722</v>
      </c>
      <c r="BI34" s="59">
        <f ca="1">AVERAGE(OFFSET($BH$3,0,0,'Données projet'!$E$11+1,1))-AVERAGE(OFFSET($H$3,0,0,'Données projet'!$E$11+1,1))</f>
        <v>415.24818074059294</v>
      </c>
      <c r="BJ34" s="59">
        <f t="shared" si="38"/>
        <v>404.45811532046872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3.8804062493331353</v>
      </c>
      <c r="BQ34" s="21">
        <f>EXP(-LN(2)/25)*BQ33+(1-EXP(-LN(2)/25))/(LN(2)/25)*Calculateur!BL34*Calculateur!BN34*VLOOKUP('Données projet'!$B$11,Paramètres!$A$1:$I$89,3,0)*0.475*44/12</f>
        <v>12.392038919374755</v>
      </c>
      <c r="BR34" s="21">
        <f>EXP(-LN(2)/2)*BR33+(1-EXP(-LN(2)/2))/(LN(2)/2)*BL34*BO34*VLOOKUP('Données projet'!$B$11,Paramètres!$A$1:$I$89,3,0)*0.475*44/12</f>
        <v>6.7389202095580352</v>
      </c>
      <c r="BS34" s="22">
        <f t="shared" si="9"/>
        <v>23.011365378265925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12.8</v>
      </c>
      <c r="BY34" s="12">
        <f>IF('Données projet'!$A$114&gt;35,BY33+BX34-CG33,IF(A34&lt;'Données projet'!$A$114,$BV$205^A34,IF(A34='Données projet'!$A$114,'Données projet'!$B$114,BY33+BX34-CG33)))</f>
        <v>154.79999999999993</v>
      </c>
      <c r="BZ34" s="13">
        <f>BY34*VLOOKUP('Données projet'!$B$12,Paramètres!$A$1:$I$89,3,0)*VLOOKUP('Données projet'!$B$12,Paramètres!$A$1:$I$89,5,0)</f>
        <v>135.23327999999995</v>
      </c>
      <c r="CA34" s="13">
        <f t="shared" si="39"/>
        <v>35.202825080004438</v>
      </c>
      <c r="CB34" s="20">
        <f t="shared" si="10"/>
        <v>296.842883014341</v>
      </c>
      <c r="CC34" s="59">
        <f t="shared" si="11"/>
        <v>590.17621634767431</v>
      </c>
      <c r="CD34" s="59">
        <f ca="1">AVERAGE(OFFSET($CC$3,0,0,'Données projet'!$E$12+1,1))-AVERAGE(OFFSET($H$3,0,0,'Données projet'!$E$12+1,1))</f>
        <v>384.34044781465661</v>
      </c>
      <c r="CE34" s="59">
        <f t="shared" si="40"/>
        <v>374.99493809709708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4.3907913640948335</v>
      </c>
      <c r="CL34" s="21">
        <f>EXP(-LN(2)/25)*CL33+(1-EXP(-LN(2)/25))/(LN(2)/25)*Calculateur!CG34*Calculateur!CI34*VLOOKUP('Données projet'!$B$12,Paramètres!$A$1:$I$89,3,0)*0.475*44/12</f>
        <v>14.02194872767986</v>
      </c>
      <c r="CM34" s="21">
        <f>EXP(-LN(2)/2)*CM33+(1-EXP(-LN(2)/2))/(LN(2)/2)*CG34*CJ34*VLOOKUP('Données projet'!$B$12,Paramètres!$A$1:$I$89,3,0)*0.475*44/12</f>
        <v>6.1865497005778671</v>
      </c>
      <c r="CN34" s="22">
        <f t="shared" si="12"/>
        <v>24.599289792352561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23.265714285714289</v>
      </c>
      <c r="CT34" s="12">
        <f>IF('Données projet'!$A$140&gt;35,CT33+CS34-DB33,IF(A34&lt;'Données projet'!$A$140,$CQ$205^A34,IF(A34='Données projet'!$A$140,'Données projet'!$B$140,CT33+CS34-DB33)))</f>
        <v>284.16714285714284</v>
      </c>
      <c r="CU34" s="17">
        <f>CT34*VLOOKUP('Données projet'!$B$13,Paramètres!$A$1:$I$89,3,0)*VLOOKUP('Données projet'!$B$13,Paramètres!$A$1:$I$89,5,0)</f>
        <v>158.84943285714286</v>
      </c>
      <c r="CV34" s="13">
        <f t="shared" si="41"/>
        <v>40.582892872917235</v>
      </c>
      <c r="CW34" s="20">
        <f t="shared" si="13"/>
        <v>347.34463397985468</v>
      </c>
      <c r="CX34" s="59">
        <f t="shared" si="14"/>
        <v>640.67796731318799</v>
      </c>
      <c r="CY34" s="59">
        <f ca="1">AVERAGE(OFFSET($CX$3,0,0,'Données projet'!$E$13+1,1))-AVERAGE(OFFSET($H$3,0,0,'Données projet'!$E$13+1,1))</f>
        <v>386.66324266750968</v>
      </c>
      <c r="CZ34" s="59">
        <f t="shared" si="42"/>
        <v>356.22149461585769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11.902356560993805</v>
      </c>
      <c r="DG34" s="21">
        <f>EXP(-LN(2)/25)*DG33+(1-EXP(-LN(2)/25))/(LN(2)/25)*Calculateur!DB34*Calculateur!DD34*VLOOKUP('Données projet'!$B$13,Paramètres!$A$1:$I$89,3,0)*0.475*44/12</f>
        <v>16.714471135229697</v>
      </c>
      <c r="DH34" s="21">
        <f>EXP(-LN(2)/2)*DH33+(1-EXP(-LN(2)/2))/(LN(2)/2)*DB34*DE34*VLOOKUP('Données projet'!$B$13,Paramètres!$A$1:$I$89,3,0)*0.475*44/12</f>
        <v>6.2371386851790183</v>
      </c>
      <c r="DI34" s="22">
        <f t="shared" si="15"/>
        <v>34.853966381402522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12.8</v>
      </c>
      <c r="DO34" s="12">
        <f>IF('Données projet'!$A$166&gt;35,DO33+DN34-DW33,IF(A34&lt;'Données projet'!$A$166,$DL$205^A34,IF(A34='Données projet'!$A$166,'Données projet'!$B$166,DO33+DN34-DW33)))</f>
        <v>154.79999999999993</v>
      </c>
      <c r="DP34" s="17">
        <f>DO34*VLOOKUP('Données projet'!$B$14,Paramètres!$A$1:$I$89,3,0)*VLOOKUP('Données projet'!$B$14,Paramètres!$A$1:$I$89,5,0)</f>
        <v>120.74399999999994</v>
      </c>
      <c r="DQ34" s="13">
        <f t="shared" si="43"/>
        <v>31.848462605207807</v>
      </c>
      <c r="DR34" s="20">
        <f t="shared" si="16"/>
        <v>265.76520570407013</v>
      </c>
      <c r="DS34" s="59">
        <f t="shared" si="17"/>
        <v>559.0985390374035</v>
      </c>
      <c r="DT34" s="59">
        <f ca="1">AVERAGE(OFFSET($DS$3,0,0,'Données projet'!$E$14+1,1))-AVERAGE(OFFSET($H$3,0,0,'Données projet'!$E$14+1,1))</f>
        <v>347.17417070871716</v>
      </c>
      <c r="DU34" s="59">
        <f t="shared" si="44"/>
        <v>339.56378046986441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3.1806608601091271</v>
      </c>
      <c r="EB34" s="21">
        <f>EXP(-LN(2)/25)*EB33+(1-EXP(-LN(2)/25))/(LN(2)/25)*Calculateur!DW34*Calculateur!DY34*VLOOKUP('Données projet'!$B$14,Paramètres!$A$1:$I$89,3,0)*0.475*44/12</f>
        <v>10.157408950307175</v>
      </c>
      <c r="EC34" s="21">
        <f>EXP(-LN(2)/2)*EC33+(1-EXP(-LN(2)/2))/(LN(2)/2)*DW34*DZ34*VLOOKUP('Données projet'!$B$14,Paramètres!$A$1:$I$89,3,0)*0.475*44/12</f>
        <v>5.5237050898016662</v>
      </c>
      <c r="ED34" s="22">
        <f t="shared" si="18"/>
        <v>18.861774900217966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12.8</v>
      </c>
      <c r="EJ34" s="12">
        <f>IF('Données projet'!$A$192&gt;35,EJ33+EI34-ER33,IF(A34&lt;'Données projet'!$A$192,$EG$205^A34,IF(A34='Données projet'!$A$192,'Données projet'!$B$192,EJ33+EI34-ER33)))</f>
        <v>154.79999999999993</v>
      </c>
      <c r="EK34" s="17">
        <f>EJ34*VLOOKUP('Données projet'!$B$15,Paramètres!$A$1:$I$89,3,0)*VLOOKUP('Données projet'!$B$15,Paramètres!$A$1:$I$89,5,0)</f>
        <v>135.23327999999995</v>
      </c>
      <c r="EL34" s="13">
        <f t="shared" si="45"/>
        <v>35.202825080004438</v>
      </c>
      <c r="EM34" s="20">
        <f t="shared" si="19"/>
        <v>296.842883014341</v>
      </c>
      <c r="EN34" s="59">
        <f t="shared" si="20"/>
        <v>590.17621634767431</v>
      </c>
      <c r="EO34" s="59">
        <f ca="1">AVERAGE(OFFSET($EN$3,0,0,'Données projet'!$E$15+1,1))-AVERAGE(OFFSET($H$3,0,0,'Données projet'!$E$15+1,1))</f>
        <v>384.34044781465661</v>
      </c>
      <c r="EP34" s="59">
        <f t="shared" si="46"/>
        <v>374.99493809709708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3.5623401633222223</v>
      </c>
      <c r="EW34" s="21">
        <f>EXP(-LN(2)/25)*EW33+(1-EXP(-LN(2)/25))/(LN(2)/25)*Calculateur!ER34*Calculateur!ET34*VLOOKUP('Données projet'!$B$15,Paramètres!$A$1:$I$89,3,0)*0.475*44/12</f>
        <v>11.376298024344038</v>
      </c>
      <c r="EX34" s="21">
        <f>EXP(-LN(2)/2)*EX33+(1-EXP(-LN(2)/2))/(LN(2)/2)*ER34*EU34*VLOOKUP('Données projet'!$B$15,Paramètres!$A$1:$I$89,3,0)*0.475*44/12</f>
        <v>6.1865497005778671</v>
      </c>
      <c r="EY34" s="22">
        <f t="shared" si="21"/>
        <v>21.125187888244128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12.8</v>
      </c>
      <c r="FE34" s="12">
        <f>IF('Données projet'!$A$218&gt;35,FE33+FD34-FM33,IF(A34&lt;'Données projet'!$A$218,$FB$205^A34,IF(A34='Données projet'!$A$218,'Données projet'!$B$218,FE33+FD34-FM33)))</f>
        <v>154.79999999999993</v>
      </c>
      <c r="FF34" s="17">
        <f>FE34*VLOOKUP('Données projet'!$B$16,Paramètres!$A$1:$I$89,3,0)*VLOOKUP('Données projet'!$B$16,Paramètres!$A$1:$I$89,5,0)</f>
        <v>125.57375999999995</v>
      </c>
      <c r="FG34" s="13">
        <f t="shared" si="47"/>
        <v>32.97153235129214</v>
      </c>
      <c r="FH34" s="20">
        <f t="shared" si="22"/>
        <v>276.13305084516702</v>
      </c>
      <c r="FI34" s="59">
        <f t="shared" si="23"/>
        <v>569.46638417850033</v>
      </c>
      <c r="FJ34" s="59">
        <f ca="1">AVERAGE(OFFSET($FI$3,0,0,'Données projet'!$E$16+1,1))-AVERAGE(OFFSET($H$3,0,0,'Données projet'!$E$16+1,1))</f>
        <v>359.57284550600366</v>
      </c>
      <c r="FK34" s="59">
        <f t="shared" si="48"/>
        <v>351.38386928091433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3.3078872945134927</v>
      </c>
      <c r="FR34" s="21">
        <f>EXP(-LN(2)/25)*FR33+(1-EXP(-LN(2)/25))/(LN(2)/25)*Calculateur!FM34*Calculateur!FO34*VLOOKUP('Données projet'!$B$16,Paramètres!$A$1:$I$89,3,0)*0.475*44/12</f>
        <v>10.563705308319463</v>
      </c>
      <c r="FS34" s="21">
        <f>EXP(-LN(2)/2)*FS33+(1-EXP(-LN(2)/2))/(LN(2)/2)*FM34*FP34*VLOOKUP('Données projet'!$B$16,Paramètres!$A$1:$I$89,3,0)*0.475*44/12</f>
        <v>5.7446532933937329</v>
      </c>
      <c r="FT34" s="22">
        <f t="shared" si="24"/>
        <v>19.616245896226687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6">
        <f t="shared" si="1"/>
        <v>256.66666666666669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5.0894117647058819</v>
      </c>
      <c r="N35" s="13">
        <f>IF('Données projet'!$A$36&gt;35,N34+M35-V34,IF(A35&lt;'Données projet'!$A$36,$K$205^A35,IF(A35='Données projet'!$A$36,'Données projet'!$B$36,N34+M35-V34)))</f>
        <v>127.78822259452934</v>
      </c>
      <c r="O35" s="13">
        <f>N35*VLOOKUP('Données projet'!$B$9,Paramètres!$A$1:$I$89,3,0)*VLOOKUP('Données projet'!$B$9,Paramètres!$A$1:$I$89,5,0)</f>
        <v>115.62278380353014</v>
      </c>
      <c r="P35" s="13">
        <f t="shared" si="33"/>
        <v>30.651888148407128</v>
      </c>
      <c r="Q35" s="20">
        <f t="shared" ref="Q35:Q66" si="53">(O35+P35)*0.475*44/12</f>
        <v>254.76172031629076</v>
      </c>
      <c r="R35" s="59">
        <f t="shared" si="0"/>
        <v>548.09505364962411</v>
      </c>
      <c r="S35" s="59">
        <f ca="1">AVERAGE(OFFSET($R$3,0,0,'Données projet'!$E$9+1,1))-AVERAGE(OFFSET($H$3,0,0,'Données projet'!$E$9+1,1))</f>
        <v>695.0879239758051</v>
      </c>
      <c r="T35" s="59">
        <f t="shared" si="34"/>
        <v>226.22150997227476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>
        <f>VLOOKUP(A35,'Données projet'!$A$61:$I$81,2,0)</f>
        <v>392.16</v>
      </c>
      <c r="AG35" s="12">
        <f>VLOOKUP(A35,'Données projet'!$A$61:$I$81,9,0)</f>
        <v>24.998333333333338</v>
      </c>
      <c r="AH35" s="12">
        <f t="array" ref="AH35">INDEX(AG:AG,MIN(IF(ISNUMBER(AG35:AG231),ROW(AG35:AG231),"")))</f>
        <v>24.998333333333338</v>
      </c>
      <c r="AI35" s="13">
        <f>IF('Données projet'!$A$62&gt;35,AI34+AH35-AQ34,IF(A35&lt;'Données projet'!$A$62,$AF$205^A35,IF(A35='Données projet'!$A$62,'Données projet'!$B$62,AI34+AH35-AQ34)))</f>
        <v>392.16000000000008</v>
      </c>
      <c r="AJ35" s="13">
        <f>AI35*VLOOKUP('Données projet'!$B$10,Paramètres!$A$1:$I$89,3,0)*VLOOKUP('Données projet'!$B$10,Paramètres!$A$1:$I$89,5,0)</f>
        <v>234.51168000000007</v>
      </c>
      <c r="AK35" s="13">
        <f t="shared" si="35"/>
        <v>57.257106560949936</v>
      </c>
      <c r="AL35" s="20">
        <f t="shared" si="4"/>
        <v>508.16396992698787</v>
      </c>
      <c r="AM35" s="59">
        <f t="shared" si="5"/>
        <v>801.49730326032113</v>
      </c>
      <c r="AN35" s="59">
        <f ca="1">AVERAGE(OFFSET($AM$3,0,0,'Données projet'!$E$10+1,1))-AVERAGE(OFFSET($H$3,0,0,'Données projet'!$E$10+1,1))</f>
        <v>388.12151914648013</v>
      </c>
      <c r="AO35" s="59">
        <f t="shared" si="36"/>
        <v>481.43684454382793</v>
      </c>
      <c r="AP35" s="15">
        <f>IF(ISNA(VLOOKUP(A35,'Données projet'!$A$61:$I$81,3,0)),0,VLOOKUP(A35,'Données projet'!$A$61:$I$81,3,0))</f>
        <v>4</v>
      </c>
      <c r="AQ35" s="15">
        <f>IF(ISNA(VLOOKUP(A35,'Données projet'!$A$61:$I$81,4,0)),0,VLOOKUP(A35,'Données projet'!$A$61:$I$81,4,0))</f>
        <v>79.57000000000005</v>
      </c>
      <c r="AR35" s="16">
        <f>IF(ISNA(VLOOKUP(A35,'Données projet'!$A$61:$I$81,5,0)),0%,VLOOKUP(A35,'Données projet'!$A$61:$I$81,5,0)*VLOOKUP('Données projet'!$B$10,Paramètres!$A$1:$I$89,7,0))</f>
        <v>0.27</v>
      </c>
      <c r="AS35" s="16">
        <f>IF(ISNA(VLOOKUP(A35,'Données projet'!$A$61:$I$81,6,0)),0%,VLOOKUP(A35,'Données projet'!$A$61:$I$81,6,0)*VLOOKUP('Données projet'!$B$10,Paramètres!$A$1:$I$89,7,0))</f>
        <v>9.0000000000000011E-2</v>
      </c>
      <c r="AT35" s="16">
        <f>IF(ISNA(VLOOKUP(A35,'Données projet'!$A$61:$I$81,7,0)),0%,VLOOKUP(A35,'Données projet'!$A$61:$I$81,7,0))</f>
        <v>0.2</v>
      </c>
      <c r="AU35" s="21">
        <f>EXP(-LN(2)/35)*AU34+(1-EXP(-LN(2)/35))/(LN(2)/35)*AQ35*AR35*VLOOKUP('Données projet'!$B$10,Paramètres!$A$1:$I$89,3,0)*0.475*44/12</f>
        <v>31.60351594189676</v>
      </c>
      <c r="AV35" s="21">
        <f>EXP(-LN(2)/25)*AV34+(1-EXP(-LN(2)/25))/(LN(2)/25)*Calculateur!AQ35*Calculateur!AS35*VLOOKUP('Données projet'!$B$10,Paramètres!$A$1:$I$89,3,0)*0.475*44/12</f>
        <v>19.844461871442515</v>
      </c>
      <c r="AW35" s="21">
        <f>EXP(-LN(2)/2)*AW34+(1-EXP(-LN(2)/2))/(LN(2)/2)*AQ35*AT35*VLOOKUP('Données projet'!$B$10,Paramètres!$A$1:$I$89,3,0)*0.475*44/12</f>
        <v>11.994367752353517</v>
      </c>
      <c r="AX35" s="21">
        <f t="shared" si="6"/>
        <v>63.442345565692797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12.8</v>
      </c>
      <c r="BD35" s="12">
        <f>IF('Données projet'!$A$88&gt;35,BD34+BC35-BL34,IF(A35&lt;'Données projet'!$A$88,$BA$205^A35,IF(A35='Données projet'!$A$88,'Données projet'!$B$88,BD34+BC35-BL34)))</f>
        <v>167.59999999999994</v>
      </c>
      <c r="BE35" s="13">
        <f>BD35*VLOOKUP('Données projet'!$B$11,Paramètres!$A$1:$I$89,3,0)*VLOOKUP('Données projet'!$B$11,Paramètres!$A$1:$I$89,5,0)</f>
        <v>159.48815999999994</v>
      </c>
      <c r="BF35" s="13">
        <f t="shared" si="37"/>
        <v>40.727046946229315</v>
      </c>
      <c r="BG35" s="20">
        <f t="shared" si="7"/>
        <v>348.70815209801594</v>
      </c>
      <c r="BH35" s="59">
        <f t="shared" si="8"/>
        <v>642.0414854313492</v>
      </c>
      <c r="BI35" s="59">
        <f ca="1">AVERAGE(OFFSET($BH$3,0,0,'Données projet'!$E$11+1,1))-AVERAGE(OFFSET($H$3,0,0,'Données projet'!$E$11+1,1))</f>
        <v>415.24818074059294</v>
      </c>
      <c r="BJ35" s="59">
        <f t="shared" si="38"/>
        <v>404.45811532046872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3.804313849597821</v>
      </c>
      <c r="BQ35" s="21">
        <f>EXP(-LN(2)/25)*BQ34+(1-EXP(-LN(2)/25))/(LN(2)/25)*Calculateur!BL35*Calculateur!BN35*VLOOKUP('Données projet'!$B$11,Paramètres!$A$1:$I$89,3,0)*0.475*44/12</f>
        <v>12.053177963455449</v>
      </c>
      <c r="BR35" s="21">
        <f>EXP(-LN(2)/2)*BR34+(1-EXP(-LN(2)/2))/(LN(2)/2)*BL35*BO35*VLOOKUP('Données projet'!$B$11,Paramètres!$A$1:$I$89,3,0)*0.475*44/12</f>
        <v>4.7651361780535568</v>
      </c>
      <c r="BS35" s="22">
        <f t="shared" si="9"/>
        <v>20.622627991106825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12.8</v>
      </c>
      <c r="BY35" s="12">
        <f>IF('Données projet'!$A$114&gt;35,BY34+BX35-CG34,IF(A35&lt;'Données projet'!$A$114,$BV$205^A35,IF(A35='Données projet'!$A$114,'Données projet'!$B$114,BY34+BX35-CG34)))</f>
        <v>167.59999999999994</v>
      </c>
      <c r="BZ35" s="13">
        <f>BY35*VLOOKUP('Données projet'!$B$12,Paramètres!$A$1:$I$89,3,0)*VLOOKUP('Données projet'!$B$12,Paramètres!$A$1:$I$89,5,0)</f>
        <v>146.41535999999996</v>
      </c>
      <c r="CA35" s="13">
        <f t="shared" si="39"/>
        <v>37.762820103024467</v>
      </c>
      <c r="CB35" s="20">
        <f t="shared" si="10"/>
        <v>320.77699701276748</v>
      </c>
      <c r="CC35" s="59">
        <f t="shared" si="11"/>
        <v>614.1103303461008</v>
      </c>
      <c r="CD35" s="59">
        <f ca="1">AVERAGE(OFFSET($CC$3,0,0,'Données projet'!$E$12+1,1))-AVERAGE(OFFSET($H$3,0,0,'Données projet'!$E$12+1,1))</f>
        <v>384.34044781465661</v>
      </c>
      <c r="CE35" s="59">
        <f t="shared" si="40"/>
        <v>374.99493809709708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4.3046906235632241</v>
      </c>
      <c r="CL35" s="21">
        <f>EXP(-LN(2)/25)*CL34+(1-EXP(-LN(2)/25))/(LN(2)/25)*Calculateur!CG35*Calculateur!CI35*VLOOKUP('Données projet'!$B$12,Paramètres!$A$1:$I$89,3,0)*0.475*44/12</f>
        <v>13.638517802339218</v>
      </c>
      <c r="CM35" s="21">
        <f>EXP(-LN(2)/2)*CM34+(1-EXP(-LN(2)/2))/(LN(2)/2)*CG35*CJ35*VLOOKUP('Données projet'!$B$12,Paramètres!$A$1:$I$89,3,0)*0.475*44/12</f>
        <v>4.3745512454262157</v>
      </c>
      <c r="CN35" s="22">
        <f t="shared" si="12"/>
        <v>22.317759671328655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23.265714285714289</v>
      </c>
      <c r="CT35" s="12">
        <f>IF('Données projet'!$A$140&gt;35,CT34+CS35-DB34,IF(A35&lt;'Données projet'!$A$140,$CQ$205^A35,IF(A35='Données projet'!$A$140,'Données projet'!$B$140,CT34+CS35-DB34)))</f>
        <v>307.43285714285713</v>
      </c>
      <c r="CU35" s="17">
        <f>CT35*VLOOKUP('Données projet'!$B$13,Paramètres!$A$1:$I$89,3,0)*VLOOKUP('Données projet'!$B$13,Paramètres!$A$1:$I$89,5,0)</f>
        <v>171.85496714285716</v>
      </c>
      <c r="CV35" s="13">
        <f t="shared" si="41"/>
        <v>43.505211750246715</v>
      </c>
      <c r="CW35" s="20">
        <f t="shared" si="13"/>
        <v>375.08564490548923</v>
      </c>
      <c r="CX35" s="59">
        <f t="shared" si="14"/>
        <v>668.41897823882255</v>
      </c>
      <c r="CY35" s="59">
        <f ca="1">AVERAGE(OFFSET($CX$3,0,0,'Données projet'!$E$13+1,1))-AVERAGE(OFFSET($H$3,0,0,'Données projet'!$E$13+1,1))</f>
        <v>386.66324266750968</v>
      </c>
      <c r="CZ35" s="59">
        <f t="shared" si="42"/>
        <v>356.22149461585769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11.668958608553382</v>
      </c>
      <c r="DG35" s="21">
        <f>EXP(-LN(2)/25)*DG34+(1-EXP(-LN(2)/25))/(LN(2)/25)*Calculateur!DB35*Calculateur!DD35*VLOOKUP('Données projet'!$B$13,Paramètres!$A$1:$I$89,3,0)*0.475*44/12</f>
        <v>16.257413043061007</v>
      </c>
      <c r="DH35" s="21">
        <f>EXP(-LN(2)/2)*DH34+(1-EXP(-LN(2)/2))/(LN(2)/2)*DB35*DE35*VLOOKUP('Données projet'!$B$13,Paramètres!$A$1:$I$89,3,0)*0.475*44/12</f>
        <v>4.4103230594910308</v>
      </c>
      <c r="DI35" s="22">
        <f t="shared" si="15"/>
        <v>32.336694711105423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12.8</v>
      </c>
      <c r="DO35" s="12">
        <f>IF('Données projet'!$A$166&gt;35,DO34+DN35-DW34,IF(A35&lt;'Données projet'!$A$166,$DL$205^A35,IF(A35='Données projet'!$A$166,'Données projet'!$B$166,DO34+DN35-DW34)))</f>
        <v>167.59999999999994</v>
      </c>
      <c r="DP35" s="17">
        <f>DO35*VLOOKUP('Données projet'!$B$14,Paramètres!$A$1:$I$89,3,0)*VLOOKUP('Données projet'!$B$14,Paramètres!$A$1:$I$89,5,0)</f>
        <v>130.72799999999995</v>
      </c>
      <c r="DQ35" s="13">
        <f t="shared" si="43"/>
        <v>34.164524045585857</v>
      </c>
      <c r="DR35" s="20">
        <f t="shared" si="16"/>
        <v>287.1878127127286</v>
      </c>
      <c r="DS35" s="59">
        <f t="shared" si="17"/>
        <v>580.52114604606186</v>
      </c>
      <c r="DT35" s="59">
        <f ca="1">AVERAGE(OFFSET($DS$3,0,0,'Données projet'!$E$14+1,1))-AVERAGE(OFFSET($H$3,0,0,'Données projet'!$E$14+1,1))</f>
        <v>347.17417070871716</v>
      </c>
      <c r="DU35" s="59">
        <f t="shared" si="44"/>
        <v>339.56378046986441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3.1182900406539513</v>
      </c>
      <c r="EB35" s="21">
        <f>EXP(-LN(2)/25)*EB34+(1-EXP(-LN(2)/25))/(LN(2)/25)*Calculateur!DW35*Calculateur!DY35*VLOOKUP('Données projet'!$B$14,Paramètres!$A$1:$I$89,3,0)*0.475*44/12</f>
        <v>9.8796540684061043</v>
      </c>
      <c r="EC35" s="21">
        <f>EXP(-LN(2)/2)*EC34+(1-EXP(-LN(2)/2))/(LN(2)/2)*DW35*DZ35*VLOOKUP('Données projet'!$B$14,Paramètres!$A$1:$I$89,3,0)*0.475*44/12</f>
        <v>3.905849326273406</v>
      </c>
      <c r="ED35" s="22">
        <f t="shared" si="18"/>
        <v>16.903793435333462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12.8</v>
      </c>
      <c r="EJ35" s="12">
        <f>IF('Données projet'!$A$192&gt;35,EJ34+EI35-ER34,IF(A35&lt;'Données projet'!$A$192,$EG$205^A35,IF(A35='Données projet'!$A$192,'Données projet'!$B$192,EJ34+EI35-ER34)))</f>
        <v>167.59999999999994</v>
      </c>
      <c r="EK35" s="17">
        <f>EJ35*VLOOKUP('Données projet'!$B$15,Paramètres!$A$1:$I$89,3,0)*VLOOKUP('Données projet'!$B$15,Paramètres!$A$1:$I$89,5,0)</f>
        <v>146.41535999999996</v>
      </c>
      <c r="EL35" s="13">
        <f t="shared" si="45"/>
        <v>37.762820103024467</v>
      </c>
      <c r="EM35" s="20">
        <f t="shared" si="19"/>
        <v>320.77699701276748</v>
      </c>
      <c r="EN35" s="59">
        <f t="shared" si="20"/>
        <v>614.1103303461008</v>
      </c>
      <c r="EO35" s="59">
        <f ca="1">AVERAGE(OFFSET($EN$3,0,0,'Données projet'!$E$15+1,1))-AVERAGE(OFFSET($H$3,0,0,'Données projet'!$E$15+1,1))</f>
        <v>384.34044781465661</v>
      </c>
      <c r="EP35" s="59">
        <f t="shared" si="46"/>
        <v>374.99493809709708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3.4924848455324256</v>
      </c>
      <c r="EW35" s="21">
        <f>EXP(-LN(2)/25)*EW34+(1-EXP(-LN(2)/25))/(LN(2)/25)*Calculateur!ER35*Calculateur!ET35*VLOOKUP('Données projet'!$B$15,Paramètres!$A$1:$I$89,3,0)*0.475*44/12</f>
        <v>11.065212556614838</v>
      </c>
      <c r="EX35" s="21">
        <f>EXP(-LN(2)/2)*EX34+(1-EXP(-LN(2)/2))/(LN(2)/2)*ER35*EU35*VLOOKUP('Données projet'!$B$15,Paramètres!$A$1:$I$89,3,0)*0.475*44/12</f>
        <v>4.3745512454262157</v>
      </c>
      <c r="EY35" s="22">
        <f t="shared" si="21"/>
        <v>18.932248647573481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12.8</v>
      </c>
      <c r="FE35" s="12">
        <f>IF('Données projet'!$A$218&gt;35,FE34+FD35-FM34,IF(A35&lt;'Données projet'!$A$218,$FB$205^A35,IF(A35='Données projet'!$A$218,'Données projet'!$B$218,FE34+FD35-FM34)))</f>
        <v>167.59999999999994</v>
      </c>
      <c r="FF35" s="17">
        <f>FE35*VLOOKUP('Données projet'!$B$16,Paramètres!$A$1:$I$89,3,0)*VLOOKUP('Données projet'!$B$16,Paramètres!$A$1:$I$89,5,0)</f>
        <v>135.95711999999997</v>
      </c>
      <c r="FG35" s="13">
        <f t="shared" si="47"/>
        <v>35.369264877838596</v>
      </c>
      <c r="FH35" s="20">
        <f t="shared" si="22"/>
        <v>298.39345366223546</v>
      </c>
      <c r="FI35" s="59">
        <f t="shared" si="23"/>
        <v>591.72678699556877</v>
      </c>
      <c r="FJ35" s="59">
        <f ca="1">AVERAGE(OFFSET($FI$3,0,0,'Données projet'!$E$16+1,1))-AVERAGE(OFFSET($H$3,0,0,'Données projet'!$E$16+1,1))</f>
        <v>359.57284550600366</v>
      </c>
      <c r="FK35" s="59">
        <f t="shared" si="48"/>
        <v>351.38386928091433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3.2430216422801101</v>
      </c>
      <c r="FR35" s="21">
        <f>EXP(-LN(2)/25)*FR34+(1-EXP(-LN(2)/25))/(LN(2)/25)*Calculateur!FM35*Calculateur!FO35*VLOOKUP('Données projet'!$B$16,Paramètres!$A$1:$I$89,3,0)*0.475*44/12</f>
        <v>10.274840231142349</v>
      </c>
      <c r="FS35" s="21">
        <f>EXP(-LN(2)/2)*FS34+(1-EXP(-LN(2)/2))/(LN(2)/2)*FM35*FP35*VLOOKUP('Données projet'!$B$16,Paramètres!$A$1:$I$89,3,0)*0.475*44/12</f>
        <v>4.0620832993243425</v>
      </c>
      <c r="FT35" s="22">
        <f t="shared" si="24"/>
        <v>17.579945172746804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6">
        <f t="shared" si="1"/>
        <v>256.66666666666669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5.0894117647058819</v>
      </c>
      <c r="N36" s="13">
        <f>IF('Données projet'!$A$36&gt;35,N35+M36-V35,IF(A36&lt;'Données projet'!$A$36,$K$205^A36,IF(A36='Données projet'!$A$36,'Données projet'!$B$36,N35+M36-V35)))</f>
        <v>148.70263628381758</v>
      </c>
      <c r="O36" s="13">
        <f>N36*VLOOKUP('Données projet'!$B$9,Paramètres!$A$1:$I$89,3,0)*VLOOKUP('Données projet'!$B$9,Paramètres!$A$1:$I$89,5,0)</f>
        <v>134.54614530959816</v>
      </c>
      <c r="P36" s="13">
        <f t="shared" si="33"/>
        <v>35.044729338432354</v>
      </c>
      <c r="Q36" s="20">
        <f t="shared" si="53"/>
        <v>295.37077334531978</v>
      </c>
      <c r="R36" s="59">
        <f t="shared" si="0"/>
        <v>588.70410667865303</v>
      </c>
      <c r="S36" s="59">
        <f ca="1">AVERAGE(OFFSET($R$3,0,0,'Données projet'!$E$9+1,1))-AVERAGE(OFFSET($H$3,0,0,'Données projet'!$E$9+1,1))</f>
        <v>695.0879239758051</v>
      </c>
      <c r="T36" s="59">
        <f t="shared" si="34"/>
        <v>226.22150997227476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23.327500000000001</v>
      </c>
      <c r="AI36" s="13">
        <f>IF('Données projet'!$A$62&gt;35,AI35+AH36-AQ35,IF(A36&lt;'Données projet'!$A$62,$AF$205^A36,IF(A36='Données projet'!$A$62,'Données projet'!$B$62,AI35+AH36-AQ35)))</f>
        <v>335.91750000000002</v>
      </c>
      <c r="AJ36" s="13">
        <f>AI36*VLOOKUP('Données projet'!$B$10,Paramètres!$A$1:$I$89,3,0)*VLOOKUP('Données projet'!$B$10,Paramètres!$A$1:$I$89,5,0)</f>
        <v>200.87866500000001</v>
      </c>
      <c r="AK36" s="13">
        <f t="shared" si="35"/>
        <v>49.937222403328057</v>
      </c>
      <c r="AL36" s="20">
        <f t="shared" si="4"/>
        <v>436.83767056079637</v>
      </c>
      <c r="AM36" s="59">
        <f t="shared" si="5"/>
        <v>730.17100389412963</v>
      </c>
      <c r="AN36" s="59">
        <f ca="1">AVERAGE(OFFSET($AM$3,0,0,'Données projet'!$E$10+1,1))-AVERAGE(OFFSET($H$3,0,0,'Données projet'!$E$10+1,1))</f>
        <v>388.12151914648013</v>
      </c>
      <c r="AO36" s="59">
        <f t="shared" si="36"/>
        <v>481.43684454382793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30.983790270517517</v>
      </c>
      <c r="AV36" s="21">
        <f>EXP(-LN(2)/25)*AV35+(1-EXP(-LN(2)/25))/(LN(2)/25)*Calculateur!AQ36*Calculateur!AS36*VLOOKUP('Données projet'!$B$10,Paramètres!$A$1:$I$89,3,0)*0.475*44/12</f>
        <v>19.301814017993024</v>
      </c>
      <c r="AW36" s="21">
        <f>EXP(-LN(2)/2)*AW35+(1-EXP(-LN(2)/2))/(LN(2)/2)*AQ36*AT36*VLOOKUP('Données projet'!$B$10,Paramètres!$A$1:$I$89,3,0)*0.475*44/12</f>
        <v>8.4812987737344212</v>
      </c>
      <c r="AX36" s="21">
        <f t="shared" si="6"/>
        <v>58.766903062244964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12.8</v>
      </c>
      <c r="BD36" s="12">
        <f>IF('Données projet'!$A$88&gt;35,BD35+BC36-BL35,IF(A36&lt;'Données projet'!$A$88,$BA$205^A36,IF(A36='Données projet'!$A$88,'Données projet'!$B$88,BD35+BC36-BL35)))</f>
        <v>180.39999999999995</v>
      </c>
      <c r="BE36" s="13">
        <f>BD36*VLOOKUP('Données projet'!$B$11,Paramètres!$A$1:$I$89,3,0)*VLOOKUP('Données projet'!$B$11,Paramètres!$A$1:$I$89,5,0)</f>
        <v>171.66863999999995</v>
      </c>
      <c r="BF36" s="13">
        <f t="shared" si="37"/>
        <v>43.463530720091818</v>
      </c>
      <c r="BG36" s="20">
        <f t="shared" si="7"/>
        <v>374.68853067082654</v>
      </c>
      <c r="BH36" s="59">
        <f t="shared" si="8"/>
        <v>668.02186400415985</v>
      </c>
      <c r="BI36" s="59">
        <f ca="1">AVERAGE(OFFSET($BH$3,0,0,'Données projet'!$E$11+1,1))-AVERAGE(OFFSET($H$3,0,0,'Données projet'!$E$11+1,1))</f>
        <v>415.24818074059294</v>
      </c>
      <c r="BJ36" s="59">
        <f t="shared" si="38"/>
        <v>404.45811532046872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3.7297135754095354</v>
      </c>
      <c r="BQ36" s="21">
        <f>EXP(-LN(2)/25)*BQ35+(1-EXP(-LN(2)/25))/(LN(2)/25)*Calculateur!BL36*Calculateur!BN36*VLOOKUP('Données projet'!$B$11,Paramètres!$A$1:$I$89,3,0)*0.475*44/12</f>
        <v>11.723583178195678</v>
      </c>
      <c r="BR36" s="21">
        <f>EXP(-LN(2)/2)*BR35+(1-EXP(-LN(2)/2))/(LN(2)/2)*BL36*BO36*VLOOKUP('Données projet'!$B$11,Paramètres!$A$1:$I$89,3,0)*0.475*44/12</f>
        <v>3.369460104779018</v>
      </c>
      <c r="BS36" s="22">
        <f t="shared" si="9"/>
        <v>18.822756858384231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12.8</v>
      </c>
      <c r="BY36" s="12">
        <f>IF('Données projet'!$A$114&gt;35,BY35+BX36-CG35,IF(A36&lt;'Données projet'!$A$114,$BV$205^A36,IF(A36='Données projet'!$A$114,'Données projet'!$B$114,BY35+BX36-CG35)))</f>
        <v>180.39999999999995</v>
      </c>
      <c r="BZ36" s="13">
        <f>BY36*VLOOKUP('Données projet'!$B$12,Paramètres!$A$1:$I$89,3,0)*VLOOKUP('Données projet'!$B$12,Paramètres!$A$1:$I$89,5,0)</f>
        <v>157.59743999999998</v>
      </c>
      <c r="CA36" s="13">
        <f t="shared" si="39"/>
        <v>40.300135037830529</v>
      </c>
      <c r="CB36" s="20">
        <f t="shared" si="10"/>
        <v>344.67160985755481</v>
      </c>
      <c r="CC36" s="59">
        <f t="shared" si="11"/>
        <v>638.00494319088807</v>
      </c>
      <c r="CD36" s="59">
        <f ca="1">AVERAGE(OFFSET($CC$3,0,0,'Données projet'!$E$12+1,1))-AVERAGE(OFFSET($H$3,0,0,'Données projet'!$E$12+1,1))</f>
        <v>384.34044781465661</v>
      </c>
      <c r="CE36" s="59">
        <f t="shared" si="40"/>
        <v>374.99493809709708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4.2202782660371732</v>
      </c>
      <c r="CL36" s="21">
        <f>EXP(-LN(2)/25)*CL35+(1-EXP(-LN(2)/25))/(LN(2)/25)*Calculateur!CG36*Calculateur!CI36*VLOOKUP('Données projet'!$B$12,Paramètres!$A$1:$I$89,3,0)*0.475*44/12</f>
        <v>13.265571815815772</v>
      </c>
      <c r="CM36" s="21">
        <f>EXP(-LN(2)/2)*CM35+(1-EXP(-LN(2)/2))/(LN(2)/2)*CG36*CJ36*VLOOKUP('Données projet'!$B$12,Paramètres!$A$1:$I$89,3,0)*0.475*44/12</f>
        <v>3.0932748502889345</v>
      </c>
      <c r="CN36" s="22">
        <f t="shared" si="12"/>
        <v>20.57912493214188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23.265714285714289</v>
      </c>
      <c r="CT36" s="12">
        <f>IF('Données projet'!$A$140&gt;35,CT35+CS36-DB35,IF(A36&lt;'Données projet'!$A$140,$CQ$205^A36,IF(A36='Données projet'!$A$140,'Données projet'!$B$140,CT35+CS36-DB35)))</f>
        <v>330.69857142857143</v>
      </c>
      <c r="CU36" s="17">
        <f>CT36*VLOOKUP('Données projet'!$B$13,Paramètres!$A$1:$I$89,3,0)*VLOOKUP('Données projet'!$B$13,Paramètres!$A$1:$I$89,5,0)</f>
        <v>184.86050142857144</v>
      </c>
      <c r="CV36" s="13">
        <f t="shared" si="41"/>
        <v>46.401875578821517</v>
      </c>
      <c r="CW36" s="20">
        <f t="shared" si="13"/>
        <v>402.7819732878761</v>
      </c>
      <c r="CX36" s="59">
        <f t="shared" si="14"/>
        <v>696.11530662120936</v>
      </c>
      <c r="CY36" s="59">
        <f ca="1">AVERAGE(OFFSET($CX$3,0,0,'Données projet'!$E$13+1,1))-AVERAGE(OFFSET($H$3,0,0,'Données projet'!$E$13+1,1))</f>
        <v>386.66324266750968</v>
      </c>
      <c r="CZ36" s="59">
        <f t="shared" si="42"/>
        <v>356.22149461585769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11.44013744760162</v>
      </c>
      <c r="DG36" s="21">
        <f>EXP(-LN(2)/25)*DG35+(1-EXP(-LN(2)/25))/(LN(2)/25)*Calculateur!DB36*Calculateur!DD36*VLOOKUP('Données projet'!$B$13,Paramètres!$A$1:$I$89,3,0)*0.475*44/12</f>
        <v>15.812853228458309</v>
      </c>
      <c r="DH36" s="21">
        <f>EXP(-LN(2)/2)*DH35+(1-EXP(-LN(2)/2))/(LN(2)/2)*DB36*DE36*VLOOKUP('Données projet'!$B$13,Paramètres!$A$1:$I$89,3,0)*0.475*44/12</f>
        <v>3.1185693425895091</v>
      </c>
      <c r="DI36" s="22">
        <f t="shared" si="15"/>
        <v>30.37156001864944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12.8</v>
      </c>
      <c r="DO36" s="12">
        <f>IF('Données projet'!$A$166&gt;35,DO35+DN36-DW35,IF(A36&lt;'Données projet'!$A$166,$DL$205^A36,IF(A36='Données projet'!$A$166,'Données projet'!$B$166,DO35+DN36-DW35)))</f>
        <v>180.39999999999995</v>
      </c>
      <c r="DP36" s="17">
        <f>DO36*VLOOKUP('Données projet'!$B$14,Paramètres!$A$1:$I$89,3,0)*VLOOKUP('Données projet'!$B$14,Paramètres!$A$1:$I$89,5,0)</f>
        <v>140.71199999999996</v>
      </c>
      <c r="DQ36" s="13">
        <f t="shared" si="43"/>
        <v>36.46006650944075</v>
      </c>
      <c r="DR36" s="20">
        <f t="shared" si="16"/>
        <v>308.57468250394254</v>
      </c>
      <c r="DS36" s="59">
        <f t="shared" si="17"/>
        <v>601.9080158372758</v>
      </c>
      <c r="DT36" s="59">
        <f ca="1">AVERAGE(OFFSET($DS$3,0,0,'Données projet'!$E$14+1,1))-AVERAGE(OFFSET($H$3,0,0,'Données projet'!$E$14+1,1))</f>
        <v>347.17417070871716</v>
      </c>
      <c r="DU36" s="59">
        <f t="shared" si="44"/>
        <v>339.56378046986441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3.0571422749258481</v>
      </c>
      <c r="EB36" s="21">
        <f>EXP(-LN(2)/25)*EB35+(1-EXP(-LN(2)/25))/(LN(2)/25)*Calculateur!DW36*Calculateur!DY36*VLOOKUP('Données projet'!$B$14,Paramètres!$A$1:$I$89,3,0)*0.475*44/12</f>
        <v>9.6094944083571114</v>
      </c>
      <c r="EC36" s="21">
        <f>EXP(-LN(2)/2)*EC35+(1-EXP(-LN(2)/2))/(LN(2)/2)*DW36*DZ36*VLOOKUP('Données projet'!$B$14,Paramètres!$A$1:$I$89,3,0)*0.475*44/12</f>
        <v>2.7618525449008335</v>
      </c>
      <c r="ED36" s="22">
        <f t="shared" si="18"/>
        <v>15.428489228183793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12.8</v>
      </c>
      <c r="EJ36" s="12">
        <f>IF('Données projet'!$A$192&gt;35,EJ35+EI36-ER35,IF(A36&lt;'Données projet'!$A$192,$EG$205^A36,IF(A36='Données projet'!$A$192,'Données projet'!$B$192,EJ35+EI36-ER35)))</f>
        <v>180.39999999999995</v>
      </c>
      <c r="EK36" s="17">
        <f>EJ36*VLOOKUP('Données projet'!$B$15,Paramètres!$A$1:$I$89,3,0)*VLOOKUP('Données projet'!$B$15,Paramètres!$A$1:$I$89,5,0)</f>
        <v>157.59743999999998</v>
      </c>
      <c r="EL36" s="13">
        <f t="shared" si="45"/>
        <v>40.300135037830529</v>
      </c>
      <c r="EM36" s="20">
        <f t="shared" si="19"/>
        <v>344.67160985755481</v>
      </c>
      <c r="EN36" s="59">
        <f t="shared" si="20"/>
        <v>638.00494319088807</v>
      </c>
      <c r="EO36" s="59">
        <f ca="1">AVERAGE(OFFSET($EN$3,0,0,'Données projet'!$E$15+1,1))-AVERAGE(OFFSET($H$3,0,0,'Données projet'!$E$15+1,1))</f>
        <v>384.34044781465661</v>
      </c>
      <c r="EP36" s="59">
        <f t="shared" si="46"/>
        <v>374.99493809709708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3.4239993479169502</v>
      </c>
      <c r="EW36" s="21">
        <f>EXP(-LN(2)/25)*EW35+(1-EXP(-LN(2)/25))/(LN(2)/25)*Calculateur!ER36*Calculateur!ET36*VLOOKUP('Données projet'!$B$15,Paramètres!$A$1:$I$89,3,0)*0.475*44/12</f>
        <v>10.762633737359968</v>
      </c>
      <c r="EX36" s="21">
        <f>EXP(-LN(2)/2)*EX35+(1-EXP(-LN(2)/2))/(LN(2)/2)*ER36*EU36*VLOOKUP('Données projet'!$B$15,Paramètres!$A$1:$I$89,3,0)*0.475*44/12</f>
        <v>3.0932748502889345</v>
      </c>
      <c r="EY36" s="22">
        <f t="shared" si="21"/>
        <v>17.279907935565852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12.8</v>
      </c>
      <c r="FE36" s="12">
        <f>IF('Données projet'!$A$218&gt;35,FE35+FD36-FM35,IF(A36&lt;'Données projet'!$A$218,$FB$205^A36,IF(A36='Données projet'!$A$218,'Données projet'!$B$218,FE35+FD36-FM35)))</f>
        <v>180.39999999999995</v>
      </c>
      <c r="FF36" s="17">
        <f>FE36*VLOOKUP('Données projet'!$B$16,Paramètres!$A$1:$I$89,3,0)*VLOOKUP('Données projet'!$B$16,Paramètres!$A$1:$I$89,5,0)</f>
        <v>146.34047999999999</v>
      </c>
      <c r="FG36" s="13">
        <f t="shared" si="47"/>
        <v>37.745754868861937</v>
      </c>
      <c r="FH36" s="20">
        <f t="shared" si="22"/>
        <v>320.6168590632679</v>
      </c>
      <c r="FI36" s="59">
        <f t="shared" si="23"/>
        <v>613.95019239660121</v>
      </c>
      <c r="FJ36" s="59">
        <f ca="1">AVERAGE(OFFSET($FI$3,0,0,'Données projet'!$E$16+1,1))-AVERAGE(OFFSET($H$3,0,0,'Données projet'!$E$16+1,1))</f>
        <v>359.57284550600366</v>
      </c>
      <c r="FK36" s="59">
        <f t="shared" si="48"/>
        <v>351.38386928091433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3.179427965922883</v>
      </c>
      <c r="FR36" s="21">
        <f>EXP(-LN(2)/25)*FR35+(1-EXP(-LN(2)/25))/(LN(2)/25)*Calculateur!FM36*Calculateur!FO36*VLOOKUP('Données projet'!$B$16,Paramètres!$A$1:$I$89,3,0)*0.475*44/12</f>
        <v>9.9938741846913963</v>
      </c>
      <c r="FS36" s="21">
        <f>EXP(-LN(2)/2)*FS35+(1-EXP(-LN(2)/2))/(LN(2)/2)*FM36*FP36*VLOOKUP('Données projet'!$B$16,Paramètres!$A$1:$I$89,3,0)*0.475*44/12</f>
        <v>2.8723266466968673</v>
      </c>
      <c r="FT36" s="22">
        <f t="shared" si="24"/>
        <v>16.045628797311146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6">
        <f t="shared" si="1"/>
        <v>256.66666666666669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173.04</v>
      </c>
      <c r="L37" s="12">
        <f>VLOOKUP(A37,'Données projet'!$A$35:$I$55,9,0)</f>
        <v>5.0894117647058819</v>
      </c>
      <c r="M37" s="12">
        <f t="array" ref="M37">INDEX(L:L,MIN(IF(ISNUMBER(L37:L233),ROW(L37:L233),"")))</f>
        <v>5.0894117647058819</v>
      </c>
      <c r="N37" s="13">
        <f>IF('Données projet'!$A$36&gt;35,N36+M37-V36,IF(A37&lt;'Données projet'!$A$36,$K$205^A37,IF(A37='Données projet'!$A$36,'Données projet'!$B$36,N36+M37-V36)))</f>
        <v>173.04</v>
      </c>
      <c r="O37" s="13">
        <f>N37*VLOOKUP('Données projet'!$B$9,Paramètres!$A$1:$I$89,3,0)*VLOOKUP('Données projet'!$B$9,Paramètres!$A$1:$I$89,5,0)</f>
        <v>156.56659199999999</v>
      </c>
      <c r="P37" s="13">
        <f t="shared" si="33"/>
        <v>40.067125668008877</v>
      </c>
      <c r="Q37" s="20">
        <f t="shared" si="53"/>
        <v>342.47039160511548</v>
      </c>
      <c r="R37" s="59">
        <f t="shared" si="0"/>
        <v>635.8037249384488</v>
      </c>
      <c r="S37" s="59">
        <f ca="1">AVERAGE(OFFSET($R$3,0,0,'Données projet'!$E$9+1,1))-AVERAGE(OFFSET($H$3,0,0,'Données projet'!$E$9+1,1))</f>
        <v>695.0879239758051</v>
      </c>
      <c r="T37" s="59">
        <f t="shared" si="34"/>
        <v>226.22150997227476</v>
      </c>
      <c r="U37" s="15">
        <f>IF(ISNA(VLOOKUP(A37,'Données projet'!$A$35:$I$55,3,0)),0,VLOOKUP(A37,'Données projet'!$A$35:$I$55,3,0))</f>
        <v>1</v>
      </c>
      <c r="V37" s="15">
        <f>IF(ISNA(VLOOKUP(A37,'Données projet'!$A$35:$I$55,4,0)),0,VLOOKUP(A37,'Données projet'!$A$35:$I$55,4,0))</f>
        <v>36.679999999999978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0.34400000000000003</v>
      </c>
      <c r="Y37" s="16">
        <f>IF(ISNA(VLOOKUP(A37,'Données projet'!$A$35:$I$55,7,0)),0%,VLOOKUP(A37,'Données projet'!$A$35:$I$55,7,0))</f>
        <v>0.2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12.571124101178455</v>
      </c>
      <c r="AB37" s="21">
        <f>EXP(-LN(2)/2)*AB36+(1-EXP(-LN(2)/2))/(LN(2)/2)*V37*Y37*VLOOKUP('Données projet'!$B$9,Paramètres!$A$1:$I$89,3,0)*0.475*44/12</f>
        <v>6.2627663255292276</v>
      </c>
      <c r="AC37" s="22">
        <f t="shared" si="3"/>
        <v>18.833890426707683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23.327500000000001</v>
      </c>
      <c r="AI37" s="13">
        <f>IF('Données projet'!$A$62&gt;35,AI36+AH37-AQ36,IF(A37&lt;'Données projet'!$A$62,$AF$205^A37,IF(A37='Données projet'!$A$62,'Données projet'!$B$62,AI36+AH37-AQ36)))</f>
        <v>359.245</v>
      </c>
      <c r="AJ37" s="13">
        <f>AI37*VLOOKUP('Données projet'!$B$10,Paramètres!$A$1:$I$89,3,0)*VLOOKUP('Données projet'!$B$10,Paramètres!$A$1:$I$89,5,0)</f>
        <v>214.82851000000002</v>
      </c>
      <c r="AK37" s="13">
        <f t="shared" si="35"/>
        <v>52.989336564217041</v>
      </c>
      <c r="AL37" s="20">
        <f t="shared" si="4"/>
        <v>466.44941609934472</v>
      </c>
      <c r="AM37" s="59">
        <f t="shared" si="5"/>
        <v>759.78274943267797</v>
      </c>
      <c r="AN37" s="59">
        <f ca="1">AVERAGE(OFFSET($AM$3,0,0,'Données projet'!$E$10+1,1))-AVERAGE(OFFSET($H$3,0,0,'Données projet'!$E$10+1,1))</f>
        <v>388.12151914648013</v>
      </c>
      <c r="AO37" s="59">
        <f t="shared" si="36"/>
        <v>481.43684454382793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30.376217041558686</v>
      </c>
      <c r="AV37" s="21">
        <f>EXP(-LN(2)/25)*AV36+(1-EXP(-LN(2)/25))/(LN(2)/25)*Calculateur!AQ37*Calculateur!AS37*VLOOKUP('Données projet'!$B$10,Paramètres!$A$1:$I$89,3,0)*0.475*44/12</f>
        <v>18.774004898632722</v>
      </c>
      <c r="AW37" s="21">
        <f>EXP(-LN(2)/2)*AW36+(1-EXP(-LN(2)/2))/(LN(2)/2)*AQ37*AT37*VLOOKUP('Données projet'!$B$10,Paramètres!$A$1:$I$89,3,0)*0.475*44/12</f>
        <v>5.9971838761767593</v>
      </c>
      <c r="AX37" s="21">
        <f t="shared" si="6"/>
        <v>55.147405816368163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12.8</v>
      </c>
      <c r="BD37" s="12">
        <f>IF('Données projet'!$A$88&gt;35,BD36+BC37-BL36,IF(A37&lt;'Données projet'!$A$88,$BA$205^A37,IF(A37='Données projet'!$A$88,'Données projet'!$B$88,BD36+BC37-BL36)))</f>
        <v>193.19999999999996</v>
      </c>
      <c r="BE37" s="13">
        <f>BD37*VLOOKUP('Données projet'!$B$11,Paramètres!$A$1:$I$89,3,0)*VLOOKUP('Données projet'!$B$11,Paramètres!$A$1:$I$89,5,0)</f>
        <v>183.84911999999997</v>
      </c>
      <c r="BF37" s="13">
        <f t="shared" si="37"/>
        <v>46.177487057517382</v>
      </c>
      <c r="BG37" s="20">
        <f t="shared" si="7"/>
        <v>400.62967395850939</v>
      </c>
      <c r="BH37" s="59">
        <f t="shared" si="8"/>
        <v>693.9630072918427</v>
      </c>
      <c r="BI37" s="59">
        <f ca="1">AVERAGE(OFFSET($BH$3,0,0,'Données projet'!$E$11+1,1))-AVERAGE(OFFSET($H$3,0,0,'Données projet'!$E$11+1,1))</f>
        <v>415.24818074059294</v>
      </c>
      <c r="BJ37" s="59">
        <f t="shared" si="38"/>
        <v>404.45811532046872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3.6565761670964076</v>
      </c>
      <c r="BQ37" s="21">
        <f>EXP(-LN(2)/25)*BQ36+(1-EXP(-LN(2)/25))/(LN(2)/25)*Calculateur!BL37*Calculateur!BN37*VLOOKUP('Données projet'!$B$11,Paramètres!$A$1:$I$89,3,0)*0.475*44/12</f>
        <v>11.403001179671472</v>
      </c>
      <c r="BR37" s="21">
        <f>EXP(-LN(2)/2)*BR36+(1-EXP(-LN(2)/2))/(LN(2)/2)*BL37*BO37*VLOOKUP('Données projet'!$B$11,Paramètres!$A$1:$I$89,3,0)*0.475*44/12</f>
        <v>2.3825680890267789</v>
      </c>
      <c r="BS37" s="22">
        <f t="shared" si="9"/>
        <v>17.442145435794657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12.8</v>
      </c>
      <c r="BY37" s="12">
        <f>IF('Données projet'!$A$114&gt;35,BY36+BX37-CG36,IF(A37&lt;'Données projet'!$A$114,$BV$205^A37,IF(A37='Données projet'!$A$114,'Données projet'!$B$114,BY36+BX37-CG36)))</f>
        <v>193.19999999999996</v>
      </c>
      <c r="BZ37" s="13">
        <f>BY37*VLOOKUP('Données projet'!$B$12,Paramètres!$A$1:$I$89,3,0)*VLOOKUP('Données projet'!$B$12,Paramètres!$A$1:$I$89,5,0)</f>
        <v>168.77951999999999</v>
      </c>
      <c r="CA37" s="13">
        <f t="shared" si="39"/>
        <v>42.816562145177031</v>
      </c>
      <c r="CB37" s="20">
        <f t="shared" si="10"/>
        <v>368.52984306951663</v>
      </c>
      <c r="CC37" s="59">
        <f t="shared" si="11"/>
        <v>661.86317640284994</v>
      </c>
      <c r="CD37" s="59">
        <f ca="1">AVERAGE(OFFSET($CC$3,0,0,'Données projet'!$E$12+1,1))-AVERAGE(OFFSET($H$3,0,0,'Données projet'!$E$12+1,1))</f>
        <v>384.34044781465661</v>
      </c>
      <c r="CE37" s="59">
        <f t="shared" si="40"/>
        <v>374.99493809709708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4.1375211833557533</v>
      </c>
      <c r="CL37" s="21">
        <f>EXP(-LN(2)/25)*CL36+(1-EXP(-LN(2)/25))/(LN(2)/25)*Calculateur!CG37*Calculateur!CI37*VLOOKUP('Données projet'!$B$12,Paramètres!$A$1:$I$89,3,0)*0.475*44/12</f>
        <v>12.902824056906187</v>
      </c>
      <c r="CM37" s="21">
        <f>EXP(-LN(2)/2)*CM36+(1-EXP(-LN(2)/2))/(LN(2)/2)*CG37*CJ37*VLOOKUP('Données projet'!$B$12,Paramètres!$A$1:$I$89,3,0)*0.475*44/12</f>
        <v>2.1872756227131083</v>
      </c>
      <c r="CN37" s="22">
        <f t="shared" si="12"/>
        <v>19.227620862975051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23.265714285714289</v>
      </c>
      <c r="CT37" s="12">
        <f>IF('Données projet'!$A$140&gt;35,CT36+CS37-DB36,IF(A37&lt;'Données projet'!$A$140,$CQ$205^A37,IF(A37='Données projet'!$A$140,'Données projet'!$B$140,CT36+CS37-DB36)))</f>
        <v>353.96428571428572</v>
      </c>
      <c r="CU37" s="17">
        <f>CT37*VLOOKUP('Données projet'!$B$13,Paramètres!$A$1:$I$89,3,0)*VLOOKUP('Données projet'!$B$13,Paramètres!$A$1:$I$89,5,0)</f>
        <v>197.86603571428572</v>
      </c>
      <c r="CV37" s="13">
        <f t="shared" si="41"/>
        <v>49.274894571766396</v>
      </c>
      <c r="CW37" s="20">
        <f t="shared" si="13"/>
        <v>430.43712024820735</v>
      </c>
      <c r="CX37" s="59">
        <f t="shared" si="14"/>
        <v>723.77045358154066</v>
      </c>
      <c r="CY37" s="59">
        <f ca="1">AVERAGE(OFFSET($CX$3,0,0,'Données projet'!$E$13+1,1))-AVERAGE(OFFSET($H$3,0,0,'Données projet'!$E$13+1,1))</f>
        <v>386.66324266750968</v>
      </c>
      <c r="CZ37" s="59">
        <f t="shared" si="42"/>
        <v>356.22149461585769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11.215803330048995</v>
      </c>
      <c r="DG37" s="21">
        <f>EXP(-LN(2)/25)*DG36+(1-EXP(-LN(2)/25))/(LN(2)/25)*Calculateur!DB37*Calculateur!DD37*VLOOKUP('Données projet'!$B$13,Paramètres!$A$1:$I$89,3,0)*0.475*44/12</f>
        <v>15.380449925364307</v>
      </c>
      <c r="DH37" s="21">
        <f>EXP(-LN(2)/2)*DH36+(1-EXP(-LN(2)/2))/(LN(2)/2)*DB37*DE37*VLOOKUP('Données projet'!$B$13,Paramètres!$A$1:$I$89,3,0)*0.475*44/12</f>
        <v>2.2051615297455154</v>
      </c>
      <c r="DI37" s="22">
        <f t="shared" si="15"/>
        <v>28.801414785158819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12.8</v>
      </c>
      <c r="DO37" s="12">
        <f>IF('Données projet'!$A$166&gt;35,DO36+DN37-DW36,IF(A37&lt;'Données projet'!$A$166,$DL$205^A37,IF(A37='Données projet'!$A$166,'Données projet'!$B$166,DO36+DN37-DW36)))</f>
        <v>193.19999999999996</v>
      </c>
      <c r="DP37" s="17">
        <f>DO37*VLOOKUP('Données projet'!$B$14,Paramètres!$A$1:$I$89,3,0)*VLOOKUP('Données projet'!$B$14,Paramètres!$A$1:$I$89,5,0)</f>
        <v>150.69599999999997</v>
      </c>
      <c r="DQ37" s="13">
        <f t="shared" si="43"/>
        <v>38.736711478840633</v>
      </c>
      <c r="DR37" s="20">
        <f t="shared" si="16"/>
        <v>329.92863915898073</v>
      </c>
      <c r="DS37" s="59">
        <f t="shared" si="17"/>
        <v>623.26197249231404</v>
      </c>
      <c r="DT37" s="59">
        <f ca="1">AVERAGE(OFFSET($DS$3,0,0,'Données projet'!$E$14+1,1))-AVERAGE(OFFSET($H$3,0,0,'Données projet'!$E$14+1,1))</f>
        <v>347.17417070871716</v>
      </c>
      <c r="DU37" s="59">
        <f t="shared" si="44"/>
        <v>339.56378046986441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2.9971935795872189</v>
      </c>
      <c r="EB37" s="21">
        <f>EXP(-LN(2)/25)*EB36+(1-EXP(-LN(2)/25))/(LN(2)/25)*Calculateur!DW37*Calculateur!DY37*VLOOKUP('Données projet'!$B$14,Paramètres!$A$1:$I$89,3,0)*0.475*44/12</f>
        <v>9.3467222784192376</v>
      </c>
      <c r="EC37" s="21">
        <f>EXP(-LN(2)/2)*EC36+(1-EXP(-LN(2)/2))/(LN(2)/2)*DW37*DZ37*VLOOKUP('Données projet'!$B$14,Paramètres!$A$1:$I$89,3,0)*0.475*44/12</f>
        <v>1.9529246631367032</v>
      </c>
      <c r="ED37" s="22">
        <f t="shared" si="18"/>
        <v>14.29684052114316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12.8</v>
      </c>
      <c r="EJ37" s="12">
        <f>IF('Données projet'!$A$192&gt;35,EJ36+EI37-ER36,IF(A37&lt;'Données projet'!$A$192,$EG$205^A37,IF(A37='Données projet'!$A$192,'Données projet'!$B$192,EJ36+EI37-ER36)))</f>
        <v>193.19999999999996</v>
      </c>
      <c r="EK37" s="17">
        <f>EJ37*VLOOKUP('Données projet'!$B$15,Paramètres!$A$1:$I$89,3,0)*VLOOKUP('Données projet'!$B$15,Paramètres!$A$1:$I$89,5,0)</f>
        <v>168.77951999999999</v>
      </c>
      <c r="EL37" s="13">
        <f t="shared" si="45"/>
        <v>42.816562145177031</v>
      </c>
      <c r="EM37" s="20">
        <f t="shared" si="19"/>
        <v>368.52984306951663</v>
      </c>
      <c r="EN37" s="59">
        <f t="shared" si="20"/>
        <v>661.86317640284994</v>
      </c>
      <c r="EO37" s="59">
        <f ca="1">AVERAGE(OFFSET($EN$3,0,0,'Données projet'!$E$15+1,1))-AVERAGE(OFFSET($H$3,0,0,'Données projet'!$E$15+1,1))</f>
        <v>384.34044781465661</v>
      </c>
      <c r="EP37" s="59">
        <f t="shared" si="46"/>
        <v>374.99493809709708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3.3568568091376854</v>
      </c>
      <c r="EW37" s="21">
        <f>EXP(-LN(2)/25)*EW36+(1-EXP(-LN(2)/25))/(LN(2)/25)*Calculateur!ER37*Calculateur!ET37*VLOOKUP('Données projet'!$B$15,Paramètres!$A$1:$I$89,3,0)*0.475*44/12</f>
        <v>10.46832895182955</v>
      </c>
      <c r="EX37" s="21">
        <f>EXP(-LN(2)/2)*EX36+(1-EXP(-LN(2)/2))/(LN(2)/2)*ER37*EU37*VLOOKUP('Données projet'!$B$15,Paramètres!$A$1:$I$89,3,0)*0.475*44/12</f>
        <v>2.1872756227131083</v>
      </c>
      <c r="EY37" s="22">
        <f t="shared" si="21"/>
        <v>16.012461383680343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12.8</v>
      </c>
      <c r="FE37" s="12">
        <f>IF('Données projet'!$A$218&gt;35,FE36+FD37-FM36,IF(A37&lt;'Données projet'!$A$218,$FB$205^A37,IF(A37='Données projet'!$A$218,'Données projet'!$B$218,FE36+FD37-FM36)))</f>
        <v>193.19999999999996</v>
      </c>
      <c r="FF37" s="17">
        <f>FE37*VLOOKUP('Données projet'!$B$16,Paramètres!$A$1:$I$89,3,0)*VLOOKUP('Données projet'!$B$16,Paramètres!$A$1:$I$89,5,0)</f>
        <v>156.72383999999997</v>
      </c>
      <c r="FG37" s="13">
        <f t="shared" si="47"/>
        <v>40.102680984620484</v>
      </c>
      <c r="FH37" s="20">
        <f t="shared" si="22"/>
        <v>342.80619071488059</v>
      </c>
      <c r="FI37" s="59">
        <f t="shared" si="23"/>
        <v>636.13952404821384</v>
      </c>
      <c r="FJ37" s="59">
        <f ca="1">AVERAGE(OFFSET($FI$3,0,0,'Données projet'!$E$16+1,1))-AVERAGE(OFFSET($H$3,0,0,'Données projet'!$E$16+1,1))</f>
        <v>359.57284550600366</v>
      </c>
      <c r="FK37" s="59">
        <f t="shared" si="48"/>
        <v>351.38386928091433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3.1170813227707086</v>
      </c>
      <c r="FR37" s="21">
        <f>EXP(-LN(2)/25)*FR36+(1-EXP(-LN(2)/25))/(LN(2)/25)*Calculateur!FM37*Calculateur!FO37*VLOOKUP('Données projet'!$B$16,Paramètres!$A$1:$I$89,3,0)*0.475*44/12</f>
        <v>9.7205911695560072</v>
      </c>
      <c r="FS37" s="21">
        <f>EXP(-LN(2)/2)*FS36+(1-EXP(-LN(2)/2))/(LN(2)/2)*FM37*FP37*VLOOKUP('Données projet'!$B$16,Paramètres!$A$1:$I$89,3,0)*0.475*44/12</f>
        <v>2.0310416496621717</v>
      </c>
      <c r="FT37" s="22">
        <f t="shared" si="24"/>
        <v>14.868714141988887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6">
        <f t="shared" si="1"/>
        <v>256.66666666666669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13.956249999999997</v>
      </c>
      <c r="N38" s="13">
        <f>IF('Données projet'!$A$36&gt;35,N37+M38-V37,IF(A38&lt;'Données projet'!$A$36,$K$205^A38,IF(A38='Données projet'!$A$36,'Données projet'!$B$36,N37+M38-V37)))</f>
        <v>150.31625</v>
      </c>
      <c r="O38" s="13">
        <f>N38*VLOOKUP('Données projet'!$B$9,Paramètres!$A$1:$I$89,3,0)*VLOOKUP('Données projet'!$B$9,Paramètres!$A$1:$I$89,5,0)</f>
        <v>136.00614299999998</v>
      </c>
      <c r="P38" s="13">
        <f t="shared" si="33"/>
        <v>35.380533493230494</v>
      </c>
      <c r="Q38" s="20">
        <f t="shared" si="53"/>
        <v>298.49846155904305</v>
      </c>
      <c r="R38" s="59">
        <f t="shared" si="0"/>
        <v>591.83179489237637</v>
      </c>
      <c r="S38" s="59">
        <f ca="1">AVERAGE(OFFSET($R$3,0,0,'Données projet'!$E$9+1,1))-AVERAGE(OFFSET($H$3,0,0,'Données projet'!$E$9+1,1))</f>
        <v>695.0879239758051</v>
      </c>
      <c r="T38" s="59">
        <f t="shared" si="34"/>
        <v>226.22150997227476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12.227366051545046</v>
      </c>
      <c r="AB38" s="21">
        <f>EXP(-LN(2)/2)*AB37+(1-EXP(-LN(2)/2))/(LN(2)/2)*V38*Y38*VLOOKUP('Données projet'!$B$9,Paramètres!$A$1:$I$89,3,0)*0.475*44/12</f>
        <v>4.428444537768474</v>
      </c>
      <c r="AC38" s="22">
        <f t="shared" si="3"/>
        <v>16.655810589313518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23.327500000000001</v>
      </c>
      <c r="AI38" s="13">
        <f>IF('Données projet'!$A$62&gt;35,AI37+AH38-AQ37,IF(A38&lt;'Données projet'!$A$62,$AF$205^A38,IF(A38='Données projet'!$A$62,'Données projet'!$B$62,AI37+AH38-AQ37)))</f>
        <v>382.57249999999999</v>
      </c>
      <c r="AJ38" s="13">
        <f>AI38*VLOOKUP('Données projet'!$B$10,Paramètres!$A$1:$I$89,3,0)*VLOOKUP('Données projet'!$B$10,Paramètres!$A$1:$I$89,5,0)</f>
        <v>228.778355</v>
      </c>
      <c r="AK38" s="13">
        <f t="shared" si="35"/>
        <v>56.018451502269343</v>
      </c>
      <c r="AL38" s="20">
        <f t="shared" si="4"/>
        <v>496.0211046581191</v>
      </c>
      <c r="AM38" s="59">
        <f t="shared" si="5"/>
        <v>789.35443799145241</v>
      </c>
      <c r="AN38" s="59">
        <f ca="1">AVERAGE(OFFSET($AM$3,0,0,'Données projet'!$E$10+1,1))-AVERAGE(OFFSET($H$3,0,0,'Données projet'!$E$10+1,1))</f>
        <v>388.12151914648013</v>
      </c>
      <c r="AO38" s="59">
        <f t="shared" si="36"/>
        <v>481.43684454382793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29.780557953036659</v>
      </c>
      <c r="AV38" s="21">
        <f>EXP(-LN(2)/25)*AV37+(1-EXP(-LN(2)/25))/(LN(2)/25)*Calculateur!AQ38*Calculateur!AS38*VLOOKUP('Données projet'!$B$10,Paramètres!$A$1:$I$89,3,0)*0.475*44/12</f>
        <v>18.2606287473976</v>
      </c>
      <c r="AW38" s="21">
        <f>EXP(-LN(2)/2)*AW37+(1-EXP(-LN(2)/2))/(LN(2)/2)*AQ38*AT38*VLOOKUP('Données projet'!$B$10,Paramètres!$A$1:$I$89,3,0)*0.475*44/12</f>
        <v>4.2406493868672106</v>
      </c>
      <c r="AX38" s="21">
        <f t="shared" si="6"/>
        <v>52.281836087301471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206</v>
      </c>
      <c r="BB38" s="12">
        <f>VLOOKUP(A38,'Données projet'!$A$87:$I$107,9,0)</f>
        <v>12.8</v>
      </c>
      <c r="BC38" s="12">
        <f t="array" ref="BC38">INDEX(BB:BB,MIN(IF(ISNUMBER(BB38:BB234),ROW(BB38:BB234),"")))</f>
        <v>12.8</v>
      </c>
      <c r="BD38" s="12">
        <f>IF('Données projet'!$A$88&gt;35,BD37+BC38-BL37,IF(A38&lt;'Données projet'!$A$88,$BA$205^A38,IF(A38='Données projet'!$A$88,'Données projet'!$B$88,BD37+BC38-BL37)))</f>
        <v>205.99999999999997</v>
      </c>
      <c r="BE38" s="13">
        <f>BD38*VLOOKUP('Données projet'!$B$11,Paramètres!$A$1:$I$89,3,0)*VLOOKUP('Données projet'!$B$11,Paramètres!$A$1:$I$89,5,0)</f>
        <v>196.02959999999999</v>
      </c>
      <c r="BF38" s="13">
        <f t="shared" si="37"/>
        <v>48.870578290511943</v>
      </c>
      <c r="BG38" s="20">
        <f t="shared" si="7"/>
        <v>426.53447718930823</v>
      </c>
      <c r="BH38" s="59">
        <f t="shared" si="8"/>
        <v>719.86781052264155</v>
      </c>
      <c r="BI38" s="59">
        <f ca="1">AVERAGE(OFFSET($BH$3,0,0,'Données projet'!$E$11+1,1))-AVERAGE(OFFSET($H$3,0,0,'Données projet'!$E$11+1,1))</f>
        <v>415.24818074059294</v>
      </c>
      <c r="BJ38" s="59">
        <f t="shared" si="38"/>
        <v>404.45811532046872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35</v>
      </c>
      <c r="BM38" s="16">
        <f>IF(ISNA(VLOOKUP(A38,'Données projet'!$A$87:$I$107,5,0)),0%,VLOOKUP(A38,'Données projet'!$A$87:$I$107,5,0)*VLOOKUP('Données projet'!$B$11,Paramètres!$A$1:$I$89,7,0))</f>
        <v>0.1075</v>
      </c>
      <c r="BN38" s="16">
        <f>IF(ISNA(VLOOKUP(A38,'Données projet'!$A$87:$I$107,6,0)),0%,VLOOKUP(A38,'Données projet'!$A$87:$I$107,6,0)*VLOOKUP('Données projet'!$B$11,Paramètres!$A$1:$I$89,7,0))</f>
        <v>0.1075</v>
      </c>
      <c r="BO38" s="16">
        <f>IF(ISNA(VLOOKUP(A38,'Données projet'!$A$87:$I$107,7,0)),0%,VLOOKUP(A38,'Données projet'!$A$87:$I$107,7,0))</f>
        <v>0.25</v>
      </c>
      <c r="BP38" s="21">
        <f>EXP(-LN(2)/35)*BP37+(1-EXP(-LN(2)/35))/(LN(2)/35)*BL38*BM38*VLOOKUP('Données projet'!$B$11,Paramètres!$A$1:$I$89,3,0)*0.475*44/12</f>
        <v>7.5428935582787631</v>
      </c>
      <c r="BQ38" s="21">
        <f>EXP(-LN(2)/25)*BQ37+(1-EXP(-LN(2)/25))/(LN(2)/25)*Calculateur!BL38*Calculateur!BN38*VLOOKUP('Données projet'!$B$11,Paramètres!$A$1:$I$89,3,0)*0.475*44/12</f>
        <v>15.033621896980289</v>
      </c>
      <c r="BR38" s="21">
        <f>EXP(-LN(2)/2)*BR37+(1-EXP(-LN(2)/2))/(LN(2)/2)*BL38*BO38*VLOOKUP('Données projet'!$B$11,Paramètres!$A$1:$I$89,3,0)*0.475*44/12</f>
        <v>9.5410069068512744</v>
      </c>
      <c r="BS38" s="22">
        <f t="shared" si="9"/>
        <v>32.117522362110329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206</v>
      </c>
      <c r="BW38" s="12">
        <f>VLOOKUP(A38,'Données projet'!$A$113:$I$133,9,0)</f>
        <v>12.8</v>
      </c>
      <c r="BX38" s="12">
        <f t="array" ref="BX38">INDEX(BW:BW,MIN(IF(ISNUMBER(BW38:BW234),ROW(BW38:BW234),"")))</f>
        <v>12.8</v>
      </c>
      <c r="BY38" s="12">
        <f>IF('Données projet'!$A$114&gt;35,BY37+BX38-CG37,IF(A38&lt;'Données projet'!$A$114,$BV$205^A38,IF(A38='Données projet'!$A$114,'Données projet'!$B$114,BY37+BX38-CG37)))</f>
        <v>205.99999999999997</v>
      </c>
      <c r="BZ38" s="13">
        <f>BY38*VLOOKUP('Données projet'!$B$12,Paramètres!$A$1:$I$89,3,0)*VLOOKUP('Données projet'!$B$12,Paramètres!$A$1:$I$89,5,0)</f>
        <v>179.9616</v>
      </c>
      <c r="CA38" s="13">
        <f t="shared" si="39"/>
        <v>45.313642767960104</v>
      </c>
      <c r="CB38" s="20">
        <f t="shared" si="10"/>
        <v>392.35438115419714</v>
      </c>
      <c r="CC38" s="59">
        <f t="shared" si="11"/>
        <v>685.68771448753046</v>
      </c>
      <c r="CD38" s="59">
        <f ca="1">AVERAGE(OFFSET($CC$3,0,0,'Données projet'!$E$12+1,1))-AVERAGE(OFFSET($H$3,0,0,'Données projet'!$E$12+1,1))</f>
        <v>384.34044781465661</v>
      </c>
      <c r="CE38" s="59">
        <f t="shared" si="40"/>
        <v>374.99493809709708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35</v>
      </c>
      <c r="CH38" s="16">
        <f>IF(ISNA(VLOOKUP(A38,'Données projet'!$A$113:$I$133,5,0)),0%,VLOOKUP(A38,'Données projet'!$A$113:$I$133,5,0)*VLOOKUP('Données projet'!$B$12,Paramètres!$A$1:$I$89,7,0))</f>
        <v>0.13250000000000001</v>
      </c>
      <c r="CI38" s="16">
        <f>IF(ISNA(VLOOKUP(A38,'Données projet'!$A$113:$I$133,6,0)),0%,VLOOKUP(A38,'Données projet'!$A$113:$I$133,6,0)*VLOOKUP('Données projet'!$B$12,Paramètres!$A$1:$I$89,7,0))</f>
        <v>0.13250000000000001</v>
      </c>
      <c r="CJ38" s="16">
        <f>IF(ISNA(VLOOKUP(A38,'Données projet'!$A$113:$I$133,7,0)),0%,VLOOKUP(A38,'Données projet'!$A$113:$I$133,7,0))</f>
        <v>0.25</v>
      </c>
      <c r="CK38" s="21">
        <f>EXP(-LN(2)/35)*CK37+(1-EXP(-LN(2)/35))/(LN(2)/35)*CG38*CH38*VLOOKUP('Données projet'!$B$12,Paramètres!$A$1:$I$89,3,0)*0.475*44/12</f>
        <v>8.5350011745983139</v>
      </c>
      <c r="CL38" s="21">
        <f>EXP(-LN(2)/25)*CL37+(1-EXP(-LN(2)/25))/(LN(2)/25)*Calculateur!CG38*Calculateur!CI38*VLOOKUP('Données projet'!$B$12,Paramètres!$A$1:$I$89,3,0)*0.475*44/12</f>
        <v>17.010975901729889</v>
      </c>
      <c r="CM38" s="21">
        <f>EXP(-LN(2)/2)*CM37+(1-EXP(-LN(2)/2))/(LN(2)/2)*CG38*CJ38*VLOOKUP('Données projet'!$B$12,Paramètres!$A$1:$I$89,3,0)*0.475*44/12</f>
        <v>8.7589571603880554</v>
      </c>
      <c r="CN38" s="22">
        <f t="shared" si="12"/>
        <v>34.304934236716257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377.23</v>
      </c>
      <c r="CR38" s="12">
        <f>VLOOKUP(A38,'Données projet'!$A$139:$I$159,9,0)</f>
        <v>23.265714285714289</v>
      </c>
      <c r="CS38" s="12">
        <f t="array" ref="CS38">INDEX(CR:CR,MIN(IF(ISNUMBER(CR38:CR234),ROW(CR38:CR234),"")))</f>
        <v>23.265714285714289</v>
      </c>
      <c r="CT38" s="12">
        <f>IF('Données projet'!$A$140&gt;35,CT37+CS38-DB37,IF(A38&lt;'Données projet'!$A$140,$CQ$205^A38,IF(A38='Données projet'!$A$140,'Données projet'!$B$140,CT37+CS38-DB37)))</f>
        <v>377.23</v>
      </c>
      <c r="CU38" s="17">
        <f>CT38*VLOOKUP('Données projet'!$B$13,Paramètres!$A$1:$I$89,3,0)*VLOOKUP('Données projet'!$B$13,Paramètres!$A$1:$I$89,5,0)</f>
        <v>210.87157000000002</v>
      </c>
      <c r="CV38" s="13">
        <f t="shared" si="41"/>
        <v>52.125999737089174</v>
      </c>
      <c r="CW38" s="20">
        <f t="shared" si="13"/>
        <v>458.05410062543029</v>
      </c>
      <c r="CX38" s="59">
        <f t="shared" si="14"/>
        <v>751.38743395876361</v>
      </c>
      <c r="CY38" s="59">
        <f ca="1">AVERAGE(OFFSET($CX$3,0,0,'Données projet'!$E$13+1,1))-AVERAGE(OFFSET($H$3,0,0,'Données projet'!$E$13+1,1))</f>
        <v>386.66324266750968</v>
      </c>
      <c r="CZ38" s="59">
        <f t="shared" si="42"/>
        <v>356.22149461585769</v>
      </c>
      <c r="DA38" s="15">
        <f>IF(ISNA(VLOOKUP(A38,'Données projet'!$A$139:$I$159,3,0)),0,VLOOKUP(A38,'Données projet'!$A$139:$I$159,3,0))</f>
        <v>3</v>
      </c>
      <c r="DB38" s="15">
        <f>IF(ISNA(VLOOKUP(A38,'Données projet'!$A$139:$I$159,4,0)),0,VLOOKUP(A38,'Données projet'!$A$139:$I$159,4,0))</f>
        <v>86.700000000000045</v>
      </c>
      <c r="DC38" s="16">
        <f>IF(ISNA(VLOOKUP(A38,'Données projet'!$A$139:$I$159,5,0)),0%,VLOOKUP(A38,'Données projet'!$A$139:$I$159,5,0)*VLOOKUP('Données projet'!$B$13,Paramètres!$A$1:$I$89,7,0))</f>
        <v>0.33</v>
      </c>
      <c r="DD38" s="16">
        <f>IF(ISNA(VLOOKUP(A38,'Données projet'!$A$139:$I$159,6,0)),0%,VLOOKUP(A38,'Données projet'!$A$139:$I$159,6,0)*VLOOKUP('Données projet'!$B$13,Paramètres!$A$1:$I$89,7,0))</f>
        <v>0.11000000000000001</v>
      </c>
      <c r="DE38" s="16">
        <f>IF(ISNA(VLOOKUP(A38,'Données projet'!$A$139:$I$159,7,0)),0%,VLOOKUP(A38,'Données projet'!$A$139:$I$159,7,0))</f>
        <v>0.2</v>
      </c>
      <c r="DF38" s="21">
        <f>EXP(-LN(2)/35)*DF37+(1-EXP(-LN(2)/35))/(LN(2)/35)*DB38*DC38*VLOOKUP('Données projet'!$B$13,Paramètres!$A$1:$I$89,3,0)*0.475*44/12</f>
        <v>32.212341887441895</v>
      </c>
      <c r="DG38" s="21">
        <f>EXP(-LN(2)/25)*DG37+(1-EXP(-LN(2)/25))/(LN(2)/25)*Calculateur!DB38*Calculateur!DD38*VLOOKUP('Données projet'!$B$13,Paramètres!$A$1:$I$89,3,0)*0.475*44/12</f>
        <v>22.004182806325677</v>
      </c>
      <c r="DH38" s="21">
        <f>EXP(-LN(2)/2)*DH37+(1-EXP(-LN(2)/2))/(LN(2)/2)*DB38*DE38*VLOOKUP('Données projet'!$B$13,Paramètres!$A$1:$I$89,3,0)*0.475*44/12</f>
        <v>12.534080265156646</v>
      </c>
      <c r="DI38" s="22">
        <f t="shared" si="15"/>
        <v>66.750604958924214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206</v>
      </c>
      <c r="DM38" s="12">
        <f>VLOOKUP(A38,'Données projet'!$A$165:$I$185,9,0)</f>
        <v>12.8</v>
      </c>
      <c r="DN38" s="12">
        <f t="array" ref="DN38">INDEX(DM:DM,MIN(IF(ISNUMBER(DM38:DM234),ROW(DM38:DM234),"")))</f>
        <v>12.8</v>
      </c>
      <c r="DO38" s="12">
        <f>IF('Données projet'!$A$166&gt;35,DO37+DN38-DW37,IF(A38&lt;'Données projet'!$A$166,$DL$205^A38,IF(A38='Données projet'!$A$166,'Données projet'!$B$166,DO37+DN38-DW37)))</f>
        <v>205.99999999999997</v>
      </c>
      <c r="DP38" s="17">
        <f>DO38*VLOOKUP('Données projet'!$B$14,Paramètres!$A$1:$I$89,3,0)*VLOOKUP('Données projet'!$B$14,Paramètres!$A$1:$I$89,5,0)</f>
        <v>160.67999999999998</v>
      </c>
      <c r="DQ38" s="13">
        <f t="shared" si="43"/>
        <v>40.995853427140361</v>
      </c>
      <c r="DR38" s="20">
        <f t="shared" si="16"/>
        <v>351.25211138560275</v>
      </c>
      <c r="DS38" s="59">
        <f t="shared" si="17"/>
        <v>644.58544471893606</v>
      </c>
      <c r="DT38" s="59">
        <f ca="1">AVERAGE(OFFSET($DS$3,0,0,'Données projet'!$E$14+1,1))-AVERAGE(OFFSET($H$3,0,0,'Données projet'!$E$14+1,1))</f>
        <v>347.17417070871716</v>
      </c>
      <c r="DU38" s="59">
        <f t="shared" si="44"/>
        <v>339.56378046986441</v>
      </c>
      <c r="DV38" s="15">
        <f>IF(ISNA(VLOOKUP(A38,'Données projet'!$A$165:$I$185,3,0)),0,VLOOKUP(A38,'Données projet'!$A$165:$I$185,3,0))</f>
        <v>5</v>
      </c>
      <c r="DW38" s="15">
        <f>IF(ISNA(VLOOKUP(A38,'Données projet'!$A$165:$I$185,4,0)),0,VLOOKUP(A38,'Données projet'!$A$165:$I$185,4,0))</f>
        <v>35</v>
      </c>
      <c r="DX38" s="16">
        <f>IF(ISNA(VLOOKUP(A38,'Données projet'!$A$165:$I$185,5,0)),0%,VLOOKUP(A38,'Données projet'!$A$165:$I$185,5,0)*VLOOKUP('Données projet'!$B$14,Paramètres!$A$1:$I$89,7,0))</f>
        <v>0.1075</v>
      </c>
      <c r="DY38" s="16">
        <f>IF(ISNA(VLOOKUP(A38,'Données projet'!$A$165:$I$185,6,0)),0%,VLOOKUP(A38,'Données projet'!$A$165:$I$185,6,0)*VLOOKUP('Données projet'!$B$14,Paramètres!$A$1:$I$89,7,0))</f>
        <v>0.1075</v>
      </c>
      <c r="DZ38" s="16">
        <f>IF(ISNA(VLOOKUP(A38,'Données projet'!$A$165:$I$185,7,0)),0%,VLOOKUP(A38,'Données projet'!$A$165:$I$185,7,0))</f>
        <v>0.25</v>
      </c>
      <c r="EA38" s="21">
        <f>EXP(-LN(2)/35)*EA37+(1-EXP(-LN(2)/35))/(LN(2)/35)*DW38*DX38*VLOOKUP('Données projet'!$B$14,Paramètres!$A$1:$I$89,3,0)*0.475*44/12</f>
        <v>6.1826996379334123</v>
      </c>
      <c r="EB38" s="21">
        <f>EXP(-LN(2)/25)*EB37+(1-EXP(-LN(2)/25))/(LN(2)/25)*Calculateur!DW38*Calculateur!DY38*VLOOKUP('Données projet'!$B$14,Paramètres!$A$1:$I$89,3,0)*0.475*44/12</f>
        <v>12.32264089916417</v>
      </c>
      <c r="EC38" s="21">
        <f>EXP(-LN(2)/2)*EC37+(1-EXP(-LN(2)/2))/(LN(2)/2)*DW38*DZ38*VLOOKUP('Données projet'!$B$14,Paramètres!$A$1:$I$89,3,0)*0.475*44/12</f>
        <v>7.8204974646321919</v>
      </c>
      <c r="ED38" s="22">
        <f t="shared" si="18"/>
        <v>26.325838001729771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206</v>
      </c>
      <c r="EH38" s="12">
        <f>VLOOKUP(A38,'Données projet'!$A$191:$I$211,9,0)</f>
        <v>12.8</v>
      </c>
      <c r="EI38" s="12">
        <f t="array" ref="EI38">INDEX(EH:EH,MIN(IF(ISNUMBER(EH38:EH234),ROW(EH38:EH234),"")))</f>
        <v>12.8</v>
      </c>
      <c r="EJ38" s="12">
        <f>IF('Données projet'!$A$192&gt;35,EJ37+EI38-ER37,IF(A38&lt;'Données projet'!$A$192,$EG$205^A38,IF(A38='Données projet'!$A$192,'Données projet'!$B$192,EJ37+EI38-ER37)))</f>
        <v>205.99999999999997</v>
      </c>
      <c r="EK38" s="17">
        <f>EJ38*VLOOKUP('Données projet'!$B$15,Paramètres!$A$1:$I$89,3,0)*VLOOKUP('Données projet'!$B$15,Paramètres!$A$1:$I$89,5,0)</f>
        <v>179.9616</v>
      </c>
      <c r="EL38" s="13">
        <f t="shared" si="45"/>
        <v>45.313642767960104</v>
      </c>
      <c r="EM38" s="20">
        <f t="shared" si="19"/>
        <v>392.35438115419714</v>
      </c>
      <c r="EN38" s="59">
        <f t="shared" si="20"/>
        <v>685.68771448753046</v>
      </c>
      <c r="EO38" s="59">
        <f ca="1">AVERAGE(OFFSET($EN$3,0,0,'Données projet'!$E$15+1,1))-AVERAGE(OFFSET($H$3,0,0,'Données projet'!$E$15+1,1))</f>
        <v>384.34044781465661</v>
      </c>
      <c r="EP38" s="59">
        <f t="shared" si="46"/>
        <v>374.99493809709708</v>
      </c>
      <c r="EQ38" s="15">
        <f>IF(ISNA(VLOOKUP(A38,'Données projet'!$A$191:$I$211,3,0)),0,VLOOKUP(A38,'Données projet'!$A$191:$I$211,3,0))</f>
        <v>5</v>
      </c>
      <c r="ER38" s="15">
        <f>IF(ISNA(VLOOKUP(A38,'Données projet'!$A$191:$I$211,4,0)),0,VLOOKUP(A38,'Données projet'!$A$191:$I$211,4,0))</f>
        <v>35</v>
      </c>
      <c r="ES38" s="16">
        <f>IF(ISNA(VLOOKUP(A38,'Données projet'!$A$191:$I$211,5,0)),0%,VLOOKUP(A38,'Données projet'!$A$191:$I$211,5,0)*VLOOKUP('Données projet'!$B$15,Paramètres!$A$1:$I$89,7,0))</f>
        <v>0.1075</v>
      </c>
      <c r="ET38" s="16">
        <f>IF(ISNA(VLOOKUP(A38,'Données projet'!$A$191:$I$211,6,0)),0%,VLOOKUP(A38,'Données projet'!$A$191:$I$211,6,0)*VLOOKUP('Données projet'!$B$15,Paramètres!$A$1:$I$89,7,0))</f>
        <v>0.1075</v>
      </c>
      <c r="EU38" s="16">
        <f>IF(ISNA(VLOOKUP(A38,'Données projet'!$A$191:$I$211,7,0)),0%,VLOOKUP(A38,'Données projet'!$A$191:$I$211,7,0))</f>
        <v>0.25</v>
      </c>
      <c r="EV38" s="21">
        <f>EXP(-LN(2)/35)*EV37+(1-EXP(-LN(2)/35))/(LN(2)/35)*ER38*ES38*VLOOKUP('Données projet'!$B$15,Paramètres!$A$1:$I$89,3,0)*0.475*44/12</f>
        <v>6.9246235944854213</v>
      </c>
      <c r="EW38" s="21">
        <f>EXP(-LN(2)/25)*EW37+(1-EXP(-LN(2)/25))/(LN(2)/25)*Calculateur!ER38*Calculateur!ET38*VLOOKUP('Données projet'!$B$15,Paramètres!$A$1:$I$89,3,0)*0.475*44/12</f>
        <v>13.801357807063875</v>
      </c>
      <c r="EX38" s="21">
        <f>EXP(-LN(2)/2)*EX37+(1-EXP(-LN(2)/2))/(LN(2)/2)*ER38*EU38*VLOOKUP('Données projet'!$B$15,Paramètres!$A$1:$I$89,3,0)*0.475*44/12</f>
        <v>8.7589571603880554</v>
      </c>
      <c r="EY38" s="22">
        <f t="shared" si="21"/>
        <v>29.484938561937355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206</v>
      </c>
      <c r="FC38" s="12">
        <f>VLOOKUP(A38,'Données projet'!$A$217:$I$237,9,0)</f>
        <v>12.8</v>
      </c>
      <c r="FD38" s="12">
        <f t="array" ref="FD38">INDEX(FC:FC,MIN(IF(ISNUMBER(FC38:FC234),ROW(FC38:FC234),"")))</f>
        <v>12.8</v>
      </c>
      <c r="FE38" s="12">
        <f>IF('Données projet'!$A$218&gt;35,FE37+FD38-FM37,IF(A38&lt;'Données projet'!$A$218,$FB$205^A38,IF(A38='Données projet'!$A$218,'Données projet'!$B$218,FE37+FD38-FM37)))</f>
        <v>205.99999999999997</v>
      </c>
      <c r="FF38" s="17">
        <f>FE38*VLOOKUP('Données projet'!$B$16,Paramètres!$A$1:$I$89,3,0)*VLOOKUP('Données projet'!$B$16,Paramètres!$A$1:$I$89,5,0)</f>
        <v>167.10719999999998</v>
      </c>
      <c r="FG38" s="13">
        <f t="shared" si="47"/>
        <v>42.44148687166966</v>
      </c>
      <c r="FH38" s="20">
        <f t="shared" si="22"/>
        <v>364.96396296815789</v>
      </c>
      <c r="FI38" s="59">
        <f t="shared" si="23"/>
        <v>658.2972963014912</v>
      </c>
      <c r="FJ38" s="59">
        <f ca="1">AVERAGE(OFFSET($FI$3,0,0,'Données projet'!$E$16+1,1))-AVERAGE(OFFSET($H$3,0,0,'Données projet'!$E$16+1,1))</f>
        <v>359.57284550600366</v>
      </c>
      <c r="FK38" s="59">
        <f t="shared" si="48"/>
        <v>351.38386928091433</v>
      </c>
      <c r="FL38" s="15">
        <f>IF(ISNA(VLOOKUP(A38,'Données projet'!$A$217:$I$237,3,0)),0,VLOOKUP(A38,'Données projet'!$A$217:$I$237,3,0))</f>
        <v>5</v>
      </c>
      <c r="FM38" s="15">
        <f>IF(ISNA(VLOOKUP(A38,'Données projet'!$A$217:$I$237,4,0)),0,VLOOKUP(A38,'Données projet'!$A$217:$I$237,4,0))</f>
        <v>35</v>
      </c>
      <c r="FN38" s="16">
        <f>IF(ISNA(VLOOKUP(A38,'Données projet'!$A$217:$I$237,5,0)),0%,VLOOKUP(A38,'Données projet'!$A$217:$I$237,5,0)*VLOOKUP('Données projet'!$B$16,Paramètres!$A$1:$I$89,7,0))</f>
        <v>0.1075</v>
      </c>
      <c r="FO38" s="16">
        <f>IF(ISNA(VLOOKUP(A38,'Données projet'!$A$217:$I$237,6,0)),0%,VLOOKUP(A38,'Données projet'!$A$217:$I$237,6,0)*VLOOKUP('Données projet'!$B$16,Paramètres!$A$1:$I$89,7,0))</f>
        <v>0.1075</v>
      </c>
      <c r="FP38" s="16">
        <f>IF(ISNA(VLOOKUP(A38,'Données projet'!$A$217:$I$237,7,0)),0%,VLOOKUP(A38,'Données projet'!$A$217:$I$237,7,0))</f>
        <v>0.25</v>
      </c>
      <c r="FQ38" s="21">
        <f>EXP(-LN(2)/35)*FQ37+(1-EXP(-LN(2)/35))/(LN(2)/35)*FM38*FN38*VLOOKUP('Données projet'!$B$16,Paramètres!$A$1:$I$89,3,0)*0.475*44/12</f>
        <v>6.4300076234507495</v>
      </c>
      <c r="FR38" s="21">
        <f>EXP(-LN(2)/25)*FR37+(1-EXP(-LN(2)/25))/(LN(2)/25)*Calculateur!FM38*Calculateur!FO38*VLOOKUP('Données projet'!$B$16,Paramètres!$A$1:$I$89,3,0)*0.475*44/12</f>
        <v>12.815546535130737</v>
      </c>
      <c r="FS38" s="21">
        <f>EXP(-LN(2)/2)*FS37+(1-EXP(-LN(2)/2))/(LN(2)/2)*FM38*FP38*VLOOKUP('Données projet'!$B$16,Paramètres!$A$1:$I$89,3,0)*0.475*44/12</f>
        <v>8.1333173632174791</v>
      </c>
      <c r="FT38" s="22">
        <f t="shared" si="24"/>
        <v>27.378871521798967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6">
        <f t="shared" si="1"/>
        <v>256.66666666666669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13.956249999999997</v>
      </c>
      <c r="N39" s="13">
        <f>IF('Données projet'!$A$36&gt;35,N38+M39-V38,IF(A39&lt;'Données projet'!$A$36,$K$205^A39,IF(A39='Données projet'!$A$36,'Données projet'!$B$36,N38+M39-V38)))</f>
        <v>164.27249999999998</v>
      </c>
      <c r="O39" s="13">
        <f>N39*VLOOKUP('Données projet'!$B$9,Paramètres!$A$1:$I$89,3,0)*VLOOKUP('Données projet'!$B$9,Paramètres!$A$1:$I$89,5,0)</f>
        <v>148.63375799999997</v>
      </c>
      <c r="P39" s="13">
        <f t="shared" si="33"/>
        <v>38.267937075369332</v>
      </c>
      <c r="Q39" s="20">
        <f t="shared" si="53"/>
        <v>325.52045225626819</v>
      </c>
      <c r="R39" s="59">
        <f t="shared" si="0"/>
        <v>618.85378558960156</v>
      </c>
      <c r="S39" s="59">
        <f ca="1">AVERAGE(OFFSET($R$3,0,0,'Données projet'!$E$9+1,1))-AVERAGE(OFFSET($H$3,0,0,'Données projet'!$E$9+1,1))</f>
        <v>695.0879239758051</v>
      </c>
      <c r="T39" s="59">
        <f t="shared" si="34"/>
        <v>226.22150997227476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11.893008083856312</v>
      </c>
      <c r="AB39" s="21">
        <f>EXP(-LN(2)/2)*AB38+(1-EXP(-LN(2)/2))/(LN(2)/2)*V39*Y39*VLOOKUP('Données projet'!$B$9,Paramètres!$A$1:$I$89,3,0)*0.475*44/12</f>
        <v>3.1313831627646143</v>
      </c>
      <c r="AC39" s="22">
        <f t="shared" si="3"/>
        <v>15.024391246620926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23.327500000000001</v>
      </c>
      <c r="AI39" s="13">
        <f>IF('Données projet'!$A$62&gt;35,AI38+AH39-AQ38,IF(A39&lt;'Données projet'!$A$62,$AF$205^A39,IF(A39='Données projet'!$A$62,'Données projet'!$B$62,AI38+AH39-AQ38)))</f>
        <v>405.9</v>
      </c>
      <c r="AJ39" s="13">
        <f>AI39*VLOOKUP('Données projet'!$B$10,Paramètres!$A$1:$I$89,3,0)*VLOOKUP('Données projet'!$B$10,Paramètres!$A$1:$I$89,5,0)</f>
        <v>242.72820000000002</v>
      </c>
      <c r="AK39" s="13">
        <f t="shared" si="35"/>
        <v>59.026129292443294</v>
      </c>
      <c r="AL39" s="20">
        <f t="shared" si="4"/>
        <v>525.55545685100537</v>
      </c>
      <c r="AM39" s="59">
        <f t="shared" si="5"/>
        <v>818.88879018433863</v>
      </c>
      <c r="AN39" s="59">
        <f ca="1">AVERAGE(OFFSET($AM$3,0,0,'Données projet'!$E$10+1,1))-AVERAGE(OFFSET($H$3,0,0,'Données projet'!$E$10+1,1))</f>
        <v>388.12151914648013</v>
      </c>
      <c r="AO39" s="59">
        <f t="shared" si="36"/>
        <v>481.43684454382793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29.196579375924383</v>
      </c>
      <c r="AV39" s="21">
        <f>EXP(-LN(2)/25)*AV38+(1-EXP(-LN(2)/25))/(LN(2)/25)*Calculateur!AQ39*Calculateur!AS39*VLOOKUP('Données projet'!$B$10,Paramètres!$A$1:$I$89,3,0)*0.475*44/12</f>
        <v>17.761290894015282</v>
      </c>
      <c r="AW39" s="21">
        <f>EXP(-LN(2)/2)*AW38+(1-EXP(-LN(2)/2))/(LN(2)/2)*AQ39*AT39*VLOOKUP('Données projet'!$B$10,Paramètres!$A$1:$I$89,3,0)*0.475*44/12</f>
        <v>2.9985919380883796</v>
      </c>
      <c r="AX39" s="21">
        <f t="shared" si="6"/>
        <v>49.956462208028043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11.4</v>
      </c>
      <c r="BD39" s="12">
        <f>IF('Données projet'!$A$88&gt;35,BD38+BC39-BL38,IF(A39&lt;'Données projet'!$A$88,$BA$205^A39,IF(A39='Données projet'!$A$88,'Données projet'!$B$88,BD38+BC39-BL38)))</f>
        <v>182.39999999999998</v>
      </c>
      <c r="BE39" s="13">
        <f>BD39*VLOOKUP('Données projet'!$B$11,Paramètres!$A$1:$I$89,3,0)*VLOOKUP('Données projet'!$B$11,Paramètres!$A$1:$I$89,5,0)</f>
        <v>173.57183999999998</v>
      </c>
      <c r="BF39" s="13">
        <f t="shared" si="37"/>
        <v>43.889026259091224</v>
      </c>
      <c r="BG39" s="20">
        <f t="shared" si="7"/>
        <v>378.74434206791716</v>
      </c>
      <c r="BH39" s="59">
        <f t="shared" si="8"/>
        <v>672.07767540125042</v>
      </c>
      <c r="BI39" s="59">
        <f ca="1">AVERAGE(OFFSET($BH$3,0,0,'Données projet'!$E$11+1,1))-AVERAGE(OFFSET($H$3,0,0,'Données projet'!$E$11+1,1))</f>
        <v>415.24818074059294</v>
      </c>
      <c r="BJ39" s="59">
        <f t="shared" si="38"/>
        <v>404.45811532046872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7.3949820163117046</v>
      </c>
      <c r="BQ39" s="21">
        <f>EXP(-LN(2)/25)*BQ38+(1-EXP(-LN(2)/25))/(LN(2)/25)*Calculateur!BL39*Calculateur!BN39*VLOOKUP('Données projet'!$B$11,Paramètres!$A$1:$I$89,3,0)*0.475*44/12</f>
        <v>14.622526715623547</v>
      </c>
      <c r="BR39" s="21">
        <f>EXP(-LN(2)/2)*BR38+(1-EXP(-LN(2)/2))/(LN(2)/2)*BL39*BO39*VLOOKUP('Données projet'!$B$11,Paramètres!$A$1:$I$89,3,0)*0.475*44/12</f>
        <v>6.7465106831822235</v>
      </c>
      <c r="BS39" s="22">
        <f t="shared" si="9"/>
        <v>28.764019415117474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11.4</v>
      </c>
      <c r="BY39" s="12">
        <f>IF('Données projet'!$A$114&gt;35,BY38+BX39-CG38,IF(A39&lt;'Données projet'!$A$114,$BV$205^A39,IF(A39='Données projet'!$A$114,'Données projet'!$B$114,BY38+BX39-CG38)))</f>
        <v>182.39999999999998</v>
      </c>
      <c r="BZ39" s="13">
        <f>BY39*VLOOKUP('Données projet'!$B$12,Paramètres!$A$1:$I$89,3,0)*VLOOKUP('Données projet'!$B$12,Paramètres!$A$1:$I$89,5,0)</f>
        <v>159.34464</v>
      </c>
      <c r="CA39" s="13">
        <f t="shared" si="39"/>
        <v>40.694661837553809</v>
      </c>
      <c r="CB39" s="20">
        <f t="shared" si="10"/>
        <v>348.40178403373949</v>
      </c>
      <c r="CC39" s="59">
        <f t="shared" si="11"/>
        <v>641.7351173670728</v>
      </c>
      <c r="CD39" s="59">
        <f ca="1">AVERAGE(OFFSET($CC$3,0,0,'Données projet'!$E$12+1,1))-AVERAGE(OFFSET($H$3,0,0,'Données projet'!$E$12+1,1))</f>
        <v>384.34044781465661</v>
      </c>
      <c r="CE39" s="59">
        <f t="shared" si="40"/>
        <v>374.99493809709708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8.3676350074011232</v>
      </c>
      <c r="CL39" s="21">
        <f>EXP(-LN(2)/25)*CL38+(1-EXP(-LN(2)/25))/(LN(2)/25)*Calculateur!CG39*Calculateur!CI39*VLOOKUP('Données projet'!$B$12,Paramètres!$A$1:$I$89,3,0)*0.475*44/12</f>
        <v>16.545809871128743</v>
      </c>
      <c r="CM39" s="21">
        <f>EXP(-LN(2)/2)*CM38+(1-EXP(-LN(2)/2))/(LN(2)/2)*CG39*CJ39*VLOOKUP('Données projet'!$B$12,Paramètres!$A$1:$I$89,3,0)*0.475*44/12</f>
        <v>6.1935180042328604</v>
      </c>
      <c r="CN39" s="22">
        <f t="shared" si="12"/>
        <v>31.106962882762726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22.851428571428578</v>
      </c>
      <c r="CT39" s="12">
        <f>IF('Données projet'!$A$140&gt;35,CT38+CS39-DB38,IF(A39&lt;'Données projet'!$A$140,$CQ$205^A39,IF(A39='Données projet'!$A$140,'Données projet'!$B$140,CT38+CS39-DB38)))</f>
        <v>313.38142857142856</v>
      </c>
      <c r="CU39" s="17">
        <f>CT39*VLOOKUP('Données projet'!$B$13,Paramètres!$A$1:$I$89,3,0)*VLOOKUP('Données projet'!$B$13,Paramètres!$A$1:$I$89,5,0)</f>
        <v>175.18021857142855</v>
      </c>
      <c r="CV39" s="13">
        <f t="shared" si="41"/>
        <v>44.248185618905715</v>
      </c>
      <c r="CW39" s="20">
        <f t="shared" si="13"/>
        <v>382.17113729816555</v>
      </c>
      <c r="CX39" s="59">
        <f t="shared" si="14"/>
        <v>675.50447063149886</v>
      </c>
      <c r="CY39" s="59">
        <f ca="1">AVERAGE(OFFSET($CX$3,0,0,'Données projet'!$E$13+1,1))-AVERAGE(OFFSET($H$3,0,0,'Données projet'!$E$13+1,1))</f>
        <v>386.66324266750968</v>
      </c>
      <c r="CZ39" s="59">
        <f t="shared" si="42"/>
        <v>356.22149461585769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31.580677510617672</v>
      </c>
      <c r="DG39" s="21">
        <f>EXP(-LN(2)/25)*DG38+(1-EXP(-LN(2)/25))/(LN(2)/25)*Calculateur!DB39*Calculateur!DD39*VLOOKUP('Données projet'!$B$13,Paramètres!$A$1:$I$89,3,0)*0.475*44/12</f>
        <v>21.40247727033702</v>
      </c>
      <c r="DH39" s="21">
        <f>EXP(-LN(2)/2)*DH38+(1-EXP(-LN(2)/2))/(LN(2)/2)*DB39*DE39*VLOOKUP('Données projet'!$B$13,Paramètres!$A$1:$I$89,3,0)*0.475*44/12</f>
        <v>8.862933151428745</v>
      </c>
      <c r="DI39" s="22">
        <f t="shared" si="15"/>
        <v>61.84608793238344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11.4</v>
      </c>
      <c r="DO39" s="12">
        <f>IF('Données projet'!$A$166&gt;35,DO38+DN39-DW38,IF(A39&lt;'Données projet'!$A$166,$DL$205^A39,IF(A39='Données projet'!$A$166,'Données projet'!$B$166,DO38+DN39-DW38)))</f>
        <v>182.39999999999998</v>
      </c>
      <c r="DP39" s="17">
        <f>DO39*VLOOKUP('Données projet'!$B$14,Paramètres!$A$1:$I$89,3,0)*VLOOKUP('Données projet'!$B$14,Paramètres!$A$1:$I$89,5,0)</f>
        <v>142.27199999999999</v>
      </c>
      <c r="DQ39" s="13">
        <f t="shared" si="43"/>
        <v>36.817000136193229</v>
      </c>
      <c r="DR39" s="20">
        <f t="shared" si="16"/>
        <v>311.91334190386982</v>
      </c>
      <c r="DS39" s="59">
        <f t="shared" si="17"/>
        <v>605.24667523720314</v>
      </c>
      <c r="DT39" s="59">
        <f ca="1">AVERAGE(OFFSET($DS$3,0,0,'Données projet'!$E$14+1,1))-AVERAGE(OFFSET($H$3,0,0,'Données projet'!$E$14+1,1))</f>
        <v>347.17417070871716</v>
      </c>
      <c r="DU39" s="59">
        <f t="shared" si="44"/>
        <v>339.56378046986441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6.0614606691079542</v>
      </c>
      <c r="EB39" s="21">
        <f>EXP(-LN(2)/25)*EB38+(1-EXP(-LN(2)/25))/(LN(2)/25)*Calculateur!DW39*Calculateur!DY39*VLOOKUP('Données projet'!$B$14,Paramètres!$A$1:$I$89,3,0)*0.475*44/12</f>
        <v>11.985677635757005</v>
      </c>
      <c r="EC39" s="21">
        <f>EXP(-LN(2)/2)*EC38+(1-EXP(-LN(2)/2))/(LN(2)/2)*DW39*DZ39*VLOOKUP('Données projet'!$B$14,Paramètres!$A$1:$I$89,3,0)*0.475*44/12</f>
        <v>5.5299267894936257</v>
      </c>
      <c r="ED39" s="22">
        <f t="shared" si="18"/>
        <v>23.577065094358584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11.4</v>
      </c>
      <c r="EJ39" s="12">
        <f>IF('Données projet'!$A$192&gt;35,EJ38+EI39-ER38,IF(A39&lt;'Données projet'!$A$192,$EG$205^A39,IF(A39='Données projet'!$A$192,'Données projet'!$B$192,EJ38+EI39-ER38)))</f>
        <v>182.39999999999998</v>
      </c>
      <c r="EK39" s="17">
        <f>EJ39*VLOOKUP('Données projet'!$B$15,Paramètres!$A$1:$I$89,3,0)*VLOOKUP('Données projet'!$B$15,Paramètres!$A$1:$I$89,5,0)</f>
        <v>159.34464</v>
      </c>
      <c r="EL39" s="13">
        <f t="shared" si="45"/>
        <v>40.694661837553809</v>
      </c>
      <c r="EM39" s="20">
        <f t="shared" si="19"/>
        <v>348.40178403373949</v>
      </c>
      <c r="EN39" s="59">
        <f t="shared" si="20"/>
        <v>641.7351173670728</v>
      </c>
      <c r="EO39" s="59">
        <f ca="1">AVERAGE(OFFSET($EN$3,0,0,'Données projet'!$E$15+1,1))-AVERAGE(OFFSET($H$3,0,0,'Données projet'!$E$15+1,1))</f>
        <v>384.34044781465661</v>
      </c>
      <c r="EP39" s="59">
        <f t="shared" si="46"/>
        <v>374.99493809709708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6.7888359494009087</v>
      </c>
      <c r="EW39" s="21">
        <f>EXP(-LN(2)/25)*EW38+(1-EXP(-LN(2)/25))/(LN(2)/25)*Calculateur!ER39*Calculateur!ET39*VLOOKUP('Données projet'!$B$15,Paramètres!$A$1:$I$89,3,0)*0.475*44/12</f>
        <v>13.423958952047849</v>
      </c>
      <c r="EX39" s="21">
        <f>EXP(-LN(2)/2)*EX38+(1-EXP(-LN(2)/2))/(LN(2)/2)*ER39*EU39*VLOOKUP('Données projet'!$B$15,Paramètres!$A$1:$I$89,3,0)*0.475*44/12</f>
        <v>6.1935180042328604</v>
      </c>
      <c r="EY39" s="22">
        <f t="shared" si="21"/>
        <v>26.40631290568162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11.4</v>
      </c>
      <c r="FE39" s="12">
        <f>IF('Données projet'!$A$218&gt;35,FE38+FD39-FM38,IF(A39&lt;'Données projet'!$A$218,$FB$205^A39,IF(A39='Données projet'!$A$218,'Données projet'!$B$218,FE38+FD39-FM38)))</f>
        <v>182.39999999999998</v>
      </c>
      <c r="FF39" s="17">
        <f>FE39*VLOOKUP('Données projet'!$B$16,Paramètres!$A$1:$I$89,3,0)*VLOOKUP('Données projet'!$B$16,Paramètres!$A$1:$I$89,5,0)</f>
        <v>147.96287999999998</v>
      </c>
      <c r="FG39" s="13">
        <f t="shared" si="47"/>
        <v>38.115275017059226</v>
      </c>
      <c r="FH39" s="20">
        <f t="shared" si="22"/>
        <v>324.08611998804474</v>
      </c>
      <c r="FI39" s="59">
        <f t="shared" si="23"/>
        <v>617.41945332137811</v>
      </c>
      <c r="FJ39" s="59">
        <f ca="1">AVERAGE(OFFSET($FI$3,0,0,'Données projet'!$E$16+1,1))-AVERAGE(OFFSET($H$3,0,0,'Données projet'!$E$16+1,1))</f>
        <v>359.57284550600366</v>
      </c>
      <c r="FK39" s="59">
        <f t="shared" si="48"/>
        <v>351.38386928091433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6.3039190958722733</v>
      </c>
      <c r="FR39" s="21">
        <f>EXP(-LN(2)/25)*FR38+(1-EXP(-LN(2)/25))/(LN(2)/25)*Calculateur!FM39*Calculateur!FO39*VLOOKUP('Données projet'!$B$16,Paramètres!$A$1:$I$89,3,0)*0.475*44/12</f>
        <v>12.465104741187286</v>
      </c>
      <c r="FS39" s="21">
        <f>EXP(-LN(2)/2)*FS38+(1-EXP(-LN(2)/2))/(LN(2)/2)*FM39*FP39*VLOOKUP('Données projet'!$B$16,Paramètres!$A$1:$I$89,3,0)*0.475*44/12</f>
        <v>5.7511238610733697</v>
      </c>
      <c r="FT39" s="22">
        <f t="shared" si="24"/>
        <v>24.520147698132931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6">
        <f t="shared" si="1"/>
        <v>256.66666666666669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13.956249999999997</v>
      </c>
      <c r="N40" s="13">
        <f>IF('Données projet'!$A$36&gt;35,N39+M40-V39,IF(A40&lt;'Données projet'!$A$36,$K$205^A40,IF(A40='Données projet'!$A$36,'Données projet'!$B$36,N39+M40-V39)))</f>
        <v>178.22874999999999</v>
      </c>
      <c r="O40" s="13">
        <f>N40*VLOOKUP('Données projet'!$B$9,Paramètres!$A$1:$I$89,3,0)*VLOOKUP('Données projet'!$B$9,Paramètres!$A$1:$I$89,5,0)</f>
        <v>161.26137299999999</v>
      </c>
      <c r="P40" s="13">
        <f t="shared" si="33"/>
        <v>41.126891450739848</v>
      </c>
      <c r="Q40" s="20">
        <f t="shared" si="53"/>
        <v>352.49289391837186</v>
      </c>
      <c r="R40" s="59">
        <f t="shared" si="0"/>
        <v>645.82622725170518</v>
      </c>
      <c r="S40" s="59">
        <f ca="1">AVERAGE(OFFSET($R$3,0,0,'Données projet'!$E$9+1,1))-AVERAGE(OFFSET($H$3,0,0,'Données projet'!$E$9+1,1))</f>
        <v>695.0879239758051</v>
      </c>
      <c r="T40" s="59">
        <f t="shared" si="34"/>
        <v>226.22150997227476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11.567793152377147</v>
      </c>
      <c r="AB40" s="21">
        <f>EXP(-LN(2)/2)*AB39+(1-EXP(-LN(2)/2))/(LN(2)/2)*V40*Y40*VLOOKUP('Données projet'!$B$9,Paramètres!$A$1:$I$89,3,0)*0.475*44/12</f>
        <v>2.2142222688842375</v>
      </c>
      <c r="AC40" s="22">
        <f t="shared" si="3"/>
        <v>13.782015421261384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23.327500000000001</v>
      </c>
      <c r="AI40" s="13">
        <f>IF('Données projet'!$A$62&gt;35,AI39+AH40-AQ39,IF(A40&lt;'Données projet'!$A$62,$AF$205^A40,IF(A40='Données projet'!$A$62,'Données projet'!$B$62,AI39+AH40-AQ39)))</f>
        <v>429.22749999999996</v>
      </c>
      <c r="AJ40" s="13">
        <f>AI40*VLOOKUP('Données projet'!$B$10,Paramètres!$A$1:$I$89,3,0)*VLOOKUP('Données projet'!$B$10,Paramètres!$A$1:$I$89,5,0)</f>
        <v>256.678045</v>
      </c>
      <c r="AK40" s="13">
        <f t="shared" si="35"/>
        <v>62.013742319875981</v>
      </c>
      <c r="AL40" s="20">
        <f t="shared" si="4"/>
        <v>555.0548629154506</v>
      </c>
      <c r="AM40" s="59">
        <f t="shared" si="5"/>
        <v>848.38819624878397</v>
      </c>
      <c r="AN40" s="59">
        <f ca="1">AVERAGE(OFFSET($AM$3,0,0,'Données projet'!$E$10+1,1))-AVERAGE(OFFSET($H$3,0,0,'Données projet'!$E$10+1,1))</f>
        <v>388.12151914648013</v>
      </c>
      <c r="AO40" s="59">
        <f t="shared" si="36"/>
        <v>481.43684454382793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28.624052262517516</v>
      </c>
      <c r="AV40" s="21">
        <f>EXP(-LN(2)/25)*AV39+(1-EXP(-LN(2)/25))/(LN(2)/25)*Calculateur!AQ40*Calculateur!AS40*VLOOKUP('Données projet'!$B$10,Paramètres!$A$1:$I$89,3,0)*0.475*44/12</f>
        <v>17.27560746049274</v>
      </c>
      <c r="AW40" s="21">
        <f>EXP(-LN(2)/2)*AW39+(1-EXP(-LN(2)/2))/(LN(2)/2)*AQ40*AT40*VLOOKUP('Données projet'!$B$10,Paramètres!$A$1:$I$89,3,0)*0.475*44/12</f>
        <v>2.1203246934336053</v>
      </c>
      <c r="AX40" s="21">
        <f t="shared" si="6"/>
        <v>48.019984416443862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11.4</v>
      </c>
      <c r="BD40" s="12">
        <f>IF('Données projet'!$A$88&gt;35,BD39+BC40-BL39,IF(A40&lt;'Données projet'!$A$88,$BA$205^A40,IF(A40='Données projet'!$A$88,'Données projet'!$B$88,BD39+BC40-BL39)))</f>
        <v>193.79999999999998</v>
      </c>
      <c r="BE40" s="13">
        <f>BD40*VLOOKUP('Données projet'!$B$11,Paramètres!$A$1:$I$89,3,0)*VLOOKUP('Données projet'!$B$11,Paramètres!$A$1:$I$89,5,0)</f>
        <v>184.42007999999998</v>
      </c>
      <c r="BF40" s="13">
        <f t="shared" si="37"/>
        <v>46.304179794239147</v>
      </c>
      <c r="BG40" s="20">
        <f t="shared" si="7"/>
        <v>401.84475247496647</v>
      </c>
      <c r="BH40" s="59">
        <f t="shared" si="8"/>
        <v>695.17808580829978</v>
      </c>
      <c r="BI40" s="59">
        <f ca="1">AVERAGE(OFFSET($BH$3,0,0,'Données projet'!$E$11+1,1))-AVERAGE(OFFSET($H$3,0,0,'Données projet'!$E$11+1,1))</f>
        <v>415.24818074059294</v>
      </c>
      <c r="BJ40" s="59">
        <f t="shared" si="38"/>
        <v>404.45811532046872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7.2499709294654879</v>
      </c>
      <c r="BQ40" s="21">
        <f>EXP(-LN(2)/25)*BQ39+(1-EXP(-LN(2)/25))/(LN(2)/25)*Calculateur!BL40*Calculateur!BN40*VLOOKUP('Données projet'!$B$11,Paramètres!$A$1:$I$89,3,0)*0.475*44/12</f>
        <v>14.222672953619561</v>
      </c>
      <c r="BR40" s="21">
        <f>EXP(-LN(2)/2)*BR39+(1-EXP(-LN(2)/2))/(LN(2)/2)*BL40*BO40*VLOOKUP('Données projet'!$B$11,Paramètres!$A$1:$I$89,3,0)*0.475*44/12</f>
        <v>4.7705034534256381</v>
      </c>
      <c r="BS40" s="22">
        <f t="shared" si="9"/>
        <v>26.243147336510688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11.4</v>
      </c>
      <c r="BY40" s="12">
        <f>IF('Données projet'!$A$114&gt;35,BY39+BX40-CG39,IF(A40&lt;'Données projet'!$A$114,$BV$205^A40,IF(A40='Données projet'!$A$114,'Données projet'!$B$114,BY39+BX40-CG39)))</f>
        <v>193.79999999999998</v>
      </c>
      <c r="BZ40" s="13">
        <f>BY40*VLOOKUP('Données projet'!$B$12,Paramètres!$A$1:$I$89,3,0)*VLOOKUP('Données projet'!$B$12,Paramètres!$A$1:$I$89,5,0)</f>
        <v>169.30368000000001</v>
      </c>
      <c r="CA40" s="13">
        <f t="shared" si="39"/>
        <v>42.934033834973214</v>
      </c>
      <c r="CB40" s="20">
        <f t="shared" si="10"/>
        <v>369.64735159591169</v>
      </c>
      <c r="CC40" s="59">
        <f t="shared" si="11"/>
        <v>662.98068492924494</v>
      </c>
      <c r="CD40" s="59">
        <f ca="1">AVERAGE(OFFSET($CC$3,0,0,'Données projet'!$E$12+1,1))-AVERAGE(OFFSET($H$3,0,0,'Données projet'!$E$12+1,1))</f>
        <v>384.34044781465661</v>
      </c>
      <c r="CE40" s="59">
        <f t="shared" si="40"/>
        <v>374.99493809709708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8.2035507886593884</v>
      </c>
      <c r="CL40" s="21">
        <f>EXP(-LN(2)/25)*CL39+(1-EXP(-LN(2)/25))/(LN(2)/25)*Calculateur!CG40*Calculateur!CI40*VLOOKUP('Données projet'!$B$12,Paramètres!$A$1:$I$89,3,0)*0.475*44/12</f>
        <v>16.093363830096401</v>
      </c>
      <c r="CM40" s="21">
        <f>EXP(-LN(2)/2)*CM39+(1-EXP(-LN(2)/2))/(LN(2)/2)*CG40*CJ40*VLOOKUP('Données projet'!$B$12,Paramètres!$A$1:$I$89,3,0)*0.475*44/12</f>
        <v>4.3794785801940277</v>
      </c>
      <c r="CN40" s="22">
        <f t="shared" si="12"/>
        <v>28.676393198949818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22.851428571428578</v>
      </c>
      <c r="CT40" s="12">
        <f>IF('Données projet'!$A$140&gt;35,CT39+CS40-DB39,IF(A40&lt;'Données projet'!$A$140,$CQ$205^A40,IF(A40='Données projet'!$A$140,'Données projet'!$B$140,CT39+CS40-DB39)))</f>
        <v>336.23285714285714</v>
      </c>
      <c r="CU40" s="17">
        <f>CT40*VLOOKUP('Données projet'!$B$13,Paramètres!$A$1:$I$89,3,0)*VLOOKUP('Données projet'!$B$13,Paramètres!$A$1:$I$89,5,0)</f>
        <v>187.95416714285713</v>
      </c>
      <c r="CV40" s="13">
        <f t="shared" si="41"/>
        <v>47.087363665282226</v>
      </c>
      <c r="CW40" s="20">
        <f t="shared" si="13"/>
        <v>409.36399949084267</v>
      </c>
      <c r="CX40" s="59">
        <f t="shared" si="14"/>
        <v>702.69733282417599</v>
      </c>
      <c r="CY40" s="59">
        <f ca="1">AVERAGE(OFFSET($CX$3,0,0,'Données projet'!$E$13+1,1))-AVERAGE(OFFSET($H$3,0,0,'Données projet'!$E$13+1,1))</f>
        <v>386.66324266750968</v>
      </c>
      <c r="CZ40" s="59">
        <f t="shared" si="42"/>
        <v>356.22149461585769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30.961399686945747</v>
      </c>
      <c r="DG40" s="21">
        <f>EXP(-LN(2)/25)*DG39+(1-EXP(-LN(2)/25))/(LN(2)/25)*Calculateur!DB40*Calculateur!DD40*VLOOKUP('Données projet'!$B$13,Paramètres!$A$1:$I$89,3,0)*0.475*44/12</f>
        <v>20.817225403872289</v>
      </c>
      <c r="DH40" s="21">
        <f>EXP(-LN(2)/2)*DH39+(1-EXP(-LN(2)/2))/(LN(2)/2)*DB40*DE40*VLOOKUP('Données projet'!$B$13,Paramètres!$A$1:$I$89,3,0)*0.475*44/12</f>
        <v>6.267040132578324</v>
      </c>
      <c r="DI40" s="22">
        <f t="shared" si="15"/>
        <v>58.045665223396362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11.4</v>
      </c>
      <c r="DO40" s="12">
        <f>IF('Données projet'!$A$166&gt;35,DO39+DN40-DW39,IF(A40&lt;'Données projet'!$A$166,$DL$205^A40,IF(A40='Données projet'!$A$166,'Données projet'!$B$166,DO39+DN40-DW39)))</f>
        <v>193.79999999999998</v>
      </c>
      <c r="DP40" s="17">
        <f>DO40*VLOOKUP('Données projet'!$B$14,Paramètres!$A$1:$I$89,3,0)*VLOOKUP('Données projet'!$B$14,Paramètres!$A$1:$I$89,5,0)</f>
        <v>151.16399999999999</v>
      </c>
      <c r="DQ40" s="13">
        <f t="shared" si="43"/>
        <v>38.842989674159945</v>
      </c>
      <c r="DR40" s="20">
        <f t="shared" si="16"/>
        <v>330.92884034916193</v>
      </c>
      <c r="DS40" s="59">
        <f t="shared" si="17"/>
        <v>624.26217368249524</v>
      </c>
      <c r="DT40" s="59">
        <f ca="1">AVERAGE(OFFSET($DS$3,0,0,'Données projet'!$E$14+1,1))-AVERAGE(OFFSET($H$3,0,0,'Données projet'!$E$14+1,1))</f>
        <v>347.17417070871716</v>
      </c>
      <c r="DU40" s="59">
        <f t="shared" si="44"/>
        <v>339.56378046986441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5.9425991225126946</v>
      </c>
      <c r="EB40" s="21">
        <f>EXP(-LN(2)/25)*EB39+(1-EXP(-LN(2)/25))/(LN(2)/25)*Calculateur!DW40*Calculateur!DY40*VLOOKUP('Données projet'!$B$14,Paramètres!$A$1:$I$89,3,0)*0.475*44/12</f>
        <v>11.657928650507836</v>
      </c>
      <c r="EC40" s="21">
        <f>EXP(-LN(2)/2)*EC39+(1-EXP(-LN(2)/2))/(LN(2)/2)*DW40*DZ40*VLOOKUP('Données projet'!$B$14,Paramètres!$A$1:$I$89,3,0)*0.475*44/12</f>
        <v>3.9102487323160968</v>
      </c>
      <c r="ED40" s="22">
        <f t="shared" si="18"/>
        <v>21.510776505336629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11.4</v>
      </c>
      <c r="EJ40" s="12">
        <f>IF('Données projet'!$A$192&gt;35,EJ39+EI40-ER39,IF(A40&lt;'Données projet'!$A$192,$EG$205^A40,IF(A40='Données projet'!$A$192,'Données projet'!$B$192,EJ39+EI40-ER39)))</f>
        <v>193.79999999999998</v>
      </c>
      <c r="EK40" s="17">
        <f>EJ40*VLOOKUP('Données projet'!$B$15,Paramètres!$A$1:$I$89,3,0)*VLOOKUP('Données projet'!$B$15,Paramètres!$A$1:$I$89,5,0)</f>
        <v>169.30368000000001</v>
      </c>
      <c r="EL40" s="13">
        <f t="shared" si="45"/>
        <v>42.934033834973214</v>
      </c>
      <c r="EM40" s="20">
        <f t="shared" si="19"/>
        <v>369.64735159591169</v>
      </c>
      <c r="EN40" s="59">
        <f t="shared" si="20"/>
        <v>662.98068492924494</v>
      </c>
      <c r="EO40" s="59">
        <f ca="1">AVERAGE(OFFSET($EN$3,0,0,'Données projet'!$E$15+1,1))-AVERAGE(OFFSET($H$3,0,0,'Données projet'!$E$15+1,1))</f>
        <v>384.34044781465661</v>
      </c>
      <c r="EP40" s="59">
        <f t="shared" si="46"/>
        <v>374.99493809709708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6.6557110172142178</v>
      </c>
      <c r="EW40" s="21">
        <f>EXP(-LN(2)/25)*EW39+(1-EXP(-LN(2)/25))/(LN(2)/25)*Calculateur!ER40*Calculateur!ET40*VLOOKUP('Données projet'!$B$15,Paramètres!$A$1:$I$89,3,0)*0.475*44/12</f>
        <v>13.05688008856878</v>
      </c>
      <c r="EX40" s="21">
        <f>EXP(-LN(2)/2)*EX39+(1-EXP(-LN(2)/2))/(LN(2)/2)*ER40*EU40*VLOOKUP('Données projet'!$B$15,Paramètres!$A$1:$I$89,3,0)*0.475*44/12</f>
        <v>4.3794785801940277</v>
      </c>
      <c r="EY40" s="22">
        <f t="shared" si="21"/>
        <v>24.092069685977027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11.4</v>
      </c>
      <c r="FE40" s="12">
        <f>IF('Données projet'!$A$218&gt;35,FE39+FD40-FM39,IF(A40&lt;'Données projet'!$A$218,$FB$205^A40,IF(A40='Données projet'!$A$218,'Données projet'!$B$218,FE39+FD40-FM39)))</f>
        <v>193.79999999999998</v>
      </c>
      <c r="FF40" s="17">
        <f>FE40*VLOOKUP('Données projet'!$B$16,Paramètres!$A$1:$I$89,3,0)*VLOOKUP('Données projet'!$B$16,Paramètres!$A$1:$I$89,5,0)</f>
        <v>157.21055999999999</v>
      </c>
      <c r="FG40" s="13">
        <f t="shared" si="47"/>
        <v>40.212706859296013</v>
      </c>
      <c r="FH40" s="20">
        <f t="shared" si="22"/>
        <v>343.84552311327383</v>
      </c>
      <c r="FI40" s="59">
        <f t="shared" si="23"/>
        <v>637.17885644660714</v>
      </c>
      <c r="FJ40" s="59">
        <f ca="1">AVERAGE(OFFSET($FI$3,0,0,'Données projet'!$E$16+1,1))-AVERAGE(OFFSET($H$3,0,0,'Données projet'!$E$16+1,1))</f>
        <v>359.57284550600366</v>
      </c>
      <c r="FK40" s="59">
        <f t="shared" si="48"/>
        <v>351.38386928091433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6.1803030874132032</v>
      </c>
      <c r="FR40" s="21">
        <f>EXP(-LN(2)/25)*FR39+(1-EXP(-LN(2)/25))/(LN(2)/25)*Calculateur!FM40*Calculateur!FO40*VLOOKUP('Données projet'!$B$16,Paramètres!$A$1:$I$89,3,0)*0.475*44/12</f>
        <v>12.12424579652815</v>
      </c>
      <c r="FS40" s="21">
        <f>EXP(-LN(2)/2)*FS39+(1-EXP(-LN(2)/2))/(LN(2)/2)*FM40*FP40*VLOOKUP('Données projet'!$B$16,Paramètres!$A$1:$I$89,3,0)*0.475*44/12</f>
        <v>4.0666586816087396</v>
      </c>
      <c r="FT40" s="22">
        <f t="shared" si="24"/>
        <v>22.371207565550094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6">
        <f t="shared" si="1"/>
        <v>256.66666666666669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13.956249999999997</v>
      </c>
      <c r="N41" s="13">
        <f>IF('Données projet'!$A$36&gt;35,N40+M41-V40,IF(A41&lt;'Données projet'!$A$36,$K$205^A41,IF(A41='Données projet'!$A$36,'Données projet'!$B$36,N40+M41-V40)))</f>
        <v>192.185</v>
      </c>
      <c r="O41" s="13">
        <f>N41*VLOOKUP('Données projet'!$B$9,Paramètres!$A$1:$I$89,3,0)*VLOOKUP('Données projet'!$B$9,Paramètres!$A$1:$I$89,5,0)</f>
        <v>173.88898799999998</v>
      </c>
      <c r="P41" s="13">
        <f t="shared" si="33"/>
        <v>43.959877621771504</v>
      </c>
      <c r="Q41" s="20">
        <f t="shared" si="53"/>
        <v>379.42010762458534</v>
      </c>
      <c r="R41" s="59">
        <f t="shared" si="0"/>
        <v>672.75344095791866</v>
      </c>
      <c r="S41" s="59">
        <f ca="1">AVERAGE(OFFSET($R$3,0,0,'Données projet'!$E$9+1,1))-AVERAGE(OFFSET($H$3,0,0,'Données projet'!$E$9+1,1))</f>
        <v>695.0879239758051</v>
      </c>
      <c r="T41" s="59">
        <f t="shared" si="34"/>
        <v>226.22150997227476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11.251471240301591</v>
      </c>
      <c r="AB41" s="21">
        <f>EXP(-LN(2)/2)*AB40+(1-EXP(-LN(2)/2))/(LN(2)/2)*V41*Y41*VLOOKUP('Données projet'!$B$9,Paramètres!$A$1:$I$89,3,0)*0.475*44/12</f>
        <v>1.5656915813823074</v>
      </c>
      <c r="AC41" s="22">
        <f t="shared" si="3"/>
        <v>12.817162821683898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23.327500000000001</v>
      </c>
      <c r="AI41" s="13">
        <f>IF('Données projet'!$A$62&gt;35,AI40+AH41-AQ40,IF(A41&lt;'Données projet'!$A$62,$AF$205^A41,IF(A41='Données projet'!$A$62,'Données projet'!$B$62,AI40+AH41-AQ40)))</f>
        <v>452.55499999999995</v>
      </c>
      <c r="AJ41" s="13">
        <f>AI41*VLOOKUP('Données projet'!$B$10,Paramètres!$A$1:$I$89,3,0)*VLOOKUP('Données projet'!$B$10,Paramètres!$A$1:$I$89,5,0)</f>
        <v>270.62788999999998</v>
      </c>
      <c r="AK41" s="13">
        <f t="shared" si="35"/>
        <v>64.982505373007044</v>
      </c>
      <c r="AL41" s="20">
        <f t="shared" si="4"/>
        <v>584.52143860798708</v>
      </c>
      <c r="AM41" s="59">
        <f t="shared" si="5"/>
        <v>877.85477194132045</v>
      </c>
      <c r="AN41" s="59">
        <f ca="1">AVERAGE(OFFSET($AM$3,0,0,'Données projet'!$E$10+1,1))-AVERAGE(OFFSET($H$3,0,0,'Données projet'!$E$10+1,1))</f>
        <v>388.12151914648013</v>
      </c>
      <c r="AO41" s="59">
        <f t="shared" si="36"/>
        <v>481.43684454382793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28.0627520565975</v>
      </c>
      <c r="AV41" s="21">
        <f>EXP(-LN(2)/25)*AV40+(1-EXP(-LN(2)/25))/(LN(2)/25)*Calculateur!AQ41*Calculateur!AS41*VLOOKUP('Données projet'!$B$10,Paramètres!$A$1:$I$89,3,0)*0.475*44/12</f>
        <v>16.803205066000853</v>
      </c>
      <c r="AW41" s="21">
        <f>EXP(-LN(2)/2)*AW40+(1-EXP(-LN(2)/2))/(LN(2)/2)*AQ41*AT41*VLOOKUP('Données projet'!$B$10,Paramètres!$A$1:$I$89,3,0)*0.475*44/12</f>
        <v>1.4992959690441898</v>
      </c>
      <c r="AX41" s="21">
        <f t="shared" si="6"/>
        <v>46.365253091642543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11.4</v>
      </c>
      <c r="BD41" s="12">
        <f>IF('Données projet'!$A$88&gt;35,BD40+BC41-BL40,IF(A41&lt;'Données projet'!$A$88,$BA$205^A41,IF(A41='Données projet'!$A$88,'Données projet'!$B$88,BD40+BC41-BL40)))</f>
        <v>205.2</v>
      </c>
      <c r="BE41" s="13">
        <f>BD41*VLOOKUP('Données projet'!$B$11,Paramètres!$A$1:$I$89,3,0)*VLOOKUP('Données projet'!$B$11,Paramètres!$A$1:$I$89,5,0)</f>
        <v>195.26831999999999</v>
      </c>
      <c r="BF41" s="13">
        <f t="shared" si="37"/>
        <v>48.702843078505502</v>
      </c>
      <c r="BG41" s="20">
        <f t="shared" si="7"/>
        <v>424.91644236173039</v>
      </c>
      <c r="BH41" s="59">
        <f t="shared" si="8"/>
        <v>718.2497756950637</v>
      </c>
      <c r="BI41" s="59">
        <f ca="1">AVERAGE(OFFSET($BH$3,0,0,'Données projet'!$E$11+1,1))-AVERAGE(OFFSET($H$3,0,0,'Données projet'!$E$11+1,1))</f>
        <v>415.24818074059294</v>
      </c>
      <c r="BJ41" s="59">
        <f t="shared" si="38"/>
        <v>404.45811532046872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7.107803421584296</v>
      </c>
      <c r="BQ41" s="21">
        <f>EXP(-LN(2)/25)*BQ40+(1-EXP(-LN(2)/25))/(LN(2)/25)*Calculateur!BL41*Calculateur!BN41*VLOOKUP('Données projet'!$B$11,Paramètres!$A$1:$I$89,3,0)*0.475*44/12</f>
        <v>13.83375321376497</v>
      </c>
      <c r="BR41" s="21">
        <f>EXP(-LN(2)/2)*BR40+(1-EXP(-LN(2)/2))/(LN(2)/2)*BL41*BO41*VLOOKUP('Données projet'!$B$11,Paramètres!$A$1:$I$89,3,0)*0.475*44/12</f>
        <v>3.3732553415911122</v>
      </c>
      <c r="BS41" s="22">
        <f t="shared" si="9"/>
        <v>24.314811976940376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11.4</v>
      </c>
      <c r="BY41" s="12">
        <f>IF('Données projet'!$A$114&gt;35,BY40+BX41-CG40,IF(A41&lt;'Données projet'!$A$114,$BV$205^A41,IF(A41='Données projet'!$A$114,'Données projet'!$B$114,BY40+BX41-CG40)))</f>
        <v>205.2</v>
      </c>
      <c r="BZ41" s="13">
        <f>BY41*VLOOKUP('Données projet'!$B$12,Paramètres!$A$1:$I$89,3,0)*VLOOKUP('Données projet'!$B$12,Paramètres!$A$1:$I$89,5,0)</f>
        <v>179.26272</v>
      </c>
      <c r="CA41" s="13">
        <f t="shared" si="39"/>
        <v>45.158115787467153</v>
      </c>
      <c r="CB41" s="20">
        <f t="shared" si="10"/>
        <v>390.86628899650526</v>
      </c>
      <c r="CC41" s="59">
        <f t="shared" si="11"/>
        <v>684.19962232983858</v>
      </c>
      <c r="CD41" s="59">
        <f ca="1">AVERAGE(OFFSET($CC$3,0,0,'Données projet'!$E$12+1,1))-AVERAGE(OFFSET($H$3,0,0,'Données projet'!$E$12+1,1))</f>
        <v>384.34044781465661</v>
      </c>
      <c r="CE41" s="59">
        <f t="shared" si="40"/>
        <v>374.99493809709708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8.0426841613656865</v>
      </c>
      <c r="CL41" s="21">
        <f>EXP(-LN(2)/25)*CL40+(1-EXP(-LN(2)/25))/(LN(2)/25)*Calculateur!CG41*Calculateur!CI41*VLOOKUP('Données projet'!$B$12,Paramètres!$A$1:$I$89,3,0)*0.475*44/12</f>
        <v>15.653289949849192</v>
      </c>
      <c r="CM41" s="21">
        <f>EXP(-LN(2)/2)*CM40+(1-EXP(-LN(2)/2))/(LN(2)/2)*CG41*CJ41*VLOOKUP('Données projet'!$B$12,Paramètres!$A$1:$I$89,3,0)*0.475*44/12</f>
        <v>3.0967590021164302</v>
      </c>
      <c r="CN41" s="22">
        <f t="shared" si="12"/>
        <v>26.792733113331309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22.851428571428578</v>
      </c>
      <c r="CT41" s="12">
        <f>IF('Données projet'!$A$140&gt;35,CT40+CS41-DB40,IF(A41&lt;'Données projet'!$A$140,$CQ$205^A41,IF(A41='Données projet'!$A$140,'Données projet'!$B$140,CT40+CS41-DB40)))</f>
        <v>359.08428571428573</v>
      </c>
      <c r="CU41" s="17">
        <f>CT41*VLOOKUP('Données projet'!$B$13,Paramètres!$A$1:$I$89,3,0)*VLOOKUP('Données projet'!$B$13,Paramètres!$A$1:$I$89,5,0)</f>
        <v>200.72811571428574</v>
      </c>
      <c r="CV41" s="13">
        <f t="shared" si="41"/>
        <v>49.904151662519681</v>
      </c>
      <c r="CW41" s="20">
        <f t="shared" si="13"/>
        <v>436.51786568126948</v>
      </c>
      <c r="CX41" s="59">
        <f t="shared" si="14"/>
        <v>729.8511990146028</v>
      </c>
      <c r="CY41" s="59">
        <f ca="1">AVERAGE(OFFSET($CX$3,0,0,'Données projet'!$E$13+1,1))-AVERAGE(OFFSET($H$3,0,0,'Données projet'!$E$13+1,1))</f>
        <v>386.66324266750968</v>
      </c>
      <c r="CZ41" s="59">
        <f t="shared" si="42"/>
        <v>356.22149461585769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30.354265523673853</v>
      </c>
      <c r="DG41" s="21">
        <f>EXP(-LN(2)/25)*DG40+(1-EXP(-LN(2)/25))/(LN(2)/25)*Calculateur!DB41*Calculateur!DD41*VLOOKUP('Données projet'!$B$13,Paramètres!$A$1:$I$89,3,0)*0.475*44/12</f>
        <v>20.247977280473094</v>
      </c>
      <c r="DH41" s="21">
        <f>EXP(-LN(2)/2)*DH40+(1-EXP(-LN(2)/2))/(LN(2)/2)*DB41*DE41*VLOOKUP('Données projet'!$B$13,Paramètres!$A$1:$I$89,3,0)*0.475*44/12</f>
        <v>4.4314665757143734</v>
      </c>
      <c r="DI41" s="22">
        <f t="shared" si="15"/>
        <v>55.033709379861321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11.4</v>
      </c>
      <c r="DO41" s="12">
        <f>IF('Données projet'!$A$166&gt;35,DO40+DN41-DW40,IF(A41&lt;'Données projet'!$A$166,$DL$205^A41,IF(A41='Données projet'!$A$166,'Données projet'!$B$166,DO40+DN41-DW40)))</f>
        <v>205.2</v>
      </c>
      <c r="DP41" s="17">
        <f>DO41*VLOOKUP('Données projet'!$B$14,Paramètres!$A$1:$I$89,3,0)*VLOOKUP('Données projet'!$B$14,Paramètres!$A$1:$I$89,5,0)</f>
        <v>160.05599999999998</v>
      </c>
      <c r="DQ41" s="13">
        <f t="shared" si="43"/>
        <v>40.855146105751423</v>
      </c>
      <c r="DR41" s="20">
        <f t="shared" si="16"/>
        <v>349.92024613418363</v>
      </c>
      <c r="DS41" s="59">
        <f t="shared" si="17"/>
        <v>643.25357946751694</v>
      </c>
      <c r="DT41" s="59">
        <f ca="1">AVERAGE(OFFSET($DS$3,0,0,'Données projet'!$E$14+1,1))-AVERAGE(OFFSET($H$3,0,0,'Données projet'!$E$14+1,1))</f>
        <v>347.17417070871716</v>
      </c>
      <c r="DU41" s="59">
        <f t="shared" si="44"/>
        <v>339.56378046986441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5.8260683783477836</v>
      </c>
      <c r="EB41" s="21">
        <f>EXP(-LN(2)/25)*EB40+(1-EXP(-LN(2)/25))/(LN(2)/25)*Calculateur!DW41*Calculateur!DY41*VLOOKUP('Données projet'!$B$14,Paramètres!$A$1:$I$89,3,0)*0.475*44/12</f>
        <v>11.339141978495876</v>
      </c>
      <c r="EC41" s="21">
        <f>EXP(-LN(2)/2)*EC40+(1-EXP(-LN(2)/2))/(LN(2)/2)*DW41*DZ41*VLOOKUP('Données projet'!$B$14,Paramètres!$A$1:$I$89,3,0)*0.475*44/12</f>
        <v>2.7649633947468133</v>
      </c>
      <c r="ED41" s="22">
        <f t="shared" si="18"/>
        <v>19.930173751590473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11.4</v>
      </c>
      <c r="EJ41" s="12">
        <f>IF('Données projet'!$A$192&gt;35,EJ40+EI41-ER40,IF(A41&lt;'Données projet'!$A$192,$EG$205^A41,IF(A41='Données projet'!$A$192,'Données projet'!$B$192,EJ40+EI41-ER40)))</f>
        <v>205.2</v>
      </c>
      <c r="EK41" s="17">
        <f>EJ41*VLOOKUP('Données projet'!$B$15,Paramètres!$A$1:$I$89,3,0)*VLOOKUP('Données projet'!$B$15,Paramètres!$A$1:$I$89,5,0)</f>
        <v>179.26272</v>
      </c>
      <c r="EL41" s="13">
        <f t="shared" si="45"/>
        <v>45.158115787467153</v>
      </c>
      <c r="EM41" s="20">
        <f t="shared" si="19"/>
        <v>390.86628899650526</v>
      </c>
      <c r="EN41" s="59">
        <f t="shared" si="20"/>
        <v>684.19962232983858</v>
      </c>
      <c r="EO41" s="59">
        <f ca="1">AVERAGE(OFFSET($EN$3,0,0,'Données projet'!$E$15+1,1))-AVERAGE(OFFSET($H$3,0,0,'Données projet'!$E$15+1,1))</f>
        <v>384.34044781465661</v>
      </c>
      <c r="EP41" s="59">
        <f t="shared" si="46"/>
        <v>374.99493809709708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6.5251965837495165</v>
      </c>
      <c r="EW41" s="21">
        <f>EXP(-LN(2)/25)*EW40+(1-EXP(-LN(2)/25))/(LN(2)/25)*Calculateur!ER41*Calculateur!ET41*VLOOKUP('Données projet'!$B$15,Paramètres!$A$1:$I$89,3,0)*0.475*44/12</f>
        <v>12.699839015915385</v>
      </c>
      <c r="EX41" s="21">
        <f>EXP(-LN(2)/2)*EX40+(1-EXP(-LN(2)/2))/(LN(2)/2)*ER41*EU41*VLOOKUP('Données projet'!$B$15,Paramètres!$A$1:$I$89,3,0)*0.475*44/12</f>
        <v>3.0967590021164302</v>
      </c>
      <c r="EY41" s="22">
        <f t="shared" si="21"/>
        <v>22.321794601781335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11.4</v>
      </c>
      <c r="FE41" s="12">
        <f>IF('Données projet'!$A$218&gt;35,FE40+FD41-FM40,IF(A41&lt;'Données projet'!$A$218,$FB$205^A41,IF(A41='Données projet'!$A$218,'Données projet'!$B$218,FE40+FD41-FM40)))</f>
        <v>205.2</v>
      </c>
      <c r="FF41" s="17">
        <f>FE41*VLOOKUP('Données projet'!$B$16,Paramètres!$A$1:$I$89,3,0)*VLOOKUP('Données projet'!$B$16,Paramètres!$A$1:$I$89,5,0)</f>
        <v>166.45823999999999</v>
      </c>
      <c r="FG41" s="13">
        <f t="shared" si="47"/>
        <v>42.295817799452642</v>
      </c>
      <c r="FH41" s="20">
        <f t="shared" si="22"/>
        <v>363.5799840007133</v>
      </c>
      <c r="FI41" s="59">
        <f t="shared" si="23"/>
        <v>656.91331733404661</v>
      </c>
      <c r="FJ41" s="59">
        <f ca="1">AVERAGE(OFFSET($FI$3,0,0,'Données projet'!$E$16+1,1))-AVERAGE(OFFSET($H$3,0,0,'Données projet'!$E$16+1,1))</f>
        <v>359.57284550600366</v>
      </c>
      <c r="FK41" s="59">
        <f t="shared" si="48"/>
        <v>351.38386928091433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6.0591111134816957</v>
      </c>
      <c r="FR41" s="21">
        <f>EXP(-LN(2)/25)*FR40+(1-EXP(-LN(2)/25))/(LN(2)/25)*Calculateur!FM41*Calculateur!FO41*VLOOKUP('Données projet'!$B$16,Paramètres!$A$1:$I$89,3,0)*0.475*44/12</f>
        <v>11.792707657635711</v>
      </c>
      <c r="FS41" s="21">
        <f>EXP(-LN(2)/2)*FS40+(1-EXP(-LN(2)/2))/(LN(2)/2)*FM41*FP41*VLOOKUP('Données projet'!$B$16,Paramètres!$A$1:$I$89,3,0)*0.475*44/12</f>
        <v>2.8755619305366849</v>
      </c>
      <c r="FT41" s="22">
        <f t="shared" si="24"/>
        <v>20.727380701654091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6">
        <f t="shared" si="1"/>
        <v>256.66666666666669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13.956249999999997</v>
      </c>
      <c r="N42" s="13">
        <f>IF('Données projet'!$A$36&gt;35,N41+M42-V41,IF(A42&lt;'Données projet'!$A$36,$K$205^A42,IF(A42='Données projet'!$A$36,'Données projet'!$B$36,N41+M42-V41)))</f>
        <v>206.14125000000001</v>
      </c>
      <c r="O42" s="13">
        <f>N42*VLOOKUP('Données projet'!$B$9,Paramètres!$A$1:$I$89,3,0)*VLOOKUP('Données projet'!$B$9,Paramètres!$A$1:$I$89,5,0)</f>
        <v>186.516603</v>
      </c>
      <c r="P42" s="13">
        <f t="shared" si="33"/>
        <v>46.768995827807657</v>
      </c>
      <c r="Q42" s="20">
        <f t="shared" si="53"/>
        <v>406.30575129176503</v>
      </c>
      <c r="R42" s="59">
        <f t="shared" si="0"/>
        <v>699.63908462509835</v>
      </c>
      <c r="S42" s="59">
        <f ca="1">AVERAGE(OFFSET($R$3,0,0,'Données projet'!$E$9+1,1))-AVERAGE(OFFSET($H$3,0,0,'Données projet'!$E$9+1,1))</f>
        <v>695.0879239758051</v>
      </c>
      <c r="T42" s="59">
        <f t="shared" si="34"/>
        <v>226.22150997227476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10.943799167546386</v>
      </c>
      <c r="AB42" s="21">
        <f>EXP(-LN(2)/2)*AB41+(1-EXP(-LN(2)/2))/(LN(2)/2)*V42*Y42*VLOOKUP('Données projet'!$B$9,Paramètres!$A$1:$I$89,3,0)*0.475*44/12</f>
        <v>1.1071111344421189</v>
      </c>
      <c r="AC42" s="22">
        <f t="shared" si="3"/>
        <v>12.050910301988505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23.327500000000001</v>
      </c>
      <c r="AI42" s="13">
        <f>IF('Données projet'!$A$62&gt;35,AI41+AH42-AQ41,IF(A42&lt;'Données projet'!$A$62,$AF$205^A42,IF(A42='Données projet'!$A$62,'Données projet'!$B$62,AI41+AH42-AQ41)))</f>
        <v>475.88249999999994</v>
      </c>
      <c r="AJ42" s="13">
        <f>AI42*VLOOKUP('Données projet'!$B$10,Paramètres!$A$1:$I$89,3,0)*VLOOKUP('Données projet'!$B$10,Paramètres!$A$1:$I$89,5,0)</f>
        <v>284.57773500000002</v>
      </c>
      <c r="AK42" s="13">
        <f t="shared" si="35"/>
        <v>67.933500931126744</v>
      </c>
      <c r="AL42" s="20">
        <f t="shared" si="4"/>
        <v>613.95706924671242</v>
      </c>
      <c r="AM42" s="59">
        <f t="shared" si="5"/>
        <v>907.29040258004579</v>
      </c>
      <c r="AN42" s="59">
        <f ca="1">AVERAGE(OFFSET($AM$3,0,0,'Données projet'!$E$10+1,1))-AVERAGE(OFFSET($H$3,0,0,'Données projet'!$E$10+1,1))</f>
        <v>388.12151914648013</v>
      </c>
      <c r="AO42" s="59">
        <f t="shared" si="36"/>
        <v>481.43684454382793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27.512458605356255</v>
      </c>
      <c r="AV42" s="21">
        <f>EXP(-LN(2)/25)*AV41+(1-EXP(-LN(2)/25))/(LN(2)/25)*Calculateur!AQ42*Calculateur!AS42*VLOOKUP('Données projet'!$B$10,Paramètres!$A$1:$I$89,3,0)*0.475*44/12</f>
        <v>16.343720539828908</v>
      </c>
      <c r="AW42" s="21">
        <f>EXP(-LN(2)/2)*AW41+(1-EXP(-LN(2)/2))/(LN(2)/2)*AQ42*AT42*VLOOKUP('Données projet'!$B$10,Paramètres!$A$1:$I$89,3,0)*0.475*44/12</f>
        <v>1.0601623467168027</v>
      </c>
      <c r="AX42" s="21">
        <f t="shared" si="6"/>
        <v>44.916341491901967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11.4</v>
      </c>
      <c r="BD42" s="12">
        <f>IF('Données projet'!$A$88&gt;35,BD41+BC42-BL41,IF(A42&lt;'Données projet'!$A$88,$BA$205^A42,IF(A42='Données projet'!$A$88,'Données projet'!$B$88,BD41+BC42-BL41)))</f>
        <v>216.6</v>
      </c>
      <c r="BE42" s="13">
        <f>BD42*VLOOKUP('Données projet'!$B$11,Paramètres!$A$1:$I$89,3,0)*VLOOKUP('Données projet'!$B$11,Paramètres!$A$1:$I$89,5,0)</f>
        <v>206.11656000000002</v>
      </c>
      <c r="BF42" s="13">
        <f t="shared" si="37"/>
        <v>51.086036652420376</v>
      </c>
      <c r="BG42" s="20">
        <f t="shared" si="7"/>
        <v>447.96118916963223</v>
      </c>
      <c r="BH42" s="59">
        <f t="shared" si="8"/>
        <v>741.29452250296549</v>
      </c>
      <c r="BI42" s="59">
        <f ca="1">AVERAGE(OFFSET($BH$3,0,0,'Données projet'!$E$11+1,1))-AVERAGE(OFFSET($H$3,0,0,'Données projet'!$E$11+1,1))</f>
        <v>415.24818074059294</v>
      </c>
      <c r="BJ42" s="59">
        <f t="shared" si="38"/>
        <v>404.45811532046872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6.968423731819037</v>
      </c>
      <c r="BQ42" s="21">
        <f>EXP(-LN(2)/25)*BQ41+(1-EXP(-LN(2)/25))/(LN(2)/25)*Calculateur!BL42*Calculateur!BN42*VLOOKUP('Données projet'!$B$11,Paramètres!$A$1:$I$89,3,0)*0.475*44/12</f>
        <v>13.455468504649103</v>
      </c>
      <c r="BR42" s="21">
        <f>EXP(-LN(2)/2)*BR41+(1-EXP(-LN(2)/2))/(LN(2)/2)*BL42*BO42*VLOOKUP('Données projet'!$B$11,Paramètres!$A$1:$I$89,3,0)*0.475*44/12</f>
        <v>2.3852517267128195</v>
      </c>
      <c r="BS42" s="22">
        <f t="shared" si="9"/>
        <v>22.809143963180961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11.4</v>
      </c>
      <c r="BY42" s="12">
        <f>IF('Données projet'!$A$114&gt;35,BY41+BX42-CG41,IF(A42&lt;'Données projet'!$A$114,$BV$205^A42,IF(A42='Données projet'!$A$114,'Données projet'!$B$114,BY41+BX42-CG41)))</f>
        <v>216.6</v>
      </c>
      <c r="BZ42" s="13">
        <f>BY42*VLOOKUP('Données projet'!$B$12,Paramètres!$A$1:$I$89,3,0)*VLOOKUP('Données projet'!$B$12,Paramètres!$A$1:$I$89,5,0)</f>
        <v>189.22176000000002</v>
      </c>
      <c r="CA42" s="13">
        <f t="shared" si="39"/>
        <v>47.367853957810077</v>
      </c>
      <c r="CB42" s="20">
        <f t="shared" si="10"/>
        <v>412.06024430985258</v>
      </c>
      <c r="CC42" s="59">
        <f t="shared" si="11"/>
        <v>705.39357764318584</v>
      </c>
      <c r="CD42" s="59">
        <f ca="1">AVERAGE(OFFSET($CC$3,0,0,'Données projet'!$E$12+1,1))-AVERAGE(OFFSET($H$3,0,0,'Données projet'!$E$12+1,1))</f>
        <v>384.34044781465661</v>
      </c>
      <c r="CE42" s="59">
        <f t="shared" si="40"/>
        <v>374.99493809709708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7.8849720305142608</v>
      </c>
      <c r="CL42" s="21">
        <f>EXP(-LN(2)/25)*CL41+(1-EXP(-LN(2)/25))/(LN(2)/25)*Calculateur!CG42*Calculateur!CI42*VLOOKUP('Données projet'!$B$12,Paramètres!$A$1:$I$89,3,0)*0.475*44/12</f>
        <v>15.225249912999823</v>
      </c>
      <c r="CM42" s="21">
        <f>EXP(-LN(2)/2)*CM41+(1-EXP(-LN(2)/2))/(LN(2)/2)*CG42*CJ42*VLOOKUP('Données projet'!$B$12,Paramètres!$A$1:$I$89,3,0)*0.475*44/12</f>
        <v>2.1897392900970138</v>
      </c>
      <c r="CN42" s="22">
        <f t="shared" si="12"/>
        <v>25.299961233611096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22.851428571428578</v>
      </c>
      <c r="CT42" s="12">
        <f>IF('Données projet'!$A$140&gt;35,CT41+CS42-DB41,IF(A42&lt;'Données projet'!$A$140,$CQ$205^A42,IF(A42='Données projet'!$A$140,'Données projet'!$B$140,CT41+CS42-DB41)))</f>
        <v>381.93571428571431</v>
      </c>
      <c r="CU42" s="17">
        <f>CT42*VLOOKUP('Données projet'!$B$13,Paramètres!$A$1:$I$89,3,0)*VLOOKUP('Données projet'!$B$13,Paramètres!$A$1:$I$89,5,0)</f>
        <v>213.50206428571431</v>
      </c>
      <c r="CV42" s="13">
        <f t="shared" si="41"/>
        <v>52.700136656354076</v>
      </c>
      <c r="CW42" s="20">
        <f t="shared" si="13"/>
        <v>463.6354999741024</v>
      </c>
      <c r="CX42" s="59">
        <f t="shared" si="14"/>
        <v>756.96883330743572</v>
      </c>
      <c r="CY42" s="59">
        <f ca="1">AVERAGE(OFFSET($CX$3,0,0,'Données projet'!$E$13+1,1))-AVERAGE(OFFSET($H$3,0,0,'Données projet'!$E$13+1,1))</f>
        <v>386.66324266750968</v>
      </c>
      <c r="CZ42" s="59">
        <f t="shared" si="42"/>
        <v>356.22149461585769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29.759036891028444</v>
      </c>
      <c r="DG42" s="21">
        <f>EXP(-LN(2)/25)*DG41+(1-EXP(-LN(2)/25))/(LN(2)/25)*Calculateur!DB42*Calculateur!DD42*VLOOKUP('Données projet'!$B$13,Paramètres!$A$1:$I$89,3,0)*0.475*44/12</f>
        <v>19.694295276943709</v>
      </c>
      <c r="DH42" s="21">
        <f>EXP(-LN(2)/2)*DH41+(1-EXP(-LN(2)/2))/(LN(2)/2)*DB42*DE42*VLOOKUP('Données projet'!$B$13,Paramètres!$A$1:$I$89,3,0)*0.475*44/12</f>
        <v>3.1335200662891629</v>
      </c>
      <c r="DI42" s="22">
        <f t="shared" si="15"/>
        <v>52.586852234261315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11.4</v>
      </c>
      <c r="DO42" s="12">
        <f>IF('Données projet'!$A$166&gt;35,DO41+DN42-DW41,IF(A42&lt;'Données projet'!$A$166,$DL$205^A42,IF(A42='Données projet'!$A$166,'Données projet'!$B$166,DO41+DN42-DW41)))</f>
        <v>216.6</v>
      </c>
      <c r="DP42" s="17">
        <f>DO42*VLOOKUP('Données projet'!$B$14,Paramètres!$A$1:$I$89,3,0)*VLOOKUP('Données projet'!$B$14,Paramètres!$A$1:$I$89,5,0)</f>
        <v>168.94800000000001</v>
      </c>
      <c r="DQ42" s="13">
        <f t="shared" si="43"/>
        <v>42.854325527446242</v>
      </c>
      <c r="DR42" s="20">
        <f t="shared" si="16"/>
        <v>368.88905029363553</v>
      </c>
      <c r="DS42" s="59">
        <f t="shared" si="17"/>
        <v>662.22238362696885</v>
      </c>
      <c r="DT42" s="59">
        <f ca="1">AVERAGE(OFFSET($DS$3,0,0,'Données projet'!$E$14+1,1))-AVERAGE(OFFSET($H$3,0,0,'Données projet'!$E$14+1,1))</f>
        <v>347.17417070871716</v>
      </c>
      <c r="DU42" s="59">
        <f t="shared" si="44"/>
        <v>339.56378046986441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5.7118227309992102</v>
      </c>
      <c r="EB42" s="21">
        <f>EXP(-LN(2)/25)*EB41+(1-EXP(-LN(2)/25))/(LN(2)/25)*Calculateur!DW42*Calculateur!DY42*VLOOKUP('Données projet'!$B$14,Paramètres!$A$1:$I$89,3,0)*0.475*44/12</f>
        <v>11.029072544794346</v>
      </c>
      <c r="EC42" s="21">
        <f>EXP(-LN(2)/2)*EC41+(1-EXP(-LN(2)/2))/(LN(2)/2)*DW42*DZ42*VLOOKUP('Données projet'!$B$14,Paramètres!$A$1:$I$89,3,0)*0.475*44/12</f>
        <v>1.9551243661580486</v>
      </c>
      <c r="ED42" s="22">
        <f t="shared" si="18"/>
        <v>18.696019641951604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11.4</v>
      </c>
      <c r="EJ42" s="12">
        <f>IF('Données projet'!$A$192&gt;35,EJ41+EI42-ER41,IF(A42&lt;'Données projet'!$A$192,$EG$205^A42,IF(A42='Données projet'!$A$192,'Données projet'!$B$192,EJ41+EI42-ER41)))</f>
        <v>216.6</v>
      </c>
      <c r="EK42" s="17">
        <f>EJ42*VLOOKUP('Données projet'!$B$15,Paramètres!$A$1:$I$89,3,0)*VLOOKUP('Données projet'!$B$15,Paramètres!$A$1:$I$89,5,0)</f>
        <v>189.22176000000002</v>
      </c>
      <c r="EL42" s="13">
        <f t="shared" si="45"/>
        <v>47.367853957810077</v>
      </c>
      <c r="EM42" s="20">
        <f t="shared" si="19"/>
        <v>412.06024430985258</v>
      </c>
      <c r="EN42" s="59">
        <f t="shared" si="20"/>
        <v>705.39357764318584</v>
      </c>
      <c r="EO42" s="59">
        <f ca="1">AVERAGE(OFFSET($EN$3,0,0,'Données projet'!$E$15+1,1))-AVERAGE(OFFSET($H$3,0,0,'Données projet'!$E$15+1,1))</f>
        <v>384.34044781465661</v>
      </c>
      <c r="EP42" s="59">
        <f t="shared" si="46"/>
        <v>374.99493809709708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6.3972414587191144</v>
      </c>
      <c r="EW42" s="21">
        <f>EXP(-LN(2)/25)*EW41+(1-EXP(-LN(2)/25))/(LN(2)/25)*Calculateur!ER42*Calculateur!ET42*VLOOKUP('Données projet'!$B$15,Paramètres!$A$1:$I$89,3,0)*0.475*44/12</f>
        <v>12.352561250169671</v>
      </c>
      <c r="EX42" s="21">
        <f>EXP(-LN(2)/2)*EX41+(1-EXP(-LN(2)/2))/(LN(2)/2)*ER42*EU42*VLOOKUP('Données projet'!$B$15,Paramètres!$A$1:$I$89,3,0)*0.475*44/12</f>
        <v>2.1897392900970138</v>
      </c>
      <c r="EY42" s="22">
        <f t="shared" si="21"/>
        <v>20.939541998985799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11.4</v>
      </c>
      <c r="FE42" s="12">
        <f>IF('Données projet'!$A$218&gt;35,FE41+FD42-FM41,IF(A42&lt;'Données projet'!$A$218,$FB$205^A42,IF(A42='Données projet'!$A$218,'Données projet'!$B$218,FE41+FD42-FM41)))</f>
        <v>216.6</v>
      </c>
      <c r="FF42" s="17">
        <f>FE42*VLOOKUP('Données projet'!$B$16,Paramètres!$A$1:$I$89,3,0)*VLOOKUP('Données projet'!$B$16,Paramètres!$A$1:$I$89,5,0)</f>
        <v>175.70592000000002</v>
      </c>
      <c r="FG42" s="13">
        <f t="shared" si="47"/>
        <v>44.365494122468341</v>
      </c>
      <c r="FH42" s="20">
        <f t="shared" si="22"/>
        <v>383.29104626329899</v>
      </c>
      <c r="FI42" s="59">
        <f t="shared" si="23"/>
        <v>676.62437959663225</v>
      </c>
      <c r="FJ42" s="59">
        <f ca="1">AVERAGE(OFFSET($FI$3,0,0,'Données projet'!$E$16+1,1))-AVERAGE(OFFSET($H$3,0,0,'Données projet'!$E$16+1,1))</f>
        <v>359.57284550600366</v>
      </c>
      <c r="FK42" s="59">
        <f t="shared" si="48"/>
        <v>351.38386928091433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5.9402956402391798</v>
      </c>
      <c r="FR42" s="21">
        <f>EXP(-LN(2)/25)*FR41+(1-EXP(-LN(2)/25))/(LN(2)/25)*Calculateur!FM42*Calculateur!FO42*VLOOKUP('Données projet'!$B$16,Paramètres!$A$1:$I$89,3,0)*0.475*44/12</f>
        <v>11.47023544658612</v>
      </c>
      <c r="FS42" s="21">
        <f>EXP(-LN(2)/2)*FS41+(1-EXP(-LN(2)/2))/(LN(2)/2)*FM42*FP42*VLOOKUP('Données projet'!$B$16,Paramètres!$A$1:$I$89,3,0)*0.475*44/12</f>
        <v>2.0333293408043698</v>
      </c>
      <c r="FT42" s="22">
        <f t="shared" si="24"/>
        <v>19.443860427629673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6">
        <f t="shared" si="1"/>
        <v>256.66666666666669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13.956249999999997</v>
      </c>
      <c r="N43" s="13">
        <f>IF('Données projet'!$A$36&gt;35,N42+M43-V42,IF(A43&lt;'Données projet'!$A$36,$K$205^A43,IF(A43='Données projet'!$A$36,'Données projet'!$B$36,N42+M43-V42)))</f>
        <v>220.09750000000003</v>
      </c>
      <c r="O43" s="13">
        <f>N43*VLOOKUP('Données projet'!$B$9,Paramètres!$A$1:$I$89,3,0)*VLOOKUP('Données projet'!$B$9,Paramètres!$A$1:$I$89,5,0)</f>
        <v>199.14421800000002</v>
      </c>
      <c r="P43" s="13">
        <f t="shared" si="33"/>
        <v>49.55604583218453</v>
      </c>
      <c r="Q43" s="20">
        <f t="shared" si="53"/>
        <v>433.15295950772139</v>
      </c>
      <c r="R43" s="59">
        <f t="shared" si="0"/>
        <v>726.48629284105471</v>
      </c>
      <c r="S43" s="59">
        <f ca="1">AVERAGE(OFFSET($R$3,0,0,'Données projet'!$E$9+1,1))-AVERAGE(OFFSET($H$3,0,0,'Données projet'!$E$9+1,1))</f>
        <v>695.0879239758051</v>
      </c>
      <c r="T43" s="59">
        <f t="shared" si="34"/>
        <v>226.22150997227476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10.644540403800445</v>
      </c>
      <c r="AB43" s="21">
        <f>EXP(-LN(2)/2)*AB42+(1-EXP(-LN(2)/2))/(LN(2)/2)*V43*Y43*VLOOKUP('Données projet'!$B$9,Paramètres!$A$1:$I$89,3,0)*0.475*44/12</f>
        <v>0.7828457906911539</v>
      </c>
      <c r="AC43" s="22">
        <f t="shared" si="3"/>
        <v>11.427386194491598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499.21</v>
      </c>
      <c r="AG43" s="12">
        <f>VLOOKUP(A43,'Données projet'!$A$61:$I$81,9,0)</f>
        <v>23.327500000000001</v>
      </c>
      <c r="AH43" s="12">
        <f t="array" ref="AH43">INDEX(AG:AG,MIN(IF(ISNUMBER(AG43:AG239),ROW(AG43:AG239),"")))</f>
        <v>23.327500000000001</v>
      </c>
      <c r="AI43" s="13">
        <f>IF('Données projet'!$A$62&gt;35,AI42+AH43-AQ42,IF(A43&lt;'Données projet'!$A$62,$AF$205^A43,IF(A43='Données projet'!$A$62,'Données projet'!$B$62,AI42+AH43-AQ42)))</f>
        <v>499.20999999999992</v>
      </c>
      <c r="AJ43" s="13">
        <f>AI43*VLOOKUP('Données projet'!$B$10,Paramètres!$A$1:$I$89,3,0)*VLOOKUP('Données projet'!$B$10,Paramètres!$A$1:$I$89,5,0)</f>
        <v>298.52758</v>
      </c>
      <c r="AK43" s="13">
        <f t="shared" si="35"/>
        <v>70.867699352870133</v>
      </c>
      <c r="AL43" s="20">
        <f t="shared" si="4"/>
        <v>643.36344487291547</v>
      </c>
      <c r="AM43" s="59">
        <f t="shared" si="5"/>
        <v>936.69677820624884</v>
      </c>
      <c r="AN43" s="59">
        <f ca="1">AVERAGE(OFFSET($AM$3,0,0,'Données projet'!$E$10+1,1))-AVERAGE(OFFSET($H$3,0,0,'Données projet'!$E$10+1,1))</f>
        <v>388.12151914648013</v>
      </c>
      <c r="AO43" s="59">
        <f t="shared" si="36"/>
        <v>481.43684454382793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116.63</v>
      </c>
      <c r="AR43" s="16">
        <f>IF(ISNA(VLOOKUP(A43,'Données projet'!$A$61:$I$81,5,0)),0%,VLOOKUP(A43,'Données projet'!$A$61:$I$81,5,0)*VLOOKUP('Données projet'!$B$10,Paramètres!$A$1:$I$89,7,0))</f>
        <v>0.27</v>
      </c>
      <c r="AS43" s="16">
        <f>IF(ISNA(VLOOKUP(A43,'Données projet'!$A$61:$I$81,6,0)),0%,VLOOKUP(A43,'Données projet'!$A$61:$I$81,6,0)*VLOOKUP('Données projet'!$B$10,Paramètres!$A$1:$I$89,7,0))</f>
        <v>9.0000000000000011E-2</v>
      </c>
      <c r="AT43" s="16">
        <f>IF(ISNA(VLOOKUP(A43,'Données projet'!$A$61:$I$81,7,0)),0%,VLOOKUP(A43,'Données projet'!$A$61:$I$81,7,0))</f>
        <v>0.2</v>
      </c>
      <c r="AU43" s="21">
        <f>EXP(-LN(2)/35)*AU42+(1-EXP(-LN(2)/35))/(LN(2)/35)*AQ43*AR43*VLOOKUP('Données projet'!$B$10,Paramètres!$A$1:$I$89,3,0)*0.475*44/12</f>
        <v>51.953597193273517</v>
      </c>
      <c r="AV43" s="21">
        <f>EXP(-LN(2)/25)*AV42+(1-EXP(-LN(2)/25))/(LN(2)/25)*Calculateur!AQ43*Calculateur!AS43*VLOOKUP('Données projet'!$B$10,Paramètres!$A$1:$I$89,3,0)*0.475*44/12</f>
        <v>24.190894914776614</v>
      </c>
      <c r="AW43" s="21">
        <f>EXP(-LN(2)/2)*AW42+(1-EXP(-LN(2)/2))/(LN(2)/2)*AQ43*AT43*VLOOKUP('Données projet'!$B$10,Paramètres!$A$1:$I$89,3,0)*0.475*44/12</f>
        <v>16.543097426639296</v>
      </c>
      <c r="AX43" s="21">
        <f t="shared" si="6"/>
        <v>92.687589534689423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228</v>
      </c>
      <c r="BB43" s="12">
        <f>VLOOKUP(A43,'Données projet'!$A$87:$I$107,9,0)</f>
        <v>11.4</v>
      </c>
      <c r="BC43" s="12">
        <f t="array" ref="BC43">INDEX(BB:BB,MIN(IF(ISNUMBER(BB43:BB239),ROW(BB43:BB239),"")))</f>
        <v>11.4</v>
      </c>
      <c r="BD43" s="12">
        <f>IF('Données projet'!$A$88&gt;35,BD42+BC43-BL42,IF(A43&lt;'Données projet'!$A$88,$BA$205^A43,IF(A43='Données projet'!$A$88,'Données projet'!$B$88,BD42+BC43-BL42)))</f>
        <v>228</v>
      </c>
      <c r="BE43" s="13">
        <f>BD43*VLOOKUP('Données projet'!$B$11,Paramètres!$A$1:$I$89,3,0)*VLOOKUP('Données projet'!$B$11,Paramètres!$A$1:$I$89,5,0)</f>
        <v>216.9648</v>
      </c>
      <c r="BF43" s="13">
        <f t="shared" si="37"/>
        <v>53.454667563841021</v>
      </c>
      <c r="BG43" s="20">
        <f t="shared" si="7"/>
        <v>470.98057267368972</v>
      </c>
      <c r="BH43" s="59">
        <f t="shared" si="8"/>
        <v>764.31390600702298</v>
      </c>
      <c r="BI43" s="59">
        <f ca="1">AVERAGE(OFFSET($BH$3,0,0,'Données projet'!$E$11+1,1))-AVERAGE(OFFSET($H$3,0,0,'Données projet'!$E$11+1,1))</f>
        <v>415.24818074059294</v>
      </c>
      <c r="BJ43" s="59">
        <f t="shared" si="38"/>
        <v>404.45811532046872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35</v>
      </c>
      <c r="BM43" s="16">
        <f>IF(ISNA(VLOOKUP(A43,'Données projet'!$A$87:$I$107,5,0)),0%,VLOOKUP(A43,'Données projet'!$A$87:$I$107,5,0)*VLOOKUP('Données projet'!$B$11,Paramètres!$A$1:$I$89,7,0))</f>
        <v>0.1075</v>
      </c>
      <c r="BN43" s="16">
        <f>IF(ISNA(VLOOKUP(A43,'Données projet'!$A$87:$I$107,6,0)),0%,VLOOKUP(A43,'Données projet'!$A$87:$I$107,6,0)*VLOOKUP('Données projet'!$B$11,Paramètres!$A$1:$I$89,7,0))</f>
        <v>0.1075</v>
      </c>
      <c r="BO43" s="16">
        <f>IF(ISNA(VLOOKUP(A43,'Données projet'!$A$87:$I$107,7,0)),0%,VLOOKUP(A43,'Données projet'!$A$87:$I$107,7,0))</f>
        <v>0.25</v>
      </c>
      <c r="BP43" s="21">
        <f>EXP(-LN(2)/35)*BP42+(1-EXP(-LN(2)/35))/(LN(2)/35)*BL43*BM43*VLOOKUP('Données projet'!$B$11,Paramètres!$A$1:$I$89,3,0)*0.475*44/12</f>
        <v>10.789797812284736</v>
      </c>
      <c r="BQ43" s="21">
        <f>EXP(-LN(2)/25)*BQ42+(1-EXP(-LN(2)/25))/(LN(2)/25)*Calculateur!BL43*Calculateur!BN43*VLOOKUP('Données projet'!$B$11,Paramètres!$A$1:$I$89,3,0)*0.475*44/12</f>
        <v>17.029964395021842</v>
      </c>
      <c r="BR43" s="21">
        <f>EXP(-LN(2)/2)*BR42+(1-EXP(-LN(2)/2))/(LN(2)/2)*BL43*BO43*VLOOKUP('Données projet'!$B$11,Paramètres!$A$1:$I$89,3,0)*0.475*44/12</f>
        <v>9.5429045252573221</v>
      </c>
      <c r="BS43" s="22">
        <f t="shared" si="9"/>
        <v>37.362666732563902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228</v>
      </c>
      <c r="BW43" s="12">
        <f>VLOOKUP(A43,'Données projet'!$A$113:$I$133,9,0)</f>
        <v>11.4</v>
      </c>
      <c r="BX43" s="12">
        <f t="array" ref="BX43">INDEX(BW:BW,MIN(IF(ISNUMBER(BW43:BW239),ROW(BW43:BW239),"")))</f>
        <v>11.4</v>
      </c>
      <c r="BY43" s="12">
        <f>IF('Données projet'!$A$114&gt;35,BY42+BX43-CG42,IF(A43&lt;'Données projet'!$A$114,$BV$205^A43,IF(A43='Données projet'!$A$114,'Données projet'!$B$114,BY42+BX43-CG42)))</f>
        <v>228</v>
      </c>
      <c r="BZ43" s="13">
        <f>BY43*VLOOKUP('Données projet'!$B$12,Paramètres!$A$1:$I$89,3,0)*VLOOKUP('Données projet'!$B$12,Paramètres!$A$1:$I$89,5,0)</f>
        <v>199.1808</v>
      </c>
      <c r="CA43" s="13">
        <f t="shared" si="39"/>
        <v>49.564089376413683</v>
      </c>
      <c r="CB43" s="20">
        <f t="shared" si="10"/>
        <v>433.23068233058711</v>
      </c>
      <c r="CC43" s="59">
        <f t="shared" si="11"/>
        <v>726.56401566392037</v>
      </c>
      <c r="CD43" s="59">
        <f ca="1">AVERAGE(OFFSET($CC$3,0,0,'Données projet'!$E$12+1,1))-AVERAGE(OFFSET($H$3,0,0,'Données projet'!$E$12+1,1))</f>
        <v>384.34044781465661</v>
      </c>
      <c r="CE43" s="59">
        <f t="shared" si="40"/>
        <v>374.99493809709708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35</v>
      </c>
      <c r="CH43" s="16">
        <f>IF(ISNA(VLOOKUP(A43,'Données projet'!$A$113:$I$133,5,0)),0%,VLOOKUP(A43,'Données projet'!$A$113:$I$133,5,0)*VLOOKUP('Données projet'!$B$12,Paramètres!$A$1:$I$89,7,0))</f>
        <v>0.13250000000000001</v>
      </c>
      <c r="CI43" s="16">
        <f>IF(ISNA(VLOOKUP(A43,'Données projet'!$A$113:$I$133,6,0)),0%,VLOOKUP(A43,'Données projet'!$A$113:$I$133,6,0)*VLOOKUP('Données projet'!$B$12,Paramètres!$A$1:$I$89,7,0))</f>
        <v>0.13250000000000001</v>
      </c>
      <c r="CJ43" s="16">
        <f>IF(ISNA(VLOOKUP(A43,'Données projet'!$A$113:$I$133,7,0)),0%,VLOOKUP(A43,'Données projet'!$A$113:$I$133,7,0))</f>
        <v>0.25</v>
      </c>
      <c r="CK43" s="21">
        <f>EXP(-LN(2)/35)*CK42+(1-EXP(-LN(2)/35))/(LN(2)/35)*CG43*CH43*VLOOKUP('Données projet'!$B$12,Paramètres!$A$1:$I$89,3,0)*0.475*44/12</f>
        <v>12.208966796363363</v>
      </c>
      <c r="CL43" s="21">
        <f>EXP(-LN(2)/25)*CL42+(1-EXP(-LN(2)/25))/(LN(2)/25)*Calculateur!CG43*Calculateur!CI43*VLOOKUP('Données projet'!$B$12,Paramètres!$A$1:$I$89,3,0)*0.475*44/12</f>
        <v>19.269894900657576</v>
      </c>
      <c r="CM43" s="21">
        <f>EXP(-LN(2)/2)*CM42+(1-EXP(-LN(2)/2))/(LN(2)/2)*CG43*CJ43*VLOOKUP('Données projet'!$B$12,Paramètres!$A$1:$I$89,3,0)*0.475*44/12</f>
        <v>8.7606992363018037</v>
      </c>
      <c r="CN43" s="22">
        <f t="shared" si="12"/>
        <v>40.239560933322743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22.851428571428578</v>
      </c>
      <c r="CT43" s="12">
        <f>IF('Données projet'!$A$140&gt;35,CT42+CS43-DB42,IF(A43&lt;'Données projet'!$A$140,$CQ$205^A43,IF(A43='Données projet'!$A$140,'Données projet'!$B$140,CT42+CS43-DB42)))</f>
        <v>404.7871428571429</v>
      </c>
      <c r="CU43" s="17">
        <f>CT43*VLOOKUP('Données projet'!$B$13,Paramètres!$A$1:$I$89,3,0)*VLOOKUP('Données projet'!$B$13,Paramètres!$A$1:$I$89,5,0)</f>
        <v>226.27601285714289</v>
      </c>
      <c r="CV43" s="13">
        <f t="shared" si="41"/>
        <v>55.476705055614268</v>
      </c>
      <c r="CW43" s="20">
        <f t="shared" si="13"/>
        <v>490.71931703138534</v>
      </c>
      <c r="CX43" s="59">
        <f t="shared" si="14"/>
        <v>784.0526503647186</v>
      </c>
      <c r="CY43" s="59">
        <f ca="1">AVERAGE(OFFSET($CX$3,0,0,'Données projet'!$E$13+1,1))-AVERAGE(OFFSET($H$3,0,0,'Données projet'!$E$13+1,1))</f>
        <v>386.66324266750968</v>
      </c>
      <c r="CZ43" s="59">
        <f t="shared" si="42"/>
        <v>356.22149461585769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29.175480328815595</v>
      </c>
      <c r="DG43" s="21">
        <f>EXP(-LN(2)/25)*DG42+(1-EXP(-LN(2)/25))/(LN(2)/25)*Calculateur!DB43*Calculateur!DD43*VLOOKUP('Données projet'!$B$13,Paramètres!$A$1:$I$89,3,0)*0.475*44/12</f>
        <v>19.155753736917706</v>
      </c>
      <c r="DH43" s="21">
        <f>EXP(-LN(2)/2)*DH42+(1-EXP(-LN(2)/2))/(LN(2)/2)*DB43*DE43*VLOOKUP('Données projet'!$B$13,Paramètres!$A$1:$I$89,3,0)*0.475*44/12</f>
        <v>2.2157332878571872</v>
      </c>
      <c r="DI43" s="22">
        <f t="shared" si="15"/>
        <v>50.546967353590489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228</v>
      </c>
      <c r="DM43" s="12">
        <f>VLOOKUP(A43,'Données projet'!$A$165:$I$185,9,0)</f>
        <v>11.4</v>
      </c>
      <c r="DN43" s="12">
        <f t="array" ref="DN43">INDEX(DM:DM,MIN(IF(ISNUMBER(DM43:DM239),ROW(DM43:DM239),"")))</f>
        <v>11.4</v>
      </c>
      <c r="DO43" s="12">
        <f>IF('Données projet'!$A$166&gt;35,DO42+DN43-DW42,IF(A43&lt;'Données projet'!$A$166,$DL$205^A43,IF(A43='Données projet'!$A$166,'Données projet'!$B$166,DO42+DN43-DW42)))</f>
        <v>228</v>
      </c>
      <c r="DP43" s="17">
        <f>DO43*VLOOKUP('Données projet'!$B$14,Paramètres!$A$1:$I$89,3,0)*VLOOKUP('Données projet'!$B$14,Paramètres!$A$1:$I$89,5,0)</f>
        <v>177.84</v>
      </c>
      <c r="DQ43" s="13">
        <f t="shared" si="43"/>
        <v>44.841288830609102</v>
      </c>
      <c r="DR43" s="20">
        <f t="shared" si="16"/>
        <v>387.83657804664421</v>
      </c>
      <c r="DS43" s="59">
        <f t="shared" si="17"/>
        <v>681.16991137997752</v>
      </c>
      <c r="DT43" s="59">
        <f ca="1">AVERAGE(OFFSET($DS$3,0,0,'Données projet'!$E$14+1,1))-AVERAGE(OFFSET($H$3,0,0,'Données projet'!$E$14+1,1))</f>
        <v>347.17417070871716</v>
      </c>
      <c r="DU43" s="59">
        <f t="shared" si="44"/>
        <v>339.56378046986441</v>
      </c>
      <c r="DV43" s="15">
        <f>IF(ISNA(VLOOKUP(A43,'Données projet'!$A$165:$I$185,3,0)),0,VLOOKUP(A43,'Données projet'!$A$165:$I$185,3,0))</f>
        <v>6</v>
      </c>
      <c r="DW43" s="15">
        <f>IF(ISNA(VLOOKUP(A43,'Données projet'!$A$165:$I$185,4,0)),0,VLOOKUP(A43,'Données projet'!$A$165:$I$185,4,0))</f>
        <v>35</v>
      </c>
      <c r="DX43" s="16">
        <f>IF(ISNA(VLOOKUP(A43,'Données projet'!$A$165:$I$185,5,0)),0%,VLOOKUP(A43,'Données projet'!$A$165:$I$185,5,0)*VLOOKUP('Données projet'!$B$14,Paramètres!$A$1:$I$89,7,0))</f>
        <v>0.1075</v>
      </c>
      <c r="DY43" s="16">
        <f>IF(ISNA(VLOOKUP(A43,'Données projet'!$A$165:$I$185,6,0)),0%,VLOOKUP(A43,'Données projet'!$A$165:$I$185,6,0)*VLOOKUP('Données projet'!$B$14,Paramètres!$A$1:$I$89,7,0))</f>
        <v>0.1075</v>
      </c>
      <c r="DZ43" s="16">
        <f>IF(ISNA(VLOOKUP(A43,'Données projet'!$A$165:$I$185,7,0)),0%,VLOOKUP(A43,'Données projet'!$A$165:$I$185,7,0))</f>
        <v>0.25</v>
      </c>
      <c r="EA43" s="21">
        <f>EXP(-LN(2)/35)*EA42+(1-EXP(-LN(2)/35))/(LN(2)/35)*DW43*DX43*VLOOKUP('Données projet'!$B$14,Paramètres!$A$1:$I$89,3,0)*0.475*44/12</f>
        <v>8.8440965674465026</v>
      </c>
      <c r="EB43" s="21">
        <f>EXP(-LN(2)/25)*EB42+(1-EXP(-LN(2)/25))/(LN(2)/25)*Calculateur!DW43*Calculateur!DY43*VLOOKUP('Données projet'!$B$14,Paramètres!$A$1:$I$89,3,0)*0.475*44/12</f>
        <v>13.958987209034294</v>
      </c>
      <c r="EC43" s="21">
        <f>EXP(-LN(2)/2)*EC42+(1-EXP(-LN(2)/2))/(LN(2)/2)*DW43*DZ43*VLOOKUP('Données projet'!$B$14,Paramètres!$A$1:$I$89,3,0)*0.475*44/12</f>
        <v>7.8220528895551809</v>
      </c>
      <c r="ED43" s="22">
        <f t="shared" si="18"/>
        <v>30.625136666035978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228</v>
      </c>
      <c r="EH43" s="12">
        <f>VLOOKUP(A43,'Données projet'!$A$191:$I$211,9,0)</f>
        <v>11.4</v>
      </c>
      <c r="EI43" s="12">
        <f t="array" ref="EI43">INDEX(EH:EH,MIN(IF(ISNUMBER(EH43:EH239),ROW(EH43:EH239),"")))</f>
        <v>11.4</v>
      </c>
      <c r="EJ43" s="12">
        <f>IF('Données projet'!$A$192&gt;35,EJ42+EI43-ER42,IF(A43&lt;'Données projet'!$A$192,$EG$205^A43,IF(A43='Données projet'!$A$192,'Données projet'!$B$192,EJ42+EI43-ER42)))</f>
        <v>228</v>
      </c>
      <c r="EK43" s="17">
        <f>EJ43*VLOOKUP('Données projet'!$B$15,Paramètres!$A$1:$I$89,3,0)*VLOOKUP('Données projet'!$B$15,Paramètres!$A$1:$I$89,5,0)</f>
        <v>199.1808</v>
      </c>
      <c r="EL43" s="13">
        <f t="shared" si="45"/>
        <v>49.564089376413683</v>
      </c>
      <c r="EM43" s="20">
        <f t="shared" si="19"/>
        <v>433.23068233058711</v>
      </c>
      <c r="EN43" s="59">
        <f t="shared" si="20"/>
        <v>726.56401566392037</v>
      </c>
      <c r="EO43" s="59">
        <f ca="1">AVERAGE(OFFSET($EN$3,0,0,'Données projet'!$E$15+1,1))-AVERAGE(OFFSET($H$3,0,0,'Données projet'!$E$15+1,1))</f>
        <v>384.34044781465661</v>
      </c>
      <c r="EP43" s="59">
        <f t="shared" si="46"/>
        <v>374.99493809709708</v>
      </c>
      <c r="EQ43" s="15">
        <f>IF(ISNA(VLOOKUP(A43,'Données projet'!$A$191:$I$211,3,0)),0,VLOOKUP(A43,'Données projet'!$A$191:$I$211,3,0))</f>
        <v>6</v>
      </c>
      <c r="ER43" s="15">
        <f>IF(ISNA(VLOOKUP(A43,'Données projet'!$A$191:$I$211,4,0)),0,VLOOKUP(A43,'Données projet'!$A$191:$I$211,4,0))</f>
        <v>35</v>
      </c>
      <c r="ES43" s="16">
        <f>IF(ISNA(VLOOKUP(A43,'Données projet'!$A$191:$I$211,5,0)),0%,VLOOKUP(A43,'Données projet'!$A$191:$I$211,5,0)*VLOOKUP('Données projet'!$B$15,Paramètres!$A$1:$I$89,7,0))</f>
        <v>0.1075</v>
      </c>
      <c r="ET43" s="16">
        <f>IF(ISNA(VLOOKUP(A43,'Données projet'!$A$191:$I$211,6,0)),0%,VLOOKUP(A43,'Données projet'!$A$191:$I$211,6,0)*VLOOKUP('Données projet'!$B$15,Paramètres!$A$1:$I$89,7,0))</f>
        <v>0.1075</v>
      </c>
      <c r="EU43" s="16">
        <f>IF(ISNA(VLOOKUP(A43,'Données projet'!$A$191:$I$211,7,0)),0%,VLOOKUP(A43,'Données projet'!$A$191:$I$211,7,0))</f>
        <v>0.25</v>
      </c>
      <c r="EV43" s="21">
        <f>EXP(-LN(2)/35)*EV42+(1-EXP(-LN(2)/35))/(LN(2)/35)*ER43*ES43*VLOOKUP('Données projet'!$B$15,Paramètres!$A$1:$I$89,3,0)*0.475*44/12</f>
        <v>9.9053881555400825</v>
      </c>
      <c r="EW43" s="21">
        <f>EXP(-LN(2)/25)*EW42+(1-EXP(-LN(2)/25))/(LN(2)/25)*Calculateur!ER43*Calculateur!ET43*VLOOKUP('Données projet'!$B$15,Paramètres!$A$1:$I$89,3,0)*0.475*44/12</f>
        <v>15.634065674118416</v>
      </c>
      <c r="EX43" s="21">
        <f>EXP(-LN(2)/2)*EX42+(1-EXP(-LN(2)/2))/(LN(2)/2)*ER43*EU43*VLOOKUP('Données projet'!$B$15,Paramètres!$A$1:$I$89,3,0)*0.475*44/12</f>
        <v>8.7606992363018037</v>
      </c>
      <c r="EY43" s="22">
        <f t="shared" si="21"/>
        <v>34.300153065960302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228</v>
      </c>
      <c r="FC43" s="12">
        <f>VLOOKUP(A43,'Données projet'!$A$217:$I$237,9,0)</f>
        <v>11.4</v>
      </c>
      <c r="FD43" s="12">
        <f t="array" ref="FD43">INDEX(FC:FC,MIN(IF(ISNUMBER(FC43:FC239),ROW(FC43:FC239),"")))</f>
        <v>11.4</v>
      </c>
      <c r="FE43" s="12">
        <f>IF('Données projet'!$A$218&gt;35,FE42+FD43-FM42,IF(A43&lt;'Données projet'!$A$218,$FB$205^A43,IF(A43='Données projet'!$A$218,'Données projet'!$B$218,FE42+FD43-FM42)))</f>
        <v>228</v>
      </c>
      <c r="FF43" s="17">
        <f>FE43*VLOOKUP('Données projet'!$B$16,Paramètres!$A$1:$I$89,3,0)*VLOOKUP('Données projet'!$B$16,Paramètres!$A$1:$I$89,5,0)</f>
        <v>184.95360000000002</v>
      </c>
      <c r="FG43" s="13">
        <f t="shared" si="47"/>
        <v>46.42252355095799</v>
      </c>
      <c r="FH43" s="20">
        <f t="shared" si="22"/>
        <v>402.9800818512519</v>
      </c>
      <c r="FI43" s="59">
        <f t="shared" si="23"/>
        <v>696.31341518458521</v>
      </c>
      <c r="FJ43" s="59">
        <f ca="1">AVERAGE(OFFSET($FI$3,0,0,'Données projet'!$E$16+1,1))-AVERAGE(OFFSET($H$3,0,0,'Données projet'!$E$16+1,1))</f>
        <v>359.57284550600366</v>
      </c>
      <c r="FK43" s="59">
        <f t="shared" si="48"/>
        <v>351.38386928091433</v>
      </c>
      <c r="FL43" s="15">
        <f>IF(ISNA(VLOOKUP(A43,'Données projet'!$A$217:$I$237,3,0)),0,VLOOKUP(A43,'Données projet'!$A$217:$I$237,3,0))</f>
        <v>6</v>
      </c>
      <c r="FM43" s="15">
        <f>IF(ISNA(VLOOKUP(A43,'Données projet'!$A$217:$I$237,4,0)),0,VLOOKUP(A43,'Données projet'!$A$217:$I$237,4,0))</f>
        <v>35</v>
      </c>
      <c r="FN43" s="16">
        <f>IF(ISNA(VLOOKUP(A43,'Données projet'!$A$217:$I$237,5,0)),0%,VLOOKUP(A43,'Données projet'!$A$217:$I$237,5,0)*VLOOKUP('Données projet'!$B$16,Paramètres!$A$1:$I$89,7,0))</f>
        <v>0.1075</v>
      </c>
      <c r="FO43" s="16">
        <f>IF(ISNA(VLOOKUP(A43,'Données projet'!$A$217:$I$237,6,0)),0%,VLOOKUP(A43,'Données projet'!$A$217:$I$237,6,0)*VLOOKUP('Données projet'!$B$16,Paramètres!$A$1:$I$89,7,0))</f>
        <v>0.1075</v>
      </c>
      <c r="FP43" s="16">
        <f>IF(ISNA(VLOOKUP(A43,'Données projet'!$A$217:$I$237,7,0)),0%,VLOOKUP(A43,'Données projet'!$A$217:$I$237,7,0))</f>
        <v>0.25</v>
      </c>
      <c r="FQ43" s="21">
        <f>EXP(-LN(2)/35)*FQ42+(1-EXP(-LN(2)/35))/(LN(2)/35)*FM43*FN43*VLOOKUP('Données projet'!$B$16,Paramètres!$A$1:$I$89,3,0)*0.475*44/12</f>
        <v>9.1978604301443649</v>
      </c>
      <c r="FR43" s="21">
        <f>EXP(-LN(2)/25)*FR42+(1-EXP(-LN(2)/25))/(LN(2)/25)*Calculateur!FM43*Calculateur!FO43*VLOOKUP('Données projet'!$B$16,Paramètres!$A$1:$I$89,3,0)*0.475*44/12</f>
        <v>14.517346697395668</v>
      </c>
      <c r="FS43" s="21">
        <f>EXP(-LN(2)/2)*FS42+(1-EXP(-LN(2)/2))/(LN(2)/2)*FM43*FP43*VLOOKUP('Données projet'!$B$16,Paramètres!$A$1:$I$89,3,0)*0.475*44/12</f>
        <v>8.1349350051373879</v>
      </c>
      <c r="FT43" s="22">
        <f t="shared" si="24"/>
        <v>31.850142132677419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6">
        <f t="shared" si="1"/>
        <v>256.66666666666669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13.956249999999997</v>
      </c>
      <c r="N44" s="13">
        <f>IF('Données projet'!$A$36&gt;35,N43+M44-V43,IF(A44&lt;'Données projet'!$A$36,$K$205^A44,IF(A44='Données projet'!$A$36,'Données projet'!$B$36,N43+M44-V43)))</f>
        <v>234.05375000000004</v>
      </c>
      <c r="O44" s="13">
        <f>N44*VLOOKUP('Données projet'!$B$9,Paramètres!$A$1:$I$89,3,0)*VLOOKUP('Données projet'!$B$9,Paramètres!$A$1:$I$89,5,0)</f>
        <v>211.77183300000004</v>
      </c>
      <c r="P44" s="13">
        <f t="shared" si="33"/>
        <v>52.322586251762758</v>
      </c>
      <c r="Q44" s="20">
        <f t="shared" si="53"/>
        <v>459.9644468634869</v>
      </c>
      <c r="R44" s="59">
        <f t="shared" si="0"/>
        <v>753.29778019682021</v>
      </c>
      <c r="S44" s="59">
        <f ca="1">AVERAGE(OFFSET($R$3,0,0,'Données projet'!$E$9+1,1))-AVERAGE(OFFSET($H$3,0,0,'Données projet'!$E$9+1,1))</f>
        <v>695.0879239758051</v>
      </c>
      <c r="T44" s="59">
        <f t="shared" si="34"/>
        <v>226.22150997227476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10.353464886686471</v>
      </c>
      <c r="AB44" s="21">
        <f>EXP(-LN(2)/2)*AB43+(1-EXP(-LN(2)/2))/(LN(2)/2)*V44*Y44*VLOOKUP('Données projet'!$B$9,Paramètres!$A$1:$I$89,3,0)*0.475*44/12</f>
        <v>0.55355556722105959</v>
      </c>
      <c r="AC44" s="22">
        <f t="shared" si="3"/>
        <v>10.90702045390753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19.548750000000005</v>
      </c>
      <c r="AI44" s="13">
        <f>IF('Données projet'!$A$62&gt;35,AI43+AH44-AQ43,IF(A44&lt;'Données projet'!$A$62,$AF$205^A44,IF(A44='Données projet'!$A$62,'Données projet'!$B$62,AI43+AH44-AQ43)))</f>
        <v>402.12874999999997</v>
      </c>
      <c r="AJ44" s="13">
        <f>AI44*VLOOKUP('Données projet'!$B$10,Paramètres!$A$1:$I$89,3,0)*VLOOKUP('Données projet'!$B$10,Paramètres!$A$1:$I$89,5,0)</f>
        <v>240.47299249999998</v>
      </c>
      <c r="AK44" s="13">
        <f t="shared" si="35"/>
        <v>58.541285458570243</v>
      </c>
      <c r="AL44" s="20">
        <f t="shared" si="4"/>
        <v>520.78320077784304</v>
      </c>
      <c r="AM44" s="59">
        <f t="shared" si="5"/>
        <v>814.11653411117641</v>
      </c>
      <c r="AN44" s="59">
        <f ca="1">AVERAGE(OFFSET($AM$3,0,0,'Données projet'!$E$10+1,1))-AVERAGE(OFFSET($H$3,0,0,'Données projet'!$E$10+1,1))</f>
        <v>388.12151914648013</v>
      </c>
      <c r="AO44" s="59">
        <f t="shared" si="36"/>
        <v>481.43684454382793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50.934818840878727</v>
      </c>
      <c r="AV44" s="21">
        <f>EXP(-LN(2)/25)*AV43+(1-EXP(-LN(2)/25))/(LN(2)/25)*Calculateur!AQ44*Calculateur!AS44*VLOOKUP('Données projet'!$B$10,Paramètres!$A$1:$I$89,3,0)*0.475*44/12</f>
        <v>23.529393621188174</v>
      </c>
      <c r="AW44" s="21">
        <f>EXP(-LN(2)/2)*AW43+(1-EXP(-LN(2)/2))/(LN(2)/2)*AQ44*AT44*VLOOKUP('Données projet'!$B$10,Paramètres!$A$1:$I$89,3,0)*0.475*44/12</f>
        <v>11.697736372206371</v>
      </c>
      <c r="AX44" s="21">
        <f t="shared" si="6"/>
        <v>86.161948834273261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9.8000000000000007</v>
      </c>
      <c r="BD44" s="12">
        <f>IF('Données projet'!$A$88&gt;35,BD43+BC44-BL43,IF(A44&lt;'Données projet'!$A$88,$BA$205^A44,IF(A44='Données projet'!$A$88,'Données projet'!$B$88,BD43+BC44-BL43)))</f>
        <v>202.8</v>
      </c>
      <c r="BE44" s="13">
        <f>BD44*VLOOKUP('Données projet'!$B$11,Paramètres!$A$1:$I$89,3,0)*VLOOKUP('Données projet'!$B$11,Paramètres!$A$1:$I$89,5,0)</f>
        <v>192.98447999999999</v>
      </c>
      <c r="BF44" s="13">
        <f t="shared" si="37"/>
        <v>48.199179293232802</v>
      </c>
      <c r="BG44" s="20">
        <f t="shared" si="7"/>
        <v>420.06153993571371</v>
      </c>
      <c r="BH44" s="59">
        <f t="shared" si="8"/>
        <v>713.39487326904703</v>
      </c>
      <c r="BI44" s="59">
        <f ca="1">AVERAGE(OFFSET($BH$3,0,0,'Données projet'!$E$11+1,1))-AVERAGE(OFFSET($H$3,0,0,'Données projet'!$E$11+1,1))</f>
        <v>415.24818074059294</v>
      </c>
      <c r="BJ44" s="59">
        <f t="shared" si="38"/>
        <v>404.45811532046872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10.578216458312665</v>
      </c>
      <c r="BQ44" s="21">
        <f>EXP(-LN(2)/25)*BQ43+(1-EXP(-LN(2)/25))/(LN(2)/25)*Calculateur!BL44*Calculateur!BN44*VLOOKUP('Données projet'!$B$11,Paramètres!$A$1:$I$89,3,0)*0.475*44/12</f>
        <v>16.564279123073064</v>
      </c>
      <c r="BR44" s="21">
        <f>EXP(-LN(2)/2)*BR43+(1-EXP(-LN(2)/2))/(LN(2)/2)*BL44*BO44*VLOOKUP('Données projet'!$B$11,Paramètres!$A$1:$I$89,3,0)*0.475*44/12</f>
        <v>6.7478525020252436</v>
      </c>
      <c r="BS44" s="22">
        <f t="shared" si="9"/>
        <v>33.890348083410977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9.8000000000000007</v>
      </c>
      <c r="BY44" s="12">
        <f>IF('Données projet'!$A$114&gt;35,BY43+BX44-CG43,IF(A44&lt;'Données projet'!$A$114,$BV$205^A44,IF(A44='Données projet'!$A$114,'Données projet'!$B$114,BY43+BX44-CG43)))</f>
        <v>202.8</v>
      </c>
      <c r="BZ44" s="13">
        <f>BY44*VLOOKUP('Données projet'!$B$12,Paramètres!$A$1:$I$89,3,0)*VLOOKUP('Données projet'!$B$12,Paramètres!$A$1:$I$89,5,0)</f>
        <v>177.16608000000002</v>
      </c>
      <c r="CA44" s="13">
        <f t="shared" si="39"/>
        <v>44.691110042101649</v>
      </c>
      <c r="CB44" s="20">
        <f t="shared" si="10"/>
        <v>386.40127265666041</v>
      </c>
      <c r="CC44" s="59">
        <f t="shared" si="11"/>
        <v>679.73460598999372</v>
      </c>
      <c r="CD44" s="59">
        <f ca="1">AVERAGE(OFFSET($CC$3,0,0,'Données projet'!$E$12+1,1))-AVERAGE(OFFSET($H$3,0,0,'Données projet'!$E$12+1,1))</f>
        <v>384.34044781465661</v>
      </c>
      <c r="CE44" s="59">
        <f t="shared" si="40"/>
        <v>374.99493809709708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11.96955640422112</v>
      </c>
      <c r="CL44" s="21">
        <f>EXP(-LN(2)/25)*CL43+(1-EXP(-LN(2)/25))/(LN(2)/25)*Calculateur!CG44*Calculateur!CI44*VLOOKUP('Données projet'!$B$12,Paramètres!$A$1:$I$89,3,0)*0.475*44/12</f>
        <v>18.742958611239363</v>
      </c>
      <c r="CM44" s="21">
        <f>EXP(-LN(2)/2)*CM43+(1-EXP(-LN(2)/2))/(LN(2)/2)*CG44*CJ44*VLOOKUP('Données projet'!$B$12,Paramètres!$A$1:$I$89,3,0)*0.475*44/12</f>
        <v>6.1947498379248138</v>
      </c>
      <c r="CN44" s="22">
        <f t="shared" si="12"/>
        <v>36.9072648533853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22.851428571428578</v>
      </c>
      <c r="CT44" s="12">
        <f>IF('Données projet'!$A$140&gt;35,CT43+CS44-DB43,IF(A44&lt;'Données projet'!$A$140,$CQ$205^A44,IF(A44='Données projet'!$A$140,'Données projet'!$B$140,CT43+CS44-DB43)))</f>
        <v>427.63857142857148</v>
      </c>
      <c r="CU44" s="17">
        <f>CT44*VLOOKUP('Données projet'!$B$13,Paramètres!$A$1:$I$89,3,0)*VLOOKUP('Données projet'!$B$13,Paramètres!$A$1:$I$89,5,0)</f>
        <v>239.04996142857144</v>
      </c>
      <c r="CV44" s="13">
        <f t="shared" si="41"/>
        <v>58.235077894233235</v>
      </c>
      <c r="CW44" s="20">
        <f t="shared" si="13"/>
        <v>517.77144348721811</v>
      </c>
      <c r="CX44" s="59">
        <f t="shared" si="14"/>
        <v>811.10477682055148</v>
      </c>
      <c r="CY44" s="59">
        <f ca="1">AVERAGE(OFFSET($CX$3,0,0,'Données projet'!$E$13+1,1))-AVERAGE(OFFSET($H$3,0,0,'Données projet'!$E$13+1,1))</f>
        <v>386.66324266750968</v>
      </c>
      <c r="CZ44" s="59">
        <f t="shared" si="42"/>
        <v>356.22149461585769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28.603366954853385</v>
      </c>
      <c r="DG44" s="21">
        <f>EXP(-LN(2)/25)*DG43+(1-EXP(-LN(2)/25))/(LN(2)/25)*Calculateur!DB44*Calculateur!DD44*VLOOKUP('Données projet'!$B$13,Paramètres!$A$1:$I$89,3,0)*0.475*44/12</f>
        <v>18.631938643624384</v>
      </c>
      <c r="DH44" s="21">
        <f>EXP(-LN(2)/2)*DH43+(1-EXP(-LN(2)/2))/(LN(2)/2)*DB44*DE44*VLOOKUP('Données projet'!$B$13,Paramètres!$A$1:$I$89,3,0)*0.475*44/12</f>
        <v>1.5667600331445817</v>
      </c>
      <c r="DI44" s="22">
        <f t="shared" si="15"/>
        <v>48.802065631622348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9.8000000000000007</v>
      </c>
      <c r="DO44" s="12">
        <f>IF('Données projet'!$A$166&gt;35,DO43+DN44-DW43,IF(A44&lt;'Données projet'!$A$166,$DL$205^A44,IF(A44='Données projet'!$A$166,'Données projet'!$B$166,DO43+DN44-DW43)))</f>
        <v>202.8</v>
      </c>
      <c r="DP44" s="17">
        <f>DO44*VLOOKUP('Données projet'!$B$14,Paramètres!$A$1:$I$89,3,0)*VLOOKUP('Données projet'!$B$14,Paramètres!$A$1:$I$89,5,0)</f>
        <v>158.18400000000003</v>
      </c>
      <c r="DQ44" s="13">
        <f t="shared" si="43"/>
        <v>40.432639815875881</v>
      </c>
      <c r="DR44" s="20">
        <f t="shared" si="16"/>
        <v>345.92398101265053</v>
      </c>
      <c r="DS44" s="59">
        <f t="shared" si="17"/>
        <v>639.25731434598379</v>
      </c>
      <c r="DT44" s="59">
        <f ca="1">AVERAGE(OFFSET($DS$3,0,0,'Données projet'!$E$14+1,1))-AVERAGE(OFFSET($H$3,0,0,'Données projet'!$E$14+1,1))</f>
        <v>347.17417070871716</v>
      </c>
      <c r="DU44" s="59">
        <f t="shared" si="44"/>
        <v>339.56378046986441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8.6706692281251332</v>
      </c>
      <c r="EB44" s="21">
        <f>EXP(-LN(2)/25)*EB43+(1-EXP(-LN(2)/25))/(LN(2)/25)*Calculateur!DW44*Calculateur!DY44*VLOOKUP('Données projet'!$B$14,Paramètres!$A$1:$I$89,3,0)*0.475*44/12</f>
        <v>13.577277969732018</v>
      </c>
      <c r="EC44" s="21">
        <f>EXP(-LN(2)/2)*EC43+(1-EXP(-LN(2)/2))/(LN(2)/2)*DW44*DZ44*VLOOKUP('Données projet'!$B$14,Paramètres!$A$1:$I$89,3,0)*0.475*44/12</f>
        <v>5.5310266410042974</v>
      </c>
      <c r="ED44" s="22">
        <f t="shared" si="18"/>
        <v>27.778973838861447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9.8000000000000007</v>
      </c>
      <c r="EJ44" s="12">
        <f>IF('Données projet'!$A$192&gt;35,EJ43+EI44-ER43,IF(A44&lt;'Données projet'!$A$192,$EG$205^A44,IF(A44='Données projet'!$A$192,'Données projet'!$B$192,EJ43+EI44-ER43)))</f>
        <v>202.8</v>
      </c>
      <c r="EK44" s="17">
        <f>EJ44*VLOOKUP('Données projet'!$B$15,Paramètres!$A$1:$I$89,3,0)*VLOOKUP('Données projet'!$B$15,Paramètres!$A$1:$I$89,5,0)</f>
        <v>177.16608000000002</v>
      </c>
      <c r="EL44" s="13">
        <f t="shared" si="45"/>
        <v>44.691110042101649</v>
      </c>
      <c r="EM44" s="20">
        <f t="shared" si="19"/>
        <v>386.40127265666041</v>
      </c>
      <c r="EN44" s="59">
        <f t="shared" si="20"/>
        <v>679.73460598999372</v>
      </c>
      <c r="EO44" s="59">
        <f ca="1">AVERAGE(OFFSET($EN$3,0,0,'Données projet'!$E$15+1,1))-AVERAGE(OFFSET($H$3,0,0,'Données projet'!$E$15+1,1))</f>
        <v>384.34044781465661</v>
      </c>
      <c r="EP44" s="59">
        <f t="shared" si="46"/>
        <v>374.99493809709708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9.7111495355001498</v>
      </c>
      <c r="EW44" s="21">
        <f>EXP(-LN(2)/25)*EW43+(1-EXP(-LN(2)/25))/(LN(2)/25)*Calculateur!ER44*Calculateur!ET44*VLOOKUP('Données projet'!$B$15,Paramètres!$A$1:$I$89,3,0)*0.475*44/12</f>
        <v>15.206551326099866</v>
      </c>
      <c r="EX44" s="21">
        <f>EXP(-LN(2)/2)*EX43+(1-EXP(-LN(2)/2))/(LN(2)/2)*ER44*EU44*VLOOKUP('Données projet'!$B$15,Paramètres!$A$1:$I$89,3,0)*0.475*44/12</f>
        <v>6.1947498379248138</v>
      </c>
      <c r="EY44" s="22">
        <f t="shared" si="21"/>
        <v>31.112450699524832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9.8000000000000007</v>
      </c>
      <c r="FE44" s="12">
        <f>IF('Données projet'!$A$218&gt;35,FE43+FD44-FM43,IF(A44&lt;'Données projet'!$A$218,$FB$205^A44,IF(A44='Données projet'!$A$218,'Données projet'!$B$218,FE43+FD44-FM43)))</f>
        <v>202.8</v>
      </c>
      <c r="FF44" s="17">
        <f>FE44*VLOOKUP('Données projet'!$B$16,Paramètres!$A$1:$I$89,3,0)*VLOOKUP('Données projet'!$B$16,Paramètres!$A$1:$I$89,5,0)</f>
        <v>164.51136</v>
      </c>
      <c r="FG44" s="13">
        <f t="shared" si="47"/>
        <v>41.858412704646653</v>
      </c>
      <c r="FH44" s="20">
        <f t="shared" si="22"/>
        <v>359.4273541272596</v>
      </c>
      <c r="FI44" s="59">
        <f t="shared" si="23"/>
        <v>652.76068746059286</v>
      </c>
      <c r="FJ44" s="59">
        <f ca="1">AVERAGE(OFFSET($FI$3,0,0,'Données projet'!$E$16+1,1))-AVERAGE(OFFSET($H$3,0,0,'Données projet'!$E$16+1,1))</f>
        <v>359.57284550600366</v>
      </c>
      <c r="FK44" s="59">
        <f t="shared" si="48"/>
        <v>351.38386928091433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9.0174959972501405</v>
      </c>
      <c r="FR44" s="21">
        <f>EXP(-LN(2)/25)*FR43+(1-EXP(-LN(2)/25))/(LN(2)/25)*Calculateur!FM44*Calculateur!FO44*VLOOKUP('Données projet'!$B$16,Paramètres!$A$1:$I$89,3,0)*0.475*44/12</f>
        <v>14.120369088521301</v>
      </c>
      <c r="FS44" s="21">
        <f>EXP(-LN(2)/2)*FS43+(1-EXP(-LN(2)/2))/(LN(2)/2)*FM44*FP44*VLOOKUP('Données projet'!$B$16,Paramètres!$A$1:$I$89,3,0)*0.475*44/12</f>
        <v>5.752267706644469</v>
      </c>
      <c r="FT44" s="22">
        <f t="shared" si="24"/>
        <v>28.890132792415912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6">
        <f t="shared" si="1"/>
        <v>256.66666666666669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248.01</v>
      </c>
      <c r="L45" s="12">
        <f>VLOOKUP(A45,'Données projet'!$A$35:$I$55,9,0)</f>
        <v>13.956249999999997</v>
      </c>
      <c r="M45" s="12">
        <f t="array" ref="M45">INDEX(L:L,MIN(IF(ISNUMBER(L45:L241),ROW(L45:L241),"")))</f>
        <v>13.956249999999997</v>
      </c>
      <c r="N45" s="13">
        <f>IF('Données projet'!$A$36&gt;35,N44+M45-V44,IF(A45&lt;'Données projet'!$A$36,$K$205^A45,IF(A45='Données projet'!$A$36,'Données projet'!$B$36,N44+M45-V44)))</f>
        <v>248.01000000000005</v>
      </c>
      <c r="O45" s="13">
        <f>N45*VLOOKUP('Données projet'!$B$9,Paramètres!$A$1:$I$89,3,0)*VLOOKUP('Données projet'!$B$9,Paramètres!$A$1:$I$89,5,0)</f>
        <v>224.39944800000004</v>
      </c>
      <c r="P45" s="13">
        <f t="shared" si="33"/>
        <v>55.06997932657665</v>
      </c>
      <c r="Q45" s="20">
        <f t="shared" si="53"/>
        <v>486.74258592712107</v>
      </c>
      <c r="R45" s="59">
        <f t="shared" si="0"/>
        <v>780.07591926045438</v>
      </c>
      <c r="S45" s="59">
        <f ca="1">AVERAGE(OFFSET($R$3,0,0,'Données projet'!$E$9+1,1))-AVERAGE(OFFSET($H$3,0,0,'Données projet'!$E$9+1,1))</f>
        <v>695.0879239758051</v>
      </c>
      <c r="T45" s="59">
        <f t="shared" si="34"/>
        <v>226.22150997227476</v>
      </c>
      <c r="U45" s="15">
        <f>IF(ISNA(VLOOKUP(A45,'Données projet'!$A$35:$I$55,3,0)),0,VLOOKUP(A45,'Données projet'!$A$35:$I$55,3,0))</f>
        <v>2</v>
      </c>
      <c r="V45" s="15">
        <f>IF(ISNA(VLOOKUP(A45,'Données projet'!$A$35:$I$55,4,0)),0,VLOOKUP(A45,'Données projet'!$A$35:$I$55,4,0))</f>
        <v>58.099999999999994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0.34400000000000003</v>
      </c>
      <c r="Y45" s="16">
        <f>IF(ISNA(VLOOKUP(A45,'Données projet'!$A$35:$I$55,7,0)),0%,VLOOKUP(A45,'Données projet'!$A$35:$I$55,7,0))</f>
        <v>0.2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29.982625570044064</v>
      </c>
      <c r="AB45" s="21">
        <f>EXP(-LN(2)/2)*AB44+(1-EXP(-LN(2)/2))/(LN(2)/2)*V45*Y45*VLOOKUP('Données projet'!$B$9,Paramètres!$A$1:$I$89,3,0)*0.475*44/12</f>
        <v>10.311453525477758</v>
      </c>
      <c r="AC45" s="22">
        <f t="shared" si="3"/>
        <v>40.294079095521823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19.548750000000005</v>
      </c>
      <c r="AI45" s="13">
        <f>IF('Données projet'!$A$62&gt;35,AI44+AH45-AQ44,IF(A45&lt;'Données projet'!$A$62,$AF$205^A45,IF(A45='Données projet'!$A$62,'Données projet'!$B$62,AI44+AH45-AQ44)))</f>
        <v>421.67749999999995</v>
      </c>
      <c r="AJ45" s="13">
        <f>AI45*VLOOKUP('Données projet'!$B$10,Paramètres!$A$1:$I$89,3,0)*VLOOKUP('Données projet'!$B$10,Paramètres!$A$1:$I$89,5,0)</f>
        <v>252.16314499999999</v>
      </c>
      <c r="AK45" s="13">
        <f t="shared" si="35"/>
        <v>61.048913284194377</v>
      </c>
      <c r="AL45" s="20">
        <f t="shared" si="4"/>
        <v>545.51100151163848</v>
      </c>
      <c r="AM45" s="59">
        <f t="shared" si="5"/>
        <v>838.84433484497185</v>
      </c>
      <c r="AN45" s="59">
        <f ca="1">AVERAGE(OFFSET($AM$3,0,0,'Données projet'!$E$10+1,1))-AVERAGE(OFFSET($H$3,0,0,'Données projet'!$E$10+1,1))</f>
        <v>388.12151914648013</v>
      </c>
      <c r="AO45" s="59">
        <f t="shared" si="36"/>
        <v>481.43684454382793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49.93601811058096</v>
      </c>
      <c r="AV45" s="21">
        <f>EXP(-LN(2)/25)*AV44+(1-EXP(-LN(2)/25))/(LN(2)/25)*Calculateur!AQ45*Calculateur!AS45*VLOOKUP('Données projet'!$B$10,Paramètres!$A$1:$I$89,3,0)*0.475*44/12</f>
        <v>22.885981115259749</v>
      </c>
      <c r="AW45" s="21">
        <f>EXP(-LN(2)/2)*AW44+(1-EXP(-LN(2)/2))/(LN(2)/2)*AQ45*AT45*VLOOKUP('Données projet'!$B$10,Paramètres!$A$1:$I$89,3,0)*0.475*44/12</f>
        <v>8.2715487133196497</v>
      </c>
      <c r="AX45" s="21">
        <f t="shared" si="6"/>
        <v>81.093547939160359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9.8000000000000007</v>
      </c>
      <c r="BD45" s="12">
        <f>IF('Données projet'!$A$88&gt;35,BD44+BC45-BL44,IF(A45&lt;'Données projet'!$A$88,$BA$205^A45,IF(A45='Données projet'!$A$88,'Données projet'!$B$88,BD44+BC45-BL44)))</f>
        <v>212.60000000000002</v>
      </c>
      <c r="BE45" s="13">
        <f>BD45*VLOOKUP('Données projet'!$B$11,Paramètres!$A$1:$I$89,3,0)*VLOOKUP('Données projet'!$B$11,Paramètres!$A$1:$I$89,5,0)</f>
        <v>202.31016000000002</v>
      </c>
      <c r="BF45" s="13">
        <f t="shared" si="37"/>
        <v>50.251531123141397</v>
      </c>
      <c r="BG45" s="20">
        <f t="shared" si="7"/>
        <v>439.87827870613796</v>
      </c>
      <c r="BH45" s="59">
        <f t="shared" si="8"/>
        <v>733.21161203947122</v>
      </c>
      <c r="BI45" s="59">
        <f ca="1">AVERAGE(OFFSET($BH$3,0,0,'Données projet'!$E$11+1,1))-AVERAGE(OFFSET($H$3,0,0,'Données projet'!$E$11+1,1))</f>
        <v>415.24818074059294</v>
      </c>
      <c r="BJ45" s="59">
        <f t="shared" si="38"/>
        <v>404.45811532046872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10.370784085640103</v>
      </c>
      <c r="BQ45" s="21">
        <f>EXP(-LN(2)/25)*BQ44+(1-EXP(-LN(2)/25))/(LN(2)/25)*Calculateur!BL45*Calculateur!BN45*VLOOKUP('Données projet'!$B$11,Paramètres!$A$1:$I$89,3,0)*0.475*44/12</f>
        <v>16.111328039375049</v>
      </c>
      <c r="BR45" s="21">
        <f>EXP(-LN(2)/2)*BR44+(1-EXP(-LN(2)/2))/(LN(2)/2)*BL45*BO45*VLOOKUP('Données projet'!$B$11,Paramètres!$A$1:$I$89,3,0)*0.475*44/12</f>
        <v>4.7714522626286611</v>
      </c>
      <c r="BS45" s="22">
        <f t="shared" si="9"/>
        <v>31.253564387643813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9.8000000000000007</v>
      </c>
      <c r="BY45" s="12">
        <f>IF('Données projet'!$A$114&gt;35,BY44+BX45-CG44,IF(A45&lt;'Données projet'!$A$114,$BV$205^A45,IF(A45='Données projet'!$A$114,'Données projet'!$B$114,BY44+BX45-CG44)))</f>
        <v>212.60000000000002</v>
      </c>
      <c r="BZ45" s="13">
        <f>BY45*VLOOKUP('Données projet'!$B$12,Paramètres!$A$1:$I$89,3,0)*VLOOKUP('Données projet'!$B$12,Paramètres!$A$1:$I$89,5,0)</f>
        <v>185.72736000000003</v>
      </c>
      <c r="CA45" s="13">
        <f t="shared" si="39"/>
        <v>46.594086043363802</v>
      </c>
      <c r="CB45" s="20">
        <f t="shared" si="10"/>
        <v>404.62651852552534</v>
      </c>
      <c r="CC45" s="59">
        <f t="shared" si="11"/>
        <v>697.95985185885866</v>
      </c>
      <c r="CD45" s="59">
        <f ca="1">AVERAGE(OFFSET($CC$3,0,0,'Données projet'!$E$12+1,1))-AVERAGE(OFFSET($H$3,0,0,'Données projet'!$E$12+1,1))</f>
        <v>384.34044781465661</v>
      </c>
      <c r="CE45" s="59">
        <f t="shared" si="40"/>
        <v>374.99493809709708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11.734840703842865</v>
      </c>
      <c r="CL45" s="21">
        <f>EXP(-LN(2)/25)*CL44+(1-EXP(-LN(2)/25))/(LN(2)/25)*Calculateur!CG45*Calculateur!CI45*VLOOKUP('Données projet'!$B$12,Paramètres!$A$1:$I$89,3,0)*0.475*44/12</f>
        <v>18.230431422365665</v>
      </c>
      <c r="CM45" s="21">
        <f>EXP(-LN(2)/2)*CM44+(1-EXP(-LN(2)/2))/(LN(2)/2)*CG45*CJ45*VLOOKUP('Données projet'!$B$12,Paramètres!$A$1:$I$89,3,0)*0.475*44/12</f>
        <v>4.3803496181509027</v>
      </c>
      <c r="CN45" s="22">
        <f t="shared" si="12"/>
        <v>34.345621744359434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>
        <f>VLOOKUP(A45,'Données projet'!$A$139:$I$159,2,0)</f>
        <v>450.49</v>
      </c>
      <c r="CR45" s="12">
        <f>VLOOKUP(A45,'Données projet'!$A$139:$I$159,9,0)</f>
        <v>22.851428571428578</v>
      </c>
      <c r="CS45" s="12">
        <f t="array" ref="CS45">INDEX(CR:CR,MIN(IF(ISNUMBER(CR45:CR241),ROW(CR45:CR241),"")))</f>
        <v>22.851428571428578</v>
      </c>
      <c r="CT45" s="12">
        <f>IF('Données projet'!$A$140&gt;35,CT44+CS45-DB44,IF(A45&lt;'Données projet'!$A$140,$CQ$205^A45,IF(A45='Données projet'!$A$140,'Données projet'!$B$140,CT44+CS45-DB44)))</f>
        <v>450.49000000000007</v>
      </c>
      <c r="CU45" s="17">
        <f>CT45*VLOOKUP('Données projet'!$B$13,Paramètres!$A$1:$I$89,3,0)*VLOOKUP('Données projet'!$B$13,Paramètres!$A$1:$I$89,5,0)</f>
        <v>251.82391000000004</v>
      </c>
      <c r="CV45" s="13">
        <f t="shared" si="41"/>
        <v>60.976338340878812</v>
      </c>
      <c r="CW45" s="20">
        <f t="shared" si="13"/>
        <v>544.79376586036392</v>
      </c>
      <c r="CX45" s="59">
        <f t="shared" si="14"/>
        <v>838.12709919369718</v>
      </c>
      <c r="CY45" s="59">
        <f ca="1">AVERAGE(OFFSET($CX$3,0,0,'Données projet'!$E$13+1,1))-AVERAGE(OFFSET($H$3,0,0,'Données projet'!$E$13+1,1))</f>
        <v>386.66324266750968</v>
      </c>
      <c r="CZ45" s="59">
        <f t="shared" si="42"/>
        <v>356.22149461585769</v>
      </c>
      <c r="DA45" s="15">
        <f>IF(ISNA(VLOOKUP(A45,'Données projet'!$A$139:$I$159,3,0)),0,VLOOKUP(A45,'Données projet'!$A$139:$I$159,3,0))</f>
        <v>4</v>
      </c>
      <c r="DB45" s="15">
        <f>IF(ISNA(VLOOKUP(A45,'Données projet'!$A$139:$I$159,4,0)),0,VLOOKUP(A45,'Données projet'!$A$139:$I$159,4,0))</f>
        <v>100.04000000000002</v>
      </c>
      <c r="DC45" s="16">
        <f>IF(ISNA(VLOOKUP(A45,'Données projet'!$A$139:$I$159,5,0)),0%,VLOOKUP(A45,'Données projet'!$A$139:$I$159,5,0)*VLOOKUP('Données projet'!$B$13,Paramètres!$A$1:$I$89,7,0))</f>
        <v>0.33</v>
      </c>
      <c r="DD45" s="16">
        <f>IF(ISNA(VLOOKUP(A45,'Données projet'!$A$139:$I$159,6,0)),0%,VLOOKUP(A45,'Données projet'!$A$139:$I$159,6,0)*VLOOKUP('Données projet'!$B$13,Paramètres!$A$1:$I$89,7,0))</f>
        <v>0.11000000000000001</v>
      </c>
      <c r="DE45" s="16">
        <f>IF(ISNA(VLOOKUP(A45,'Données projet'!$A$139:$I$159,7,0)),0%,VLOOKUP(A45,'Données projet'!$A$139:$I$159,7,0))</f>
        <v>0.2</v>
      </c>
      <c r="DF45" s="21">
        <f>EXP(-LN(2)/35)*DF44+(1-EXP(-LN(2)/35))/(LN(2)/35)*DB45*DC45*VLOOKUP('Données projet'!$B$13,Paramètres!$A$1:$I$89,3,0)*0.475*44/12</f>
        <v>52.523395338496876</v>
      </c>
      <c r="DG45" s="21">
        <f>EXP(-LN(2)/25)*DG44+(1-EXP(-LN(2)/25))/(LN(2)/25)*Calculateur!DB45*Calculateur!DD45*VLOOKUP('Données projet'!$B$13,Paramètres!$A$1:$I$89,3,0)*0.475*44/12</f>
        <v>26.250624715479255</v>
      </c>
      <c r="DH45" s="21">
        <f>EXP(-LN(2)/2)*DH44+(1-EXP(-LN(2)/2))/(LN(2)/2)*DB45*DE45*VLOOKUP('Données projet'!$B$13,Paramètres!$A$1:$I$89,3,0)*0.475*44/12</f>
        <v>13.771287073109026</v>
      </c>
      <c r="DI45" s="22">
        <f t="shared" si="15"/>
        <v>92.545307127085152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9.8000000000000007</v>
      </c>
      <c r="DO45" s="12">
        <f>IF('Données projet'!$A$166&gt;35,DO44+DN45-DW44,IF(A45&lt;'Données projet'!$A$166,$DL$205^A45,IF(A45='Données projet'!$A$166,'Données projet'!$B$166,DO44+DN45-DW44)))</f>
        <v>212.60000000000002</v>
      </c>
      <c r="DP45" s="17">
        <f>DO45*VLOOKUP('Données projet'!$B$14,Paramètres!$A$1:$I$89,3,0)*VLOOKUP('Données projet'!$B$14,Paramètres!$A$1:$I$89,5,0)</f>
        <v>165.82800000000003</v>
      </c>
      <c r="DQ45" s="13">
        <f t="shared" si="43"/>
        <v>42.154287435834398</v>
      </c>
      <c r="DR45" s="20">
        <f t="shared" si="16"/>
        <v>362.23581728407822</v>
      </c>
      <c r="DS45" s="59">
        <f t="shared" si="17"/>
        <v>655.56915061741154</v>
      </c>
      <c r="DT45" s="59">
        <f ca="1">AVERAGE(OFFSET($DS$3,0,0,'Données projet'!$E$14+1,1))-AVERAGE(OFFSET($H$3,0,0,'Données projet'!$E$14+1,1))</f>
        <v>347.17417070871716</v>
      </c>
      <c r="DU45" s="59">
        <f t="shared" si="44"/>
        <v>339.56378046986441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8.5006426931476238</v>
      </c>
      <c r="EB45" s="21">
        <f>EXP(-LN(2)/25)*EB44+(1-EXP(-LN(2)/25))/(LN(2)/25)*Calculateur!DW45*Calculateur!DY45*VLOOKUP('Données projet'!$B$14,Paramètres!$A$1:$I$89,3,0)*0.475*44/12</f>
        <v>13.206006589651679</v>
      </c>
      <c r="EC45" s="21">
        <f>EXP(-LN(2)/2)*EC44+(1-EXP(-LN(2)/2))/(LN(2)/2)*DW45*DZ45*VLOOKUP('Données projet'!$B$14,Paramètres!$A$1:$I$89,3,0)*0.475*44/12</f>
        <v>3.9110264447775909</v>
      </c>
      <c r="ED45" s="22">
        <f t="shared" si="18"/>
        <v>25.617675727576895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9.8000000000000007</v>
      </c>
      <c r="EJ45" s="12">
        <f>IF('Données projet'!$A$192&gt;35,EJ44+EI45-ER44,IF(A45&lt;'Données projet'!$A$192,$EG$205^A45,IF(A45='Données projet'!$A$192,'Données projet'!$B$192,EJ44+EI45-ER44)))</f>
        <v>212.60000000000002</v>
      </c>
      <c r="EK45" s="17">
        <f>EJ45*VLOOKUP('Données projet'!$B$15,Paramètres!$A$1:$I$89,3,0)*VLOOKUP('Données projet'!$B$15,Paramètres!$A$1:$I$89,5,0)</f>
        <v>185.72736000000003</v>
      </c>
      <c r="EL45" s="13">
        <f t="shared" si="45"/>
        <v>46.594086043363802</v>
      </c>
      <c r="EM45" s="20">
        <f t="shared" si="19"/>
        <v>404.62651852552534</v>
      </c>
      <c r="EN45" s="59">
        <f t="shared" si="20"/>
        <v>697.95985185885866</v>
      </c>
      <c r="EO45" s="59">
        <f ca="1">AVERAGE(OFFSET($EN$3,0,0,'Données projet'!$E$15+1,1))-AVERAGE(OFFSET($H$3,0,0,'Données projet'!$E$15+1,1))</f>
        <v>384.34044781465661</v>
      </c>
      <c r="EP45" s="59">
        <f t="shared" si="46"/>
        <v>374.99493809709708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9.5207198163253395</v>
      </c>
      <c r="EW45" s="21">
        <f>EXP(-LN(2)/25)*EW44+(1-EXP(-LN(2)/25))/(LN(2)/25)*Calculateur!ER45*Calculateur!ET45*VLOOKUP('Données projet'!$B$15,Paramètres!$A$1:$I$89,3,0)*0.475*44/12</f>
        <v>14.790727380409887</v>
      </c>
      <c r="EX45" s="21">
        <f>EXP(-LN(2)/2)*EX44+(1-EXP(-LN(2)/2))/(LN(2)/2)*ER45*EU45*VLOOKUP('Données projet'!$B$15,Paramètres!$A$1:$I$89,3,0)*0.475*44/12</f>
        <v>4.3803496181509027</v>
      </c>
      <c r="EY45" s="22">
        <f t="shared" si="21"/>
        <v>28.691796814886128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9.8000000000000007</v>
      </c>
      <c r="FE45" s="12">
        <f>IF('Données projet'!$A$218&gt;35,FE44+FD45-FM44,IF(A45&lt;'Données projet'!$A$218,$FB$205^A45,IF(A45='Données projet'!$A$218,'Données projet'!$B$218,FE44+FD45-FM44)))</f>
        <v>212.60000000000002</v>
      </c>
      <c r="FF45" s="17">
        <f>FE45*VLOOKUP('Données projet'!$B$16,Paramètres!$A$1:$I$89,3,0)*VLOOKUP('Données projet'!$B$16,Paramètres!$A$1:$I$89,5,0)</f>
        <v>172.46112000000005</v>
      </c>
      <c r="FG45" s="13">
        <f t="shared" si="47"/>
        <v>43.640770644577643</v>
      </c>
      <c r="FH45" s="20">
        <f t="shared" si="22"/>
        <v>376.37745953930607</v>
      </c>
      <c r="FI45" s="59">
        <f t="shared" si="23"/>
        <v>669.71079287263933</v>
      </c>
      <c r="FJ45" s="59">
        <f ca="1">AVERAGE(OFFSET($FI$3,0,0,'Données projet'!$E$16+1,1))-AVERAGE(OFFSET($H$3,0,0,'Données projet'!$E$16+1,1))</f>
        <v>359.57284550600366</v>
      </c>
      <c r="FK45" s="59">
        <f t="shared" si="48"/>
        <v>351.38386928091433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8.8406684008735308</v>
      </c>
      <c r="FR45" s="21">
        <f>EXP(-LN(2)/25)*FR44+(1-EXP(-LN(2)/25))/(LN(2)/25)*Calculateur!FM45*Calculateur!FO45*VLOOKUP('Données projet'!$B$16,Paramètres!$A$1:$I$89,3,0)*0.475*44/12</f>
        <v>13.734246853237748</v>
      </c>
      <c r="FS45" s="21">
        <f>EXP(-LN(2)/2)*FS44+(1-EXP(-LN(2)/2))/(LN(2)/2)*FM45*FP45*VLOOKUP('Données projet'!$B$16,Paramètres!$A$1:$I$89,3,0)*0.475*44/12</f>
        <v>4.0674675025686939</v>
      </c>
      <c r="FT45" s="22">
        <f t="shared" si="24"/>
        <v>26.642382756679972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6">
        <f t="shared" si="1"/>
        <v>256.66666666666669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14.351250000000004</v>
      </c>
      <c r="N46" s="13">
        <f>IF('Données projet'!$A$36&gt;35,N45+M46-V45,IF(A46&lt;'Données projet'!$A$36,$K$205^A46,IF(A46='Données projet'!$A$36,'Données projet'!$B$36,N45+M46-V45)))</f>
        <v>204.26125000000005</v>
      </c>
      <c r="O46" s="13">
        <f>N46*VLOOKUP('Données projet'!$B$9,Paramètres!$A$1:$I$89,3,0)*VLOOKUP('Données projet'!$B$9,Paramètres!$A$1:$I$89,5,0)</f>
        <v>184.81557900000004</v>
      </c>
      <c r="P46" s="13">
        <f t="shared" si="33"/>
        <v>46.391911974203119</v>
      </c>
      <c r="Q46" s="20">
        <f t="shared" si="53"/>
        <v>402.6863801134038</v>
      </c>
      <c r="R46" s="59">
        <f t="shared" si="0"/>
        <v>696.01971344673711</v>
      </c>
      <c r="S46" s="59">
        <f ca="1">AVERAGE(OFFSET($R$3,0,0,'Données projet'!$E$9+1,1))-AVERAGE(OFFSET($H$3,0,0,'Données projet'!$E$9+1,1))</f>
        <v>695.0879239758051</v>
      </c>
      <c r="T46" s="59">
        <f t="shared" si="34"/>
        <v>226.22150997227476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29.162749097113455</v>
      </c>
      <c r="AB46" s="21">
        <f>EXP(-LN(2)/2)*AB45+(1-EXP(-LN(2)/2))/(LN(2)/2)*V46*Y46*VLOOKUP('Données projet'!$B$9,Paramètres!$A$1:$I$89,3,0)*0.475*44/12</f>
        <v>7.291298711755255</v>
      </c>
      <c r="AC46" s="22">
        <f t="shared" si="3"/>
        <v>36.454047808868708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19.548750000000005</v>
      </c>
      <c r="AI46" s="13">
        <f>IF('Données projet'!$A$62&gt;35,AI45+AH46-AQ45,IF(A46&lt;'Données projet'!$A$62,$AF$205^A46,IF(A46='Données projet'!$A$62,'Données projet'!$B$62,AI45+AH46-AQ45)))</f>
        <v>441.22624999999994</v>
      </c>
      <c r="AJ46" s="13">
        <f>AI46*VLOOKUP('Données projet'!$B$10,Paramètres!$A$1:$I$89,3,0)*VLOOKUP('Données projet'!$B$10,Paramètres!$A$1:$I$89,5,0)</f>
        <v>263.8532975</v>
      </c>
      <c r="AK46" s="13">
        <f t="shared" si="35"/>
        <v>63.543040677885536</v>
      </c>
      <c r="AL46" s="20">
        <f t="shared" si="4"/>
        <v>570.21528899315069</v>
      </c>
      <c r="AM46" s="59">
        <f t="shared" si="5"/>
        <v>863.54862232648406</v>
      </c>
      <c r="AN46" s="59">
        <f ca="1">AVERAGE(OFFSET($AM$3,0,0,'Données projet'!$E$10+1,1))-AVERAGE(OFFSET($H$3,0,0,'Données projet'!$E$10+1,1))</f>
        <v>388.12151914648013</v>
      </c>
      <c r="AO46" s="59">
        <f t="shared" si="36"/>
        <v>481.43684454382793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48.956803253396039</v>
      </c>
      <c r="AV46" s="21">
        <f>EXP(-LN(2)/25)*AV45+(1-EXP(-LN(2)/25))/(LN(2)/25)*Calculateur!AQ46*Calculateur!AS46*VLOOKUP('Données projet'!$B$10,Paramètres!$A$1:$I$89,3,0)*0.475*44/12</f>
        <v>22.260162758141533</v>
      </c>
      <c r="AW46" s="21">
        <f>EXP(-LN(2)/2)*AW45+(1-EXP(-LN(2)/2))/(LN(2)/2)*AQ46*AT46*VLOOKUP('Données projet'!$B$10,Paramètres!$A$1:$I$89,3,0)*0.475*44/12</f>
        <v>5.8488681861031866</v>
      </c>
      <c r="AX46" s="21">
        <f t="shared" si="6"/>
        <v>77.065834197640768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9.8000000000000007</v>
      </c>
      <c r="BD46" s="12">
        <f>IF('Données projet'!$A$88&gt;35,BD45+BC46-BL45,IF(A46&lt;'Données projet'!$A$88,$BA$205^A46,IF(A46='Données projet'!$A$88,'Données projet'!$B$88,BD45+BC46-BL45)))</f>
        <v>222.40000000000003</v>
      </c>
      <c r="BE46" s="13">
        <f>BD46*VLOOKUP('Données projet'!$B$11,Paramètres!$A$1:$I$89,3,0)*VLOOKUP('Données projet'!$B$11,Paramètres!$A$1:$I$89,5,0)</f>
        <v>211.63584000000003</v>
      </c>
      <c r="BF46" s="13">
        <f t="shared" si="37"/>
        <v>52.292896299216586</v>
      </c>
      <c r="BG46" s="20">
        <f t="shared" si="7"/>
        <v>459.67588238780223</v>
      </c>
      <c r="BH46" s="59">
        <f t="shared" si="8"/>
        <v>753.00921572113555</v>
      </c>
      <c r="BI46" s="59">
        <f ca="1">AVERAGE(OFFSET($BH$3,0,0,'Données projet'!$E$11+1,1))-AVERAGE(OFFSET($H$3,0,0,'Données projet'!$E$11+1,1))</f>
        <v>415.24818074059294</v>
      </c>
      <c r="BJ46" s="59">
        <f t="shared" si="38"/>
        <v>404.45811532046872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10.167419335274397</v>
      </c>
      <c r="BQ46" s="21">
        <f>EXP(-LN(2)/25)*BQ45+(1-EXP(-LN(2)/25))/(LN(2)/25)*Calculateur!BL46*Calculateur!BN46*VLOOKUP('Données projet'!$B$11,Paramètres!$A$1:$I$89,3,0)*0.475*44/12</f>
        <v>15.670762926880419</v>
      </c>
      <c r="BR46" s="21">
        <f>EXP(-LN(2)/2)*BR45+(1-EXP(-LN(2)/2))/(LN(2)/2)*BL46*BO46*VLOOKUP('Données projet'!$B$11,Paramètres!$A$1:$I$89,3,0)*0.475*44/12</f>
        <v>3.3739262510126218</v>
      </c>
      <c r="BS46" s="22">
        <f t="shared" si="9"/>
        <v>29.21210851316744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9.8000000000000007</v>
      </c>
      <c r="BY46" s="12">
        <f>IF('Données projet'!$A$114&gt;35,BY45+BX46-CG45,IF(A46&lt;'Données projet'!$A$114,$BV$205^A46,IF(A46='Données projet'!$A$114,'Données projet'!$B$114,BY45+BX46-CG45)))</f>
        <v>222.40000000000003</v>
      </c>
      <c r="BZ46" s="13">
        <f>BY46*VLOOKUP('Données projet'!$B$12,Paramètres!$A$1:$I$89,3,0)*VLOOKUP('Données projet'!$B$12,Paramètres!$A$1:$I$89,5,0)</f>
        <v>194.28864000000004</v>
      </c>
      <c r="CA46" s="13">
        <f t="shared" si="39"/>
        <v>48.486875029770822</v>
      </c>
      <c r="CB46" s="20">
        <f t="shared" si="10"/>
        <v>422.83402201018424</v>
      </c>
      <c r="CC46" s="59">
        <f t="shared" si="11"/>
        <v>716.16735534351756</v>
      </c>
      <c r="CD46" s="59">
        <f ca="1">AVERAGE(OFFSET($CC$3,0,0,'Données projet'!$E$12+1,1))-AVERAGE(OFFSET($H$3,0,0,'Données projet'!$E$12+1,1))</f>
        <v>384.34044781465661</v>
      </c>
      <c r="CE46" s="59">
        <f t="shared" si="40"/>
        <v>374.99493809709708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11.504727635186587</v>
      </c>
      <c r="CL46" s="21">
        <f>EXP(-LN(2)/25)*CL45+(1-EXP(-LN(2)/25))/(LN(2)/25)*Calculateur!CG46*Calculateur!CI46*VLOOKUP('Données projet'!$B$12,Paramètres!$A$1:$I$89,3,0)*0.475*44/12</f>
        <v>17.731919316424353</v>
      </c>
      <c r="CM46" s="21">
        <f>EXP(-LN(2)/2)*CM45+(1-EXP(-LN(2)/2))/(LN(2)/2)*CG46*CJ46*VLOOKUP('Données projet'!$B$12,Paramètres!$A$1:$I$89,3,0)*0.475*44/12</f>
        <v>3.0973749189624078</v>
      </c>
      <c r="CN46" s="22">
        <f t="shared" si="12"/>
        <v>32.334021870573345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21.970000000000002</v>
      </c>
      <c r="CT46" s="12">
        <f>IF('Données projet'!$A$140&gt;35,CT45+CS46-DB45,IF(A46&lt;'Données projet'!$A$140,$CQ$205^A46,IF(A46='Données projet'!$A$140,'Données projet'!$B$140,CT45+CS46-DB45)))</f>
        <v>372.42000000000007</v>
      </c>
      <c r="CU46" s="17">
        <f>CT46*VLOOKUP('Données projet'!$B$13,Paramètres!$A$1:$I$89,3,0)*VLOOKUP('Données projet'!$B$13,Paramètres!$A$1:$I$89,5,0)</f>
        <v>208.18278000000007</v>
      </c>
      <c r="CV46" s="13">
        <f t="shared" si="41"/>
        <v>51.538276765249073</v>
      </c>
      <c r="CW46" s="20">
        <f t="shared" si="13"/>
        <v>452.34750719947556</v>
      </c>
      <c r="CX46" s="59">
        <f t="shared" si="14"/>
        <v>745.68084053280882</v>
      </c>
      <c r="CY46" s="59">
        <f ca="1">AVERAGE(OFFSET($CX$3,0,0,'Données projet'!$E$13+1,1))-AVERAGE(OFFSET($H$3,0,0,'Données projet'!$E$13+1,1))</f>
        <v>386.66324266750968</v>
      </c>
      <c r="CZ46" s="59">
        <f t="shared" si="42"/>
        <v>356.22149461585769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51.493443592016803</v>
      </c>
      <c r="DG46" s="21">
        <f>EXP(-LN(2)/25)*DG45+(1-EXP(-LN(2)/25))/(LN(2)/25)*Calculateur!DB46*Calculateur!DD46*VLOOKUP('Données projet'!$B$13,Paramètres!$A$1:$I$89,3,0)*0.475*44/12</f>
        <v>25.532800002174117</v>
      </c>
      <c r="DH46" s="21">
        <f>EXP(-LN(2)/2)*DH45+(1-EXP(-LN(2)/2))/(LN(2)/2)*DB46*DE46*VLOOKUP('Données projet'!$B$13,Paramètres!$A$1:$I$89,3,0)*0.475*44/12</f>
        <v>9.7377704750620353</v>
      </c>
      <c r="DI46" s="22">
        <f t="shared" si="15"/>
        <v>86.764014069252951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9.8000000000000007</v>
      </c>
      <c r="DO46" s="12">
        <f>IF('Données projet'!$A$166&gt;35,DO45+DN46-DW45,IF(A46&lt;'Données projet'!$A$166,$DL$205^A46,IF(A46='Données projet'!$A$166,'Données projet'!$B$166,DO45+DN46-DW45)))</f>
        <v>222.40000000000003</v>
      </c>
      <c r="DP46" s="17">
        <f>DO46*VLOOKUP('Données projet'!$B$14,Paramètres!$A$1:$I$89,3,0)*VLOOKUP('Données projet'!$B$14,Paramètres!$A$1:$I$89,5,0)</f>
        <v>173.47200000000004</v>
      </c>
      <c r="DQ46" s="13">
        <f t="shared" si="43"/>
        <v>43.866718728383574</v>
      </c>
      <c r="DR46" s="20">
        <f t="shared" si="16"/>
        <v>378.53160178526809</v>
      </c>
      <c r="DS46" s="59">
        <f t="shared" si="17"/>
        <v>671.86493511860135</v>
      </c>
      <c r="DT46" s="59">
        <f ca="1">AVERAGE(OFFSET($DS$3,0,0,'Données projet'!$E$14+1,1))-AVERAGE(OFFSET($H$3,0,0,'Données projet'!$E$14+1,1))</f>
        <v>347.17417070871716</v>
      </c>
      <c r="DU46" s="59">
        <f t="shared" si="44"/>
        <v>339.56378046986441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8.3339502748150771</v>
      </c>
      <c r="EB46" s="21">
        <f>EXP(-LN(2)/25)*EB45+(1-EXP(-LN(2)/25))/(LN(2)/25)*Calculateur!DW46*Calculateur!DY46*VLOOKUP('Données projet'!$B$14,Paramètres!$A$1:$I$89,3,0)*0.475*44/12</f>
        <v>12.844887644983951</v>
      </c>
      <c r="EC46" s="21">
        <f>EXP(-LN(2)/2)*EC45+(1-EXP(-LN(2)/2))/(LN(2)/2)*DW46*DZ46*VLOOKUP('Données projet'!$B$14,Paramètres!$A$1:$I$89,3,0)*0.475*44/12</f>
        <v>2.7655133205021492</v>
      </c>
      <c r="ED46" s="22">
        <f t="shared" si="18"/>
        <v>23.944351240301177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9.8000000000000007</v>
      </c>
      <c r="EJ46" s="12">
        <f>IF('Données projet'!$A$192&gt;35,EJ45+EI46-ER45,IF(A46&lt;'Données projet'!$A$192,$EG$205^A46,IF(A46='Données projet'!$A$192,'Données projet'!$B$192,EJ45+EI46-ER45)))</f>
        <v>222.40000000000003</v>
      </c>
      <c r="EK46" s="17">
        <f>EJ46*VLOOKUP('Données projet'!$B$15,Paramètres!$A$1:$I$89,3,0)*VLOOKUP('Données projet'!$B$15,Paramètres!$A$1:$I$89,5,0)</f>
        <v>194.28864000000004</v>
      </c>
      <c r="EL46" s="13">
        <f t="shared" si="45"/>
        <v>48.486875029770822</v>
      </c>
      <c r="EM46" s="20">
        <f t="shared" si="19"/>
        <v>422.83402201018424</v>
      </c>
      <c r="EN46" s="59">
        <f t="shared" si="20"/>
        <v>716.16735534351756</v>
      </c>
      <c r="EO46" s="59">
        <f ca="1">AVERAGE(OFFSET($EN$3,0,0,'Données projet'!$E$15+1,1))-AVERAGE(OFFSET($H$3,0,0,'Données projet'!$E$15+1,1))</f>
        <v>384.34044781465661</v>
      </c>
      <c r="EP46" s="59">
        <f t="shared" si="46"/>
        <v>374.99493809709708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9.3340243077928875</v>
      </c>
      <c r="EW46" s="21">
        <f>EXP(-LN(2)/25)*EW45+(1-EXP(-LN(2)/25))/(LN(2)/25)*Calculateur!ER46*Calculateur!ET46*VLOOKUP('Données projet'!$B$15,Paramètres!$A$1:$I$89,3,0)*0.475*44/12</f>
        <v>14.38627416238203</v>
      </c>
      <c r="EX46" s="21">
        <f>EXP(-LN(2)/2)*EX45+(1-EXP(-LN(2)/2))/(LN(2)/2)*ER46*EU46*VLOOKUP('Données projet'!$B$15,Paramètres!$A$1:$I$89,3,0)*0.475*44/12</f>
        <v>3.0973749189624078</v>
      </c>
      <c r="EY46" s="22">
        <f t="shared" si="21"/>
        <v>26.817673389137326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9.8000000000000007</v>
      </c>
      <c r="FE46" s="12">
        <f>IF('Données projet'!$A$218&gt;35,FE45+FD46-FM45,IF(A46&lt;'Données projet'!$A$218,$FB$205^A46,IF(A46='Données projet'!$A$218,'Données projet'!$B$218,FE45+FD46-FM45)))</f>
        <v>222.40000000000003</v>
      </c>
      <c r="FF46" s="17">
        <f>FE46*VLOOKUP('Données projet'!$B$16,Paramètres!$A$1:$I$89,3,0)*VLOOKUP('Données projet'!$B$16,Paramètres!$A$1:$I$89,5,0)</f>
        <v>180.41088000000005</v>
      </c>
      <c r="FG46" s="13">
        <f t="shared" si="47"/>
        <v>45.413587262495575</v>
      </c>
      <c r="FH46" s="20">
        <f t="shared" si="22"/>
        <v>393.31094714884654</v>
      </c>
      <c r="FI46" s="59">
        <f t="shared" si="23"/>
        <v>686.64428048217985</v>
      </c>
      <c r="FJ46" s="59">
        <f ca="1">AVERAGE(OFFSET($FI$3,0,0,'Données projet'!$E$16+1,1))-AVERAGE(OFFSET($H$3,0,0,'Données projet'!$E$16+1,1))</f>
        <v>359.57284550600366</v>
      </c>
      <c r="FK46" s="59">
        <f t="shared" si="48"/>
        <v>351.38386928091433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8.6673082858076818</v>
      </c>
      <c r="FR46" s="21">
        <f>EXP(-LN(2)/25)*FR45+(1-EXP(-LN(2)/25))/(LN(2)/25)*Calculateur!FM46*Calculateur!FO46*VLOOKUP('Données projet'!$B$16,Paramètres!$A$1:$I$89,3,0)*0.475*44/12</f>
        <v>13.35868315078331</v>
      </c>
      <c r="FS46" s="21">
        <f>EXP(-LN(2)/2)*FS45+(1-EXP(-LN(2)/2))/(LN(2)/2)*FM46*FP46*VLOOKUP('Données projet'!$B$16,Paramètres!$A$1:$I$89,3,0)*0.475*44/12</f>
        <v>2.8761338533222345</v>
      </c>
      <c r="FT46" s="22">
        <f t="shared" si="24"/>
        <v>24.902125289913226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6">
        <f t="shared" si="1"/>
        <v>256.66666666666669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14.351250000000004</v>
      </c>
      <c r="N47" s="13">
        <f>IF('Données projet'!$A$36&gt;35,N46+M47-V46,IF(A47&lt;'Données projet'!$A$36,$K$205^A47,IF(A47='Données projet'!$A$36,'Données projet'!$B$36,N46+M47-V46)))</f>
        <v>218.61250000000004</v>
      </c>
      <c r="O47" s="13">
        <f>N47*VLOOKUP('Données projet'!$B$9,Paramètres!$A$1:$I$89,3,0)*VLOOKUP('Données projet'!$B$9,Paramètres!$A$1:$I$89,5,0)</f>
        <v>197.80059000000003</v>
      </c>
      <c r="P47" s="13">
        <f t="shared" si="33"/>
        <v>49.260493336959819</v>
      </c>
      <c r="Q47" s="20">
        <f t="shared" si="53"/>
        <v>430.29805347853835</v>
      </c>
      <c r="R47" s="59">
        <f t="shared" si="0"/>
        <v>723.63138681187161</v>
      </c>
      <c r="S47" s="59">
        <f ca="1">AVERAGE(OFFSET($R$3,0,0,'Données projet'!$E$9+1,1))-AVERAGE(OFFSET($H$3,0,0,'Données projet'!$E$9+1,1))</f>
        <v>695.0879239758051</v>
      </c>
      <c r="T47" s="59">
        <f t="shared" si="34"/>
        <v>226.22150997227476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28.365292189450564</v>
      </c>
      <c r="AB47" s="21">
        <f>EXP(-LN(2)/2)*AB46+(1-EXP(-LN(2)/2))/(LN(2)/2)*V47*Y47*VLOOKUP('Données projet'!$B$9,Paramètres!$A$1:$I$89,3,0)*0.475*44/12</f>
        <v>5.1557267627388796</v>
      </c>
      <c r="AC47" s="22">
        <f t="shared" si="3"/>
        <v>33.521018952189443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19.548750000000005</v>
      </c>
      <c r="AI47" s="13">
        <f>IF('Données projet'!$A$62&gt;35,AI46+AH47-AQ46,IF(A47&lt;'Données projet'!$A$62,$AF$205^A47,IF(A47='Données projet'!$A$62,'Données projet'!$B$62,AI46+AH47-AQ46)))</f>
        <v>460.77499999999992</v>
      </c>
      <c r="AJ47" s="13">
        <f>AI47*VLOOKUP('Données projet'!$B$10,Paramètres!$A$1:$I$89,3,0)*VLOOKUP('Données projet'!$B$10,Paramètres!$A$1:$I$89,5,0)</f>
        <v>275.54345000000001</v>
      </c>
      <c r="AK47" s="13">
        <f t="shared" si="35"/>
        <v>66.024334133316685</v>
      </c>
      <c r="AL47" s="20">
        <f t="shared" si="4"/>
        <v>594.89722403219321</v>
      </c>
      <c r="AM47" s="59">
        <f t="shared" si="5"/>
        <v>888.23055736552647</v>
      </c>
      <c r="AN47" s="59">
        <f ca="1">AVERAGE(OFFSET($AM$3,0,0,'Données projet'!$E$10+1,1))-AVERAGE(OFFSET($H$3,0,0,'Données projet'!$E$10+1,1))</f>
        <v>388.12151914648013</v>
      </c>
      <c r="AO47" s="59">
        <f t="shared" si="36"/>
        <v>481.43684454382793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47.996790202298428</v>
      </c>
      <c r="AV47" s="21">
        <f>EXP(-LN(2)/25)*AV46+(1-EXP(-LN(2)/25))/(LN(2)/25)*Calculateur!AQ47*Calculateur!AS47*VLOOKUP('Données projet'!$B$10,Paramètres!$A$1:$I$89,3,0)*0.475*44/12</f>
        <v>21.65145743690907</v>
      </c>
      <c r="AW47" s="21">
        <f>EXP(-LN(2)/2)*AW46+(1-EXP(-LN(2)/2))/(LN(2)/2)*AQ47*AT47*VLOOKUP('Données projet'!$B$10,Paramètres!$A$1:$I$89,3,0)*0.475*44/12</f>
        <v>4.1357743566598257</v>
      </c>
      <c r="AX47" s="21">
        <f t="shared" si="6"/>
        <v>73.78402199586732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9.8000000000000007</v>
      </c>
      <c r="BD47" s="12">
        <f>IF('Données projet'!$A$88&gt;35,BD46+BC47-BL46,IF(A47&lt;'Données projet'!$A$88,$BA$205^A47,IF(A47='Données projet'!$A$88,'Données projet'!$B$88,BD46+BC47-BL46)))</f>
        <v>232.20000000000005</v>
      </c>
      <c r="BE47" s="13">
        <f>BD47*VLOOKUP('Données projet'!$B$11,Paramètres!$A$1:$I$89,3,0)*VLOOKUP('Données projet'!$B$11,Paramètres!$A$1:$I$89,5,0)</f>
        <v>220.96152000000004</v>
      </c>
      <c r="BF47" s="13">
        <f t="shared" si="37"/>
        <v>54.323814270404277</v>
      </c>
      <c r="BG47" s="20">
        <f t="shared" si="7"/>
        <v>479.45529052095412</v>
      </c>
      <c r="BH47" s="59">
        <f t="shared" si="8"/>
        <v>772.78862385428738</v>
      </c>
      <c r="BI47" s="59">
        <f ca="1">AVERAGE(OFFSET($BH$3,0,0,'Données projet'!$E$11+1,1))-AVERAGE(OFFSET($H$3,0,0,'Données projet'!$E$11+1,1))</f>
        <v>415.24818074059294</v>
      </c>
      <c r="BJ47" s="59">
        <f t="shared" si="38"/>
        <v>404.45811532046872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9.9680424436231121</v>
      </c>
      <c r="BQ47" s="21">
        <f>EXP(-LN(2)/25)*BQ46+(1-EXP(-LN(2)/25))/(LN(2)/25)*Calculateur!BL47*Calculateur!BN47*VLOOKUP('Données projet'!$B$11,Paramètres!$A$1:$I$89,3,0)*0.475*44/12</f>
        <v>15.242245090555269</v>
      </c>
      <c r="BR47" s="21">
        <f>EXP(-LN(2)/2)*BR46+(1-EXP(-LN(2)/2))/(LN(2)/2)*BL47*BO47*VLOOKUP('Données projet'!$B$11,Paramètres!$A$1:$I$89,3,0)*0.475*44/12</f>
        <v>2.3857261313143305</v>
      </c>
      <c r="BS47" s="22">
        <f t="shared" si="9"/>
        <v>27.596013665492713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9.8000000000000007</v>
      </c>
      <c r="BY47" s="12">
        <f>IF('Données projet'!$A$114&gt;35,BY46+BX47-CG46,IF(A47&lt;'Données projet'!$A$114,$BV$205^A47,IF(A47='Données projet'!$A$114,'Données projet'!$B$114,BY46+BX47-CG46)))</f>
        <v>232.20000000000005</v>
      </c>
      <c r="BZ47" s="13">
        <f>BY47*VLOOKUP('Données projet'!$B$12,Paramètres!$A$1:$I$89,3,0)*VLOOKUP('Données projet'!$B$12,Paramètres!$A$1:$I$89,5,0)</f>
        <v>202.84992000000005</v>
      </c>
      <c r="CA47" s="13">
        <f t="shared" si="39"/>
        <v>50.369977187686075</v>
      </c>
      <c r="CB47" s="20">
        <f t="shared" si="10"/>
        <v>441.02465426855332</v>
      </c>
      <c r="CC47" s="59">
        <f t="shared" si="11"/>
        <v>734.35798760188663</v>
      </c>
      <c r="CD47" s="59">
        <f ca="1">AVERAGE(OFFSET($CC$3,0,0,'Données projet'!$E$12+1,1))-AVERAGE(OFFSET($H$3,0,0,'Données projet'!$E$12+1,1))</f>
        <v>384.34044781465661</v>
      </c>
      <c r="CE47" s="59">
        <f t="shared" si="40"/>
        <v>374.99493809709708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11.279126943451546</v>
      </c>
      <c r="CL47" s="21">
        <f>EXP(-LN(2)/25)*CL46+(1-EXP(-LN(2)/25))/(LN(2)/25)*Calculateur!CG47*Calculateur!CI47*VLOOKUP('Données projet'!$B$12,Paramètres!$A$1:$I$89,3,0)*0.475*44/12</f>
        <v>17.247039050235617</v>
      </c>
      <c r="CM47" s="21">
        <f>EXP(-LN(2)/2)*CM46+(1-EXP(-LN(2)/2))/(LN(2)/2)*CG47*CJ47*VLOOKUP('Données projet'!$B$12,Paramètres!$A$1:$I$89,3,0)*0.475*44/12</f>
        <v>2.1901748090754518</v>
      </c>
      <c r="CN47" s="22">
        <f t="shared" si="12"/>
        <v>30.716340802762616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21.970000000000002</v>
      </c>
      <c r="CT47" s="12">
        <f>IF('Données projet'!$A$140&gt;35,CT46+CS47-DB46,IF(A47&lt;'Données projet'!$A$140,$CQ$205^A47,IF(A47='Données projet'!$A$140,'Données projet'!$B$140,CT46+CS47-DB46)))</f>
        <v>394.3900000000001</v>
      </c>
      <c r="CU47" s="17">
        <f>CT47*VLOOKUP('Données projet'!$B$13,Paramètres!$A$1:$I$89,3,0)*VLOOKUP('Données projet'!$B$13,Paramètres!$A$1:$I$89,5,0)</f>
        <v>220.46401000000006</v>
      </c>
      <c r="CV47" s="13">
        <f t="shared" si="41"/>
        <v>54.215723631671224</v>
      </c>
      <c r="CW47" s="20">
        <f t="shared" si="13"/>
        <v>478.4005360751608</v>
      </c>
      <c r="CX47" s="59">
        <f t="shared" si="14"/>
        <v>771.73386940849412</v>
      </c>
      <c r="CY47" s="59">
        <f ca="1">AVERAGE(OFFSET($CX$3,0,0,'Données projet'!$E$13+1,1))-AVERAGE(OFFSET($H$3,0,0,'Données projet'!$E$13+1,1))</f>
        <v>386.66324266750968</v>
      </c>
      <c r="CZ47" s="59">
        <f t="shared" si="42"/>
        <v>356.22149461585769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50.483688571076669</v>
      </c>
      <c r="DG47" s="21">
        <f>EXP(-LN(2)/25)*DG46+(1-EXP(-LN(2)/25))/(LN(2)/25)*Calculateur!DB47*Calculateur!DD47*VLOOKUP('Données projet'!$B$13,Paramètres!$A$1:$I$89,3,0)*0.475*44/12</f>
        <v>24.834604243403071</v>
      </c>
      <c r="DH47" s="21">
        <f>EXP(-LN(2)/2)*DH46+(1-EXP(-LN(2)/2))/(LN(2)/2)*DB47*DE47*VLOOKUP('Données projet'!$B$13,Paramètres!$A$1:$I$89,3,0)*0.475*44/12</f>
        <v>6.8856435365545137</v>
      </c>
      <c r="DI47" s="22">
        <f t="shared" si="15"/>
        <v>82.203936351034258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9.8000000000000007</v>
      </c>
      <c r="DO47" s="12">
        <f>IF('Données projet'!$A$166&gt;35,DO46+DN47-DW46,IF(A47&lt;'Données projet'!$A$166,$DL$205^A47,IF(A47='Données projet'!$A$166,'Données projet'!$B$166,DO46+DN47-DW46)))</f>
        <v>232.20000000000005</v>
      </c>
      <c r="DP47" s="17">
        <f>DO47*VLOOKUP('Données projet'!$B$14,Paramètres!$A$1:$I$89,3,0)*VLOOKUP('Données projet'!$B$14,Paramètres!$A$1:$I$89,5,0)</f>
        <v>181.11600000000004</v>
      </c>
      <c r="DQ47" s="13">
        <f t="shared" si="43"/>
        <v>45.570386218758216</v>
      </c>
      <c r="DR47" s="20">
        <f t="shared" si="16"/>
        <v>394.81212266433727</v>
      </c>
      <c r="DS47" s="59">
        <f t="shared" si="17"/>
        <v>688.14545599767052</v>
      </c>
      <c r="DT47" s="59">
        <f ca="1">AVERAGE(OFFSET($DS$3,0,0,'Données projet'!$E$14+1,1))-AVERAGE(OFFSET($H$3,0,0,'Données projet'!$E$14+1,1))</f>
        <v>347.17417070871716</v>
      </c>
      <c r="DU47" s="59">
        <f t="shared" si="44"/>
        <v>339.56378046986441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8.1705265931336957</v>
      </c>
      <c r="EB47" s="21">
        <f>EXP(-LN(2)/25)*EB46+(1-EXP(-LN(2)/25))/(LN(2)/25)*Calculateur!DW47*Calculateur!DY47*VLOOKUP('Données projet'!$B$14,Paramètres!$A$1:$I$89,3,0)*0.475*44/12</f>
        <v>12.49364351684858</v>
      </c>
      <c r="EC47" s="21">
        <f>EXP(-LN(2)/2)*EC46+(1-EXP(-LN(2)/2))/(LN(2)/2)*DW47*DZ47*VLOOKUP('Données projet'!$B$14,Paramètres!$A$1:$I$89,3,0)*0.475*44/12</f>
        <v>1.9555132223887959</v>
      </c>
      <c r="ED47" s="22">
        <f t="shared" si="18"/>
        <v>22.619683332371071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9.8000000000000007</v>
      </c>
      <c r="EJ47" s="12">
        <f>IF('Données projet'!$A$192&gt;35,EJ46+EI47-ER46,IF(A47&lt;'Données projet'!$A$192,$EG$205^A47,IF(A47='Données projet'!$A$192,'Données projet'!$B$192,EJ46+EI47-ER46)))</f>
        <v>232.20000000000005</v>
      </c>
      <c r="EK47" s="17">
        <f>EJ47*VLOOKUP('Données projet'!$B$15,Paramètres!$A$1:$I$89,3,0)*VLOOKUP('Données projet'!$B$15,Paramètres!$A$1:$I$89,5,0)</f>
        <v>202.84992000000005</v>
      </c>
      <c r="EL47" s="13">
        <f t="shared" si="45"/>
        <v>50.369977187686075</v>
      </c>
      <c r="EM47" s="20">
        <f t="shared" si="19"/>
        <v>441.02465426855332</v>
      </c>
      <c r="EN47" s="59">
        <f t="shared" si="20"/>
        <v>734.35798760188663</v>
      </c>
      <c r="EO47" s="59">
        <f ca="1">AVERAGE(OFFSET($EN$3,0,0,'Données projet'!$E$15+1,1))-AVERAGE(OFFSET($H$3,0,0,'Données projet'!$E$15+1,1))</f>
        <v>384.34044781465661</v>
      </c>
      <c r="EP47" s="59">
        <f t="shared" si="46"/>
        <v>374.99493809709708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9.1509897843097399</v>
      </c>
      <c r="EW47" s="21">
        <f>EXP(-LN(2)/25)*EW46+(1-EXP(-LN(2)/25))/(LN(2)/25)*Calculateur!ER47*Calculateur!ET47*VLOOKUP('Données projet'!$B$15,Paramètres!$A$1:$I$89,3,0)*0.475*44/12</f>
        <v>13.992880738870415</v>
      </c>
      <c r="EX47" s="21">
        <f>EXP(-LN(2)/2)*EX46+(1-EXP(-LN(2)/2))/(LN(2)/2)*ER47*EU47*VLOOKUP('Données projet'!$B$15,Paramètres!$A$1:$I$89,3,0)*0.475*44/12</f>
        <v>2.1901748090754518</v>
      </c>
      <c r="EY47" s="22">
        <f t="shared" si="21"/>
        <v>25.334045332255606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9.8000000000000007</v>
      </c>
      <c r="FE47" s="12">
        <f>IF('Données projet'!$A$218&gt;35,FE46+FD47-FM46,IF(A47&lt;'Données projet'!$A$218,$FB$205^A47,IF(A47='Données projet'!$A$218,'Données projet'!$B$218,FE46+FD47-FM46)))</f>
        <v>232.20000000000005</v>
      </c>
      <c r="FF47" s="17">
        <f>FE47*VLOOKUP('Données projet'!$B$16,Paramètres!$A$1:$I$89,3,0)*VLOOKUP('Données projet'!$B$16,Paramètres!$A$1:$I$89,5,0)</f>
        <v>188.36064000000005</v>
      </c>
      <c r="FG47" s="13">
        <f t="shared" si="47"/>
        <v>47.177331040995796</v>
      </c>
      <c r="FH47" s="20">
        <f t="shared" si="22"/>
        <v>410.22863289640105</v>
      </c>
      <c r="FI47" s="59">
        <f t="shared" si="23"/>
        <v>703.56196622973437</v>
      </c>
      <c r="FJ47" s="59">
        <f ca="1">AVERAGE(OFFSET($FI$3,0,0,'Données projet'!$E$16+1,1))-AVERAGE(OFFSET($H$3,0,0,'Données projet'!$E$16+1,1))</f>
        <v>359.57284550600366</v>
      </c>
      <c r="FK47" s="59">
        <f t="shared" si="48"/>
        <v>351.38386928091433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8.4973476568590449</v>
      </c>
      <c r="FR47" s="21">
        <f>EXP(-LN(2)/25)*FR46+(1-EXP(-LN(2)/25))/(LN(2)/25)*Calculateur!FM47*Calculateur!FO47*VLOOKUP('Données projet'!$B$16,Paramètres!$A$1:$I$89,3,0)*0.475*44/12</f>
        <v>12.993389257522525</v>
      </c>
      <c r="FS47" s="21">
        <f>EXP(-LN(2)/2)*FS46+(1-EXP(-LN(2)/2))/(LN(2)/2)*FM47*FP47*VLOOKUP('Données projet'!$B$16,Paramètres!$A$1:$I$89,3,0)*0.475*44/12</f>
        <v>2.033733751284347</v>
      </c>
      <c r="FT47" s="22">
        <f t="shared" si="24"/>
        <v>23.52447066566592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6">
        <f t="shared" si="1"/>
        <v>256.66666666666669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14.351250000000004</v>
      </c>
      <c r="N48" s="13">
        <f>IF('Données projet'!$A$36&gt;35,N47+M48-V47,IF(A48&lt;'Données projet'!$A$36,$K$205^A48,IF(A48='Données projet'!$A$36,'Données projet'!$B$36,N47+M48-V47)))</f>
        <v>232.96375000000003</v>
      </c>
      <c r="O48" s="13">
        <f>N48*VLOOKUP('Données projet'!$B$9,Paramètres!$A$1:$I$89,3,0)*VLOOKUP('Données projet'!$B$9,Paramètres!$A$1:$I$89,5,0)</f>
        <v>210.78560100000001</v>
      </c>
      <c r="P48" s="13">
        <f t="shared" si="33"/>
        <v>52.107221956756902</v>
      </c>
      <c r="Q48" s="20">
        <f t="shared" si="53"/>
        <v>457.87166664968487</v>
      </c>
      <c r="R48" s="59">
        <f t="shared" si="0"/>
        <v>751.20499998301818</v>
      </c>
      <c r="S48" s="59">
        <f ca="1">AVERAGE(OFFSET($R$3,0,0,'Données projet'!$E$9+1,1))-AVERAGE(OFFSET($H$3,0,0,'Données projet'!$E$9+1,1))</f>
        <v>695.0879239758051</v>
      </c>
      <c r="T48" s="59">
        <f t="shared" si="34"/>
        <v>226.22150997227476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27.589641782864152</v>
      </c>
      <c r="AB48" s="21">
        <f>EXP(-LN(2)/2)*AB47+(1-EXP(-LN(2)/2))/(LN(2)/2)*V48*Y48*VLOOKUP('Données projet'!$B$9,Paramètres!$A$1:$I$89,3,0)*0.475*44/12</f>
        <v>3.6456493558776284</v>
      </c>
      <c r="AC48" s="22">
        <f t="shared" si="3"/>
        <v>31.235291138741779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19.548750000000005</v>
      </c>
      <c r="AI48" s="13">
        <f>IF('Données projet'!$A$62&gt;35,AI47+AH48-AQ47,IF(A48&lt;'Données projet'!$A$62,$AF$205^A48,IF(A48='Données projet'!$A$62,'Données projet'!$B$62,AI47+AH48-AQ47)))</f>
        <v>480.3237499999999</v>
      </c>
      <c r="AJ48" s="13">
        <f>AI48*VLOOKUP('Données projet'!$B$10,Paramètres!$A$1:$I$89,3,0)*VLOOKUP('Données projet'!$B$10,Paramètres!$A$1:$I$89,5,0)</f>
        <v>287.23360249999996</v>
      </c>
      <c r="AK48" s="13">
        <f t="shared" si="35"/>
        <v>68.493400392198751</v>
      </c>
      <c r="AL48" s="20">
        <f t="shared" si="4"/>
        <v>619.55786337057941</v>
      </c>
      <c r="AM48" s="59">
        <f t="shared" si="5"/>
        <v>912.89119670391278</v>
      </c>
      <c r="AN48" s="59">
        <f ca="1">AVERAGE(OFFSET($AM$3,0,0,'Données projet'!$E$10+1,1))-AVERAGE(OFFSET($H$3,0,0,'Données projet'!$E$10+1,1))</f>
        <v>388.12151914648013</v>
      </c>
      <c r="AO48" s="59">
        <f t="shared" si="36"/>
        <v>481.43684454382793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47.055602421582698</v>
      </c>
      <c r="AV48" s="21">
        <f>EXP(-LN(2)/25)*AV47+(1-EXP(-LN(2)/25))/(LN(2)/25)*Calculateur!AQ48*Calculateur!AS48*VLOOKUP('Données projet'!$B$10,Paramètres!$A$1:$I$89,3,0)*0.475*44/12</f>
        <v>21.059397194696128</v>
      </c>
      <c r="AW48" s="21">
        <f>EXP(-LN(2)/2)*AW47+(1-EXP(-LN(2)/2))/(LN(2)/2)*AQ48*AT48*VLOOKUP('Données projet'!$B$10,Paramètres!$A$1:$I$89,3,0)*0.475*44/12</f>
        <v>2.9244340930515937</v>
      </c>
      <c r="AX48" s="21">
        <f t="shared" si="6"/>
        <v>71.03943370933041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242</v>
      </c>
      <c r="BB48" s="12">
        <f>VLOOKUP(A48,'Données projet'!$A$87:$I$107,9,0)</f>
        <v>9.8000000000000007</v>
      </c>
      <c r="BC48" s="12">
        <f t="array" ref="BC48">INDEX(BB:BB,MIN(IF(ISNUMBER(BB48:BB244),ROW(BB48:BB244),"")))</f>
        <v>9.8000000000000007</v>
      </c>
      <c r="BD48" s="12">
        <f>IF('Données projet'!$A$88&gt;35,BD47+BC48-BL47,IF(A48&lt;'Données projet'!$A$88,$BA$205^A48,IF(A48='Données projet'!$A$88,'Données projet'!$B$88,BD47+BC48-BL47)))</f>
        <v>242.00000000000006</v>
      </c>
      <c r="BE48" s="13">
        <f>BD48*VLOOKUP('Données projet'!$B$11,Paramètres!$A$1:$I$89,3,0)*VLOOKUP('Données projet'!$B$11,Paramètres!$A$1:$I$89,5,0)</f>
        <v>230.28720000000007</v>
      </c>
      <c r="BF48" s="13">
        <f t="shared" si="37"/>
        <v>56.344776374960006</v>
      </c>
      <c r="BG48" s="20">
        <f t="shared" si="7"/>
        <v>499.21735885305537</v>
      </c>
      <c r="BH48" s="59">
        <f t="shared" si="8"/>
        <v>792.55069218638869</v>
      </c>
      <c r="BI48" s="59">
        <f ca="1">AVERAGE(OFFSET($BH$3,0,0,'Données projet'!$E$11+1,1))-AVERAGE(OFFSET($H$3,0,0,'Données projet'!$E$11+1,1))</f>
        <v>415.24818074059294</v>
      </c>
      <c r="BJ48" s="59">
        <f t="shared" si="38"/>
        <v>404.45811532046872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24</v>
      </c>
      <c r="BM48" s="16">
        <f>IF(ISNA(VLOOKUP(A48,'Données projet'!$A$87:$I$107,5,0)),0%,VLOOKUP(A48,'Données projet'!$A$87:$I$107,5,0)*VLOOKUP('Données projet'!$B$11,Paramètres!$A$1:$I$89,7,0))</f>
        <v>0.1075</v>
      </c>
      <c r="BN48" s="16">
        <f>IF(ISNA(VLOOKUP(A48,'Données projet'!$A$87:$I$107,6,0)),0%,VLOOKUP(A48,'Données projet'!$A$87:$I$107,6,0)*VLOOKUP('Données projet'!$B$11,Paramètres!$A$1:$I$89,7,0))</f>
        <v>0.1075</v>
      </c>
      <c r="BO48" s="16">
        <f>IF(ISNA(VLOOKUP(A48,'Données projet'!$A$87:$I$107,7,0)),0%,VLOOKUP(A48,'Données projet'!$A$87:$I$107,7,0))</f>
        <v>0.25</v>
      </c>
      <c r="BP48" s="21">
        <f>EXP(-LN(2)/35)*BP47+(1-EXP(-LN(2)/35))/(LN(2)/35)*BL48*BM48*VLOOKUP('Données projet'!$B$11,Paramètres!$A$1:$I$89,3,0)*0.475*44/12</f>
        <v>12.486646493171186</v>
      </c>
      <c r="BQ48" s="21">
        <f>EXP(-LN(2)/25)*BQ47+(1-EXP(-LN(2)/25))/(LN(2)/25)*Calculateur!BL48*Calculateur!BN48*VLOOKUP('Données projet'!$B$11,Paramètres!$A$1:$I$89,3,0)*0.475*44/12</f>
        <v>17.528830046181856</v>
      </c>
      <c r="BR48" s="21">
        <f>EXP(-LN(2)/2)*BR47+(1-EXP(-LN(2)/2))/(LN(2)/2)*BL48*BO48*VLOOKUP('Données projet'!$B$11,Paramètres!$A$1:$I$89,3,0)*0.475*44/12</f>
        <v>7.0741243971372363</v>
      </c>
      <c r="BS48" s="22">
        <f t="shared" si="9"/>
        <v>37.089600936490278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242</v>
      </c>
      <c r="BW48" s="12">
        <f>VLOOKUP(A48,'Données projet'!$A$113:$I$133,9,0)</f>
        <v>9.8000000000000007</v>
      </c>
      <c r="BX48" s="12">
        <f t="array" ref="BX48">INDEX(BW:BW,MIN(IF(ISNUMBER(BW48:BW244),ROW(BW48:BW244),"")))</f>
        <v>9.8000000000000007</v>
      </c>
      <c r="BY48" s="12">
        <f>IF('Données projet'!$A$114&gt;35,BY47+BX48-CG47,IF(A48&lt;'Données projet'!$A$114,$BV$205^A48,IF(A48='Données projet'!$A$114,'Données projet'!$B$114,BY47+BX48-CG47)))</f>
        <v>242.00000000000006</v>
      </c>
      <c r="BZ48" s="13">
        <f>BY48*VLOOKUP('Données projet'!$B$12,Paramètres!$A$1:$I$89,3,0)*VLOOKUP('Données projet'!$B$12,Paramètres!$A$1:$I$89,5,0)</f>
        <v>211.41120000000006</v>
      </c>
      <c r="CA48" s="13">
        <f t="shared" si="39"/>
        <v>52.243848094411156</v>
      </c>
      <c r="CB48" s="20">
        <f t="shared" si="10"/>
        <v>459.19920876443285</v>
      </c>
      <c r="CC48" s="59">
        <f t="shared" si="11"/>
        <v>752.53254209776617</v>
      </c>
      <c r="CD48" s="59">
        <f ca="1">AVERAGE(OFFSET($CC$3,0,0,'Données projet'!$E$12+1,1))-AVERAGE(OFFSET($H$3,0,0,'Données projet'!$E$12+1,1))</f>
        <v>384.34044781465661</v>
      </c>
      <c r="CE48" s="59">
        <f t="shared" si="40"/>
        <v>374.99493809709708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24</v>
      </c>
      <c r="CH48" s="16">
        <f>IF(ISNA(VLOOKUP(A48,'Données projet'!$A$113:$I$133,5,0)),0%,VLOOKUP(A48,'Données projet'!$A$113:$I$133,5,0)*VLOOKUP('Données projet'!$B$12,Paramètres!$A$1:$I$89,7,0))</f>
        <v>0.13250000000000001</v>
      </c>
      <c r="CI48" s="16">
        <f>IF(ISNA(VLOOKUP(A48,'Données projet'!$A$113:$I$133,6,0)),0%,VLOOKUP(A48,'Données projet'!$A$113:$I$133,6,0)*VLOOKUP('Données projet'!$B$12,Paramètres!$A$1:$I$89,7,0))</f>
        <v>0.13250000000000001</v>
      </c>
      <c r="CJ48" s="16">
        <f>IF(ISNA(VLOOKUP(A48,'Données projet'!$A$113:$I$133,7,0)),0%,VLOOKUP(A48,'Données projet'!$A$113:$I$133,7,0))</f>
        <v>0.25</v>
      </c>
      <c r="CK48" s="21">
        <f>EXP(-LN(2)/35)*CK47+(1-EXP(-LN(2)/35))/(LN(2)/35)*CG48*CH48*VLOOKUP('Données projet'!$B$12,Paramètres!$A$1:$I$89,3,0)*0.475*44/12</f>
        <v>14.128999920599348</v>
      </c>
      <c r="CL48" s="21">
        <f>EXP(-LN(2)/25)*CL47+(1-EXP(-LN(2)/25))/(LN(2)/25)*Calculateur!CG48*Calculateur!CI48*VLOOKUP('Données projet'!$B$12,Paramètres!$A$1:$I$89,3,0)*0.475*44/12</f>
        <v>19.834375744211872</v>
      </c>
      <c r="CM48" s="21">
        <f>EXP(-LN(2)/2)*CM47+(1-EXP(-LN(2)/2))/(LN(2)/2)*CG48*CJ48*VLOOKUP('Données projet'!$B$12,Paramètres!$A$1:$I$89,3,0)*0.475*44/12</f>
        <v>6.494278135076808</v>
      </c>
      <c r="CN48" s="22">
        <f t="shared" si="12"/>
        <v>40.457653799888035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21.970000000000002</v>
      </c>
      <c r="CT48" s="12">
        <f>IF('Données projet'!$A$140&gt;35,CT47+CS48-DB47,IF(A48&lt;'Données projet'!$A$140,$CQ$205^A48,IF(A48='Données projet'!$A$140,'Données projet'!$B$140,CT47+CS48-DB47)))</f>
        <v>416.36000000000013</v>
      </c>
      <c r="CU48" s="17">
        <f>CT48*VLOOKUP('Données projet'!$B$13,Paramètres!$A$1:$I$89,3,0)*VLOOKUP('Données projet'!$B$13,Paramètres!$A$1:$I$89,5,0)</f>
        <v>232.74524000000008</v>
      </c>
      <c r="CV48" s="13">
        <f t="shared" si="41"/>
        <v>56.875856080072602</v>
      </c>
      <c r="CW48" s="20">
        <f t="shared" si="13"/>
        <v>504.42340900612658</v>
      </c>
      <c r="CX48" s="59">
        <f t="shared" si="14"/>
        <v>797.75674233945983</v>
      </c>
      <c r="CY48" s="59">
        <f ca="1">AVERAGE(OFFSET($CX$3,0,0,'Données projet'!$E$13+1,1))-AVERAGE(OFFSET($H$3,0,0,'Données projet'!$E$13+1,1))</f>
        <v>386.66324266750968</v>
      </c>
      <c r="CZ48" s="59">
        <f t="shared" si="42"/>
        <v>356.22149461585769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49.493734230207423</v>
      </c>
      <c r="DG48" s="21">
        <f>EXP(-LN(2)/25)*DG47+(1-EXP(-LN(2)/25))/(LN(2)/25)*Calculateur!DB48*Calculateur!DD48*VLOOKUP('Données projet'!$B$13,Paramètres!$A$1:$I$89,3,0)*0.475*44/12</f>
        <v>24.155500684372136</v>
      </c>
      <c r="DH48" s="21">
        <f>EXP(-LN(2)/2)*DH47+(1-EXP(-LN(2)/2))/(LN(2)/2)*DB48*DE48*VLOOKUP('Données projet'!$B$13,Paramètres!$A$1:$I$89,3,0)*0.475*44/12</f>
        <v>4.8688852375310177</v>
      </c>
      <c r="DI48" s="22">
        <f t="shared" si="15"/>
        <v>78.518120152110569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242</v>
      </c>
      <c r="DM48" s="12">
        <f>VLOOKUP(A48,'Données projet'!$A$165:$I$185,9,0)</f>
        <v>9.8000000000000007</v>
      </c>
      <c r="DN48" s="12">
        <f t="array" ref="DN48">INDEX(DM:DM,MIN(IF(ISNUMBER(DM48:DM244),ROW(DM48:DM244),"")))</f>
        <v>9.8000000000000007</v>
      </c>
      <c r="DO48" s="12">
        <f>IF('Données projet'!$A$166&gt;35,DO47+DN48-DW47,IF(A48&lt;'Données projet'!$A$166,$DL$205^A48,IF(A48='Données projet'!$A$166,'Données projet'!$B$166,DO47+DN48-DW47)))</f>
        <v>242.00000000000006</v>
      </c>
      <c r="DP48" s="17">
        <f>DO48*VLOOKUP('Données projet'!$B$14,Paramètres!$A$1:$I$89,3,0)*VLOOKUP('Données projet'!$B$14,Paramètres!$A$1:$I$89,5,0)</f>
        <v>188.76000000000005</v>
      </c>
      <c r="DQ48" s="13">
        <f t="shared" si="43"/>
        <v>47.265702073783714</v>
      </c>
      <c r="DR48" s="20">
        <f t="shared" si="16"/>
        <v>411.07809777850667</v>
      </c>
      <c r="DS48" s="59">
        <f t="shared" si="17"/>
        <v>704.41143111183999</v>
      </c>
      <c r="DT48" s="59">
        <f ca="1">AVERAGE(OFFSET($DS$3,0,0,'Données projet'!$E$14+1,1))-AVERAGE(OFFSET($H$3,0,0,'Données projet'!$E$14+1,1))</f>
        <v>347.17417070871716</v>
      </c>
      <c r="DU48" s="59">
        <f t="shared" si="44"/>
        <v>339.56378046986441</v>
      </c>
      <c r="DV48" s="15">
        <f>IF(ISNA(VLOOKUP(A48,'Données projet'!$A$165:$I$185,3,0)),0,VLOOKUP(A48,'Données projet'!$A$165:$I$185,3,0))</f>
        <v>7</v>
      </c>
      <c r="DW48" s="15">
        <f>IF(ISNA(VLOOKUP(A48,'Données projet'!$A$165:$I$185,4,0)),0,VLOOKUP(A48,'Données projet'!$A$165:$I$185,4,0))</f>
        <v>24</v>
      </c>
      <c r="DX48" s="16">
        <f>IF(ISNA(VLOOKUP(A48,'Données projet'!$A$165:$I$185,5,0)),0%,VLOOKUP(A48,'Données projet'!$A$165:$I$185,5,0)*VLOOKUP('Données projet'!$B$14,Paramètres!$A$1:$I$89,7,0))</f>
        <v>0.1075</v>
      </c>
      <c r="DY48" s="16">
        <f>IF(ISNA(VLOOKUP(A48,'Données projet'!$A$165:$I$185,6,0)),0%,VLOOKUP(A48,'Données projet'!$A$165:$I$185,6,0)*VLOOKUP('Données projet'!$B$14,Paramètres!$A$1:$I$89,7,0))</f>
        <v>0.1075</v>
      </c>
      <c r="DZ48" s="16">
        <f>IF(ISNA(VLOOKUP(A48,'Données projet'!$A$165:$I$185,7,0)),0%,VLOOKUP(A48,'Données projet'!$A$165:$I$185,7,0))</f>
        <v>0.25</v>
      </c>
      <c r="EA48" s="21">
        <f>EXP(-LN(2)/35)*EA47+(1-EXP(-LN(2)/35))/(LN(2)/35)*DW48*DX48*VLOOKUP('Données projet'!$B$14,Paramètres!$A$1:$I$89,3,0)*0.475*44/12</f>
        <v>10.234956141943591</v>
      </c>
      <c r="EB48" s="21">
        <f>EXP(-LN(2)/25)*EB47+(1-EXP(-LN(2)/25))/(LN(2)/25)*Calculateur!DW48*Calculateur!DY48*VLOOKUP('Données projet'!$B$14,Paramètres!$A$1:$I$89,3,0)*0.475*44/12</f>
        <v>14.367893480476932</v>
      </c>
      <c r="EC48" s="21">
        <f>EXP(-LN(2)/2)*EC47+(1-EXP(-LN(2)/2))/(LN(2)/2)*DW48*DZ48*VLOOKUP('Données projet'!$B$14,Paramètres!$A$1:$I$89,3,0)*0.475*44/12</f>
        <v>5.7984626206042913</v>
      </c>
      <c r="ED48" s="22">
        <f t="shared" si="18"/>
        <v>30.401312243024812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242</v>
      </c>
      <c r="EH48" s="12">
        <f>VLOOKUP(A48,'Données projet'!$A$191:$I$211,9,0)</f>
        <v>9.8000000000000007</v>
      </c>
      <c r="EI48" s="12">
        <f t="array" ref="EI48">INDEX(EH:EH,MIN(IF(ISNUMBER(EH48:EH244),ROW(EH48:EH244),"")))</f>
        <v>9.8000000000000007</v>
      </c>
      <c r="EJ48" s="12">
        <f>IF('Données projet'!$A$192&gt;35,EJ47+EI48-ER47,IF(A48&lt;'Données projet'!$A$192,$EG$205^A48,IF(A48='Données projet'!$A$192,'Données projet'!$B$192,EJ47+EI48-ER47)))</f>
        <v>242.00000000000006</v>
      </c>
      <c r="EK48" s="17">
        <f>EJ48*VLOOKUP('Données projet'!$B$15,Paramètres!$A$1:$I$89,3,0)*VLOOKUP('Données projet'!$B$15,Paramètres!$A$1:$I$89,5,0)</f>
        <v>211.41120000000006</v>
      </c>
      <c r="EL48" s="13">
        <f t="shared" si="45"/>
        <v>52.243848094411156</v>
      </c>
      <c r="EM48" s="20">
        <f t="shared" si="19"/>
        <v>459.19920876443285</v>
      </c>
      <c r="EN48" s="59">
        <f t="shared" si="20"/>
        <v>752.53254209776617</v>
      </c>
      <c r="EO48" s="59">
        <f ca="1">AVERAGE(OFFSET($EN$3,0,0,'Données projet'!$E$15+1,1))-AVERAGE(OFFSET($H$3,0,0,'Données projet'!$E$15+1,1))</f>
        <v>384.34044781465661</v>
      </c>
      <c r="EP48" s="59">
        <f t="shared" si="46"/>
        <v>374.99493809709708</v>
      </c>
      <c r="EQ48" s="15">
        <f>IF(ISNA(VLOOKUP(A48,'Données projet'!$A$191:$I$211,3,0)),0,VLOOKUP(A48,'Données projet'!$A$191:$I$211,3,0))</f>
        <v>7</v>
      </c>
      <c r="ER48" s="15">
        <f>IF(ISNA(VLOOKUP(A48,'Données projet'!$A$191:$I$211,4,0)),0,VLOOKUP(A48,'Données projet'!$A$191:$I$211,4,0))</f>
        <v>24</v>
      </c>
      <c r="ES48" s="16">
        <f>IF(ISNA(VLOOKUP(A48,'Données projet'!$A$191:$I$211,5,0)),0%,VLOOKUP(A48,'Données projet'!$A$191:$I$211,5,0)*VLOOKUP('Données projet'!$B$15,Paramètres!$A$1:$I$89,7,0))</f>
        <v>0.1075</v>
      </c>
      <c r="ET48" s="16">
        <f>IF(ISNA(VLOOKUP(A48,'Données projet'!$A$191:$I$211,6,0)),0%,VLOOKUP(A48,'Données projet'!$A$191:$I$211,6,0)*VLOOKUP('Données projet'!$B$15,Paramètres!$A$1:$I$89,7,0))</f>
        <v>0.1075</v>
      </c>
      <c r="EU48" s="16">
        <f>IF(ISNA(VLOOKUP(A48,'Données projet'!$A$191:$I$211,7,0)),0%,VLOOKUP(A48,'Données projet'!$A$191:$I$211,7,0))</f>
        <v>0.25</v>
      </c>
      <c r="EV48" s="21">
        <f>EXP(-LN(2)/35)*EV47+(1-EXP(-LN(2)/35))/(LN(2)/35)*ER48*ES48*VLOOKUP('Données projet'!$B$15,Paramètres!$A$1:$I$89,3,0)*0.475*44/12</f>
        <v>11.463150878976824</v>
      </c>
      <c r="EW48" s="21">
        <f>EXP(-LN(2)/25)*EW47+(1-EXP(-LN(2)/25))/(LN(2)/25)*Calculateur!ER48*Calculateur!ET48*VLOOKUP('Données projet'!$B$15,Paramètres!$A$1:$I$89,3,0)*0.475*44/12</f>
        <v>16.09204069813417</v>
      </c>
      <c r="EX48" s="21">
        <f>EXP(-LN(2)/2)*EX47+(1-EXP(-LN(2)/2))/(LN(2)/2)*ER48*EU48*VLOOKUP('Données projet'!$B$15,Paramètres!$A$1:$I$89,3,0)*0.475*44/12</f>
        <v>6.494278135076808</v>
      </c>
      <c r="EY48" s="22">
        <f t="shared" si="21"/>
        <v>34.0494697121878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242</v>
      </c>
      <c r="FC48" s="12">
        <f>VLOOKUP(A48,'Données projet'!$A$217:$I$237,9,0)</f>
        <v>9.8000000000000007</v>
      </c>
      <c r="FD48" s="12">
        <f t="array" ref="FD48">INDEX(FC:FC,MIN(IF(ISNUMBER(FC48:FC244),ROW(FC48:FC244),"")))</f>
        <v>9.8000000000000007</v>
      </c>
      <c r="FE48" s="12">
        <f>IF('Données projet'!$A$218&gt;35,FE47+FD48-FM47,IF(A48&lt;'Données projet'!$A$218,$FB$205^A48,IF(A48='Données projet'!$A$218,'Données projet'!$B$218,FE47+FD48-FM47)))</f>
        <v>242.00000000000006</v>
      </c>
      <c r="FF48" s="17">
        <f>FE48*VLOOKUP('Données projet'!$B$16,Paramètres!$A$1:$I$89,3,0)*VLOOKUP('Données projet'!$B$16,Paramètres!$A$1:$I$89,5,0)</f>
        <v>196.31040000000004</v>
      </c>
      <c r="FG48" s="13">
        <f t="shared" si="47"/>
        <v>48.932428681108973</v>
      </c>
      <c r="FH48" s="20">
        <f t="shared" si="22"/>
        <v>427.13125995293154</v>
      </c>
      <c r="FI48" s="59">
        <f t="shared" si="23"/>
        <v>720.46459328626486</v>
      </c>
      <c r="FJ48" s="59">
        <f ca="1">AVERAGE(OFFSET($FI$3,0,0,'Données projet'!$E$16+1,1))-AVERAGE(OFFSET($H$3,0,0,'Données projet'!$E$16+1,1))</f>
        <v>359.57284550600366</v>
      </c>
      <c r="FK48" s="59">
        <f t="shared" si="48"/>
        <v>351.38386928091433</v>
      </c>
      <c r="FL48" s="15">
        <f>IF(ISNA(VLOOKUP(A48,'Données projet'!$A$217:$I$237,3,0)),0,VLOOKUP(A48,'Données projet'!$A$217:$I$237,3,0))</f>
        <v>7</v>
      </c>
      <c r="FM48" s="15">
        <f>IF(ISNA(VLOOKUP(A48,'Données projet'!$A$217:$I$237,4,0)),0,VLOOKUP(A48,'Données projet'!$A$217:$I$237,4,0))</f>
        <v>24</v>
      </c>
      <c r="FN48" s="16">
        <f>IF(ISNA(VLOOKUP(A48,'Données projet'!$A$217:$I$237,5,0)),0%,VLOOKUP(A48,'Données projet'!$A$217:$I$237,5,0)*VLOOKUP('Données projet'!$B$16,Paramètres!$A$1:$I$89,7,0))</f>
        <v>0.1075</v>
      </c>
      <c r="FO48" s="16">
        <f>IF(ISNA(VLOOKUP(A48,'Données projet'!$A$217:$I$237,6,0)),0%,VLOOKUP(A48,'Données projet'!$A$217:$I$237,6,0)*VLOOKUP('Données projet'!$B$16,Paramètres!$A$1:$I$89,7,0))</f>
        <v>0.1075</v>
      </c>
      <c r="FP48" s="16">
        <f>IF(ISNA(VLOOKUP(A48,'Données projet'!$A$217:$I$237,7,0)),0%,VLOOKUP(A48,'Données projet'!$A$217:$I$237,7,0))</f>
        <v>0.25</v>
      </c>
      <c r="FQ48" s="21">
        <f>EXP(-LN(2)/35)*FQ47+(1-EXP(-LN(2)/35))/(LN(2)/35)*FM48*FN48*VLOOKUP('Données projet'!$B$16,Paramètres!$A$1:$I$89,3,0)*0.475*44/12</f>
        <v>10.644354387621338</v>
      </c>
      <c r="FR48" s="21">
        <f>EXP(-LN(2)/25)*FR47+(1-EXP(-LN(2)/25))/(LN(2)/25)*Calculateur!FM48*Calculateur!FO48*VLOOKUP('Données projet'!$B$16,Paramètres!$A$1:$I$89,3,0)*0.475*44/12</f>
        <v>14.94260921969601</v>
      </c>
      <c r="FS48" s="21">
        <f>EXP(-LN(2)/2)*FS47+(1-EXP(-LN(2)/2))/(LN(2)/2)*FM48*FP48*VLOOKUP('Données projet'!$B$16,Paramètres!$A$1:$I$89,3,0)*0.475*44/12</f>
        <v>6.0304011254284635</v>
      </c>
      <c r="FT48" s="22">
        <f t="shared" si="24"/>
        <v>31.617364732745813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6">
        <f t="shared" si="1"/>
        <v>256.66666666666669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14.351250000000004</v>
      </c>
      <c r="N49" s="13">
        <f>IF('Données projet'!$A$36&gt;35,N48+M49-V48,IF(A49&lt;'Données projet'!$A$36,$K$205^A49,IF(A49='Données projet'!$A$36,'Données projet'!$B$36,N48+M49-V48)))</f>
        <v>247.31500000000003</v>
      </c>
      <c r="O49" s="13">
        <f>N49*VLOOKUP('Données projet'!$B$9,Paramètres!$A$1:$I$89,3,0)*VLOOKUP('Données projet'!$B$9,Paramètres!$A$1:$I$89,5,0)</f>
        <v>223.770612</v>
      </c>
      <c r="P49" s="13">
        <f t="shared" si="33"/>
        <v>54.933597302380846</v>
      </c>
      <c r="Q49" s="20">
        <f t="shared" si="53"/>
        <v>485.40983120164657</v>
      </c>
      <c r="R49" s="59">
        <f t="shared" si="0"/>
        <v>778.74316453497988</v>
      </c>
      <c r="S49" s="59">
        <f ca="1">AVERAGE(OFFSET($R$3,0,0,'Données projet'!$E$9+1,1))-AVERAGE(OFFSET($H$3,0,0,'Données projet'!$E$9+1,1))</f>
        <v>695.0879239758051</v>
      </c>
      <c r="T49" s="59">
        <f t="shared" si="34"/>
        <v>226.22150997227476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26.835201577435527</v>
      </c>
      <c r="AB49" s="21">
        <f>EXP(-LN(2)/2)*AB48+(1-EXP(-LN(2)/2))/(LN(2)/2)*V49*Y49*VLOOKUP('Données projet'!$B$9,Paramètres!$A$1:$I$89,3,0)*0.475*44/12</f>
        <v>2.5778633813694403</v>
      </c>
      <c r="AC49" s="22">
        <f t="shared" si="3"/>
        <v>29.413064958804966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19.548750000000005</v>
      </c>
      <c r="AI49" s="13">
        <f>IF('Données projet'!$A$62&gt;35,AI48+AH49-AQ48,IF(A49&lt;'Données projet'!$A$62,$AF$205^A49,IF(A49='Données projet'!$A$62,'Données projet'!$B$62,AI48+AH49-AQ48)))</f>
        <v>499.87249999999989</v>
      </c>
      <c r="AJ49" s="13">
        <f>AI49*VLOOKUP('Données projet'!$B$10,Paramètres!$A$1:$I$89,3,0)*VLOOKUP('Données projet'!$B$10,Paramètres!$A$1:$I$89,5,0)</f>
        <v>298.92375499999997</v>
      </c>
      <c r="AK49" s="13">
        <f t="shared" si="35"/>
        <v>70.950794013628567</v>
      </c>
      <c r="AL49" s="20">
        <f t="shared" si="4"/>
        <v>644.19817286540308</v>
      </c>
      <c r="AM49" s="59">
        <f t="shared" si="5"/>
        <v>937.53150619873645</v>
      </c>
      <c r="AN49" s="59">
        <f ca="1">AVERAGE(OFFSET($AM$3,0,0,'Données projet'!$E$10+1,1))-AVERAGE(OFFSET($H$3,0,0,'Données projet'!$E$10+1,1))</f>
        <v>388.12151914648013</v>
      </c>
      <c r="AO49" s="59">
        <f t="shared" si="36"/>
        <v>481.43684454382793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46.132870759178942</v>
      </c>
      <c r="AV49" s="21">
        <f>EXP(-LN(2)/25)*AV48+(1-EXP(-LN(2)/25))/(LN(2)/25)*Calculateur!AQ49*Calculateur!AS49*VLOOKUP('Données projet'!$B$10,Paramètres!$A$1:$I$89,3,0)*0.475*44/12</f>
        <v>20.483526870941596</v>
      </c>
      <c r="AW49" s="21">
        <f>EXP(-LN(2)/2)*AW48+(1-EXP(-LN(2)/2))/(LN(2)/2)*AQ49*AT49*VLOOKUP('Données projet'!$B$10,Paramètres!$A$1:$I$89,3,0)*0.475*44/12</f>
        <v>2.0678871783299129</v>
      </c>
      <c r="AX49" s="21">
        <f t="shared" si="6"/>
        <v>68.684284808450442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8.6</v>
      </c>
      <c r="BD49" s="12">
        <f>IF('Données projet'!$A$88&gt;35,BD48+BC49-BL48,IF(A49&lt;'Données projet'!$A$88,$BA$205^A49,IF(A49='Données projet'!$A$88,'Données projet'!$B$88,BD48+BC49-BL48)))</f>
        <v>226.60000000000005</v>
      </c>
      <c r="BE49" s="13">
        <f>BD49*VLOOKUP('Données projet'!$B$11,Paramètres!$A$1:$I$89,3,0)*VLOOKUP('Données projet'!$B$11,Paramètres!$A$1:$I$89,5,0)</f>
        <v>215.63256000000004</v>
      </c>
      <c r="BF49" s="13">
        <f t="shared" si="37"/>
        <v>53.164539286100229</v>
      </c>
      <c r="BG49" s="20">
        <f t="shared" si="7"/>
        <v>468.15494792329127</v>
      </c>
      <c r="BH49" s="59">
        <f t="shared" si="8"/>
        <v>761.48828125662453</v>
      </c>
      <c r="BI49" s="59">
        <f ca="1">AVERAGE(OFFSET($BH$3,0,0,'Données projet'!$E$11+1,1))-AVERAGE(OFFSET($H$3,0,0,'Données projet'!$E$11+1,1))</f>
        <v>415.24818074059294</v>
      </c>
      <c r="BJ49" s="59">
        <f t="shared" si="38"/>
        <v>404.45811532046872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12.241790971542432</v>
      </c>
      <c r="BQ49" s="21">
        <f>EXP(-LN(2)/25)*BQ48+(1-EXP(-LN(2)/25))/(LN(2)/25)*Calculateur!BL49*Calculateur!BN49*VLOOKUP('Données projet'!$B$11,Paramètres!$A$1:$I$89,3,0)*0.475*44/12</f>
        <v>17.049503266767903</v>
      </c>
      <c r="BR49" s="21">
        <f>EXP(-LN(2)/2)*BR48+(1-EXP(-LN(2)/2))/(LN(2)/2)*BL49*BO49*VLOOKUP('Données projet'!$B$11,Paramètres!$A$1:$I$89,3,0)*0.475*44/12</f>
        <v>5.0021613321729372</v>
      </c>
      <c r="BS49" s="22">
        <f t="shared" si="9"/>
        <v>34.293455570483275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8.6</v>
      </c>
      <c r="BY49" s="12">
        <f>IF('Données projet'!$A$114&gt;35,BY48+BX49-CG48,IF(A49&lt;'Données projet'!$A$114,$BV$205^A49,IF(A49='Données projet'!$A$114,'Données projet'!$B$114,BY48+BX49-CG48)))</f>
        <v>226.60000000000005</v>
      </c>
      <c r="BZ49" s="13">
        <f>BY49*VLOOKUP('Données projet'!$B$12,Paramètres!$A$1:$I$89,3,0)*VLOOKUP('Données projet'!$B$12,Paramètres!$A$1:$I$89,5,0)</f>
        <v>197.95776000000006</v>
      </c>
      <c r="CA49" s="13">
        <f t="shared" si="39"/>
        <v>49.295077435194649</v>
      </c>
      <c r="CB49" s="20">
        <f t="shared" si="10"/>
        <v>430.63202519963079</v>
      </c>
      <c r="CC49" s="59">
        <f t="shared" si="11"/>
        <v>723.96535853296405</v>
      </c>
      <c r="CD49" s="59">
        <f ca="1">AVERAGE(OFFSET($CC$3,0,0,'Données projet'!$E$12+1,1))-AVERAGE(OFFSET($H$3,0,0,'Données projet'!$E$12+1,1))</f>
        <v>384.34044781465661</v>
      </c>
      <c r="CE49" s="59">
        <f t="shared" si="40"/>
        <v>374.99493809709708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13.851938849995406</v>
      </c>
      <c r="CL49" s="21">
        <f>EXP(-LN(2)/25)*CL48+(1-EXP(-LN(2)/25))/(LN(2)/25)*Calculateur!CG49*Calculateur!CI49*VLOOKUP('Données projet'!$B$12,Paramètres!$A$1:$I$89,3,0)*0.475*44/12</f>
        <v>19.29200369644191</v>
      </c>
      <c r="CM49" s="21">
        <f>EXP(-LN(2)/2)*CM48+(1-EXP(-LN(2)/2))/(LN(2)/2)*CG49*CJ49*VLOOKUP('Données projet'!$B$12,Paramètres!$A$1:$I$89,3,0)*0.475*44/12</f>
        <v>4.5921481082243369</v>
      </c>
      <c r="CN49" s="22">
        <f t="shared" si="12"/>
        <v>37.736090654661652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21.970000000000002</v>
      </c>
      <c r="CT49" s="12">
        <f>IF('Données projet'!$A$140&gt;35,CT48+CS49-DB48,IF(A49&lt;'Données projet'!$A$140,$CQ$205^A49,IF(A49='Données projet'!$A$140,'Données projet'!$B$140,CT48+CS49-DB48)))</f>
        <v>438.33000000000015</v>
      </c>
      <c r="CU49" s="17">
        <f>CT49*VLOOKUP('Données projet'!$B$13,Paramètres!$A$1:$I$89,3,0)*VLOOKUP('Données projet'!$B$13,Paramètres!$A$1:$I$89,5,0)</f>
        <v>245.02647000000007</v>
      </c>
      <c r="CV49" s="13">
        <f t="shared" si="41"/>
        <v>59.519691926533838</v>
      </c>
      <c r="CW49" s="20">
        <f t="shared" si="13"/>
        <v>530.41789868871319</v>
      </c>
      <c r="CX49" s="59">
        <f t="shared" si="14"/>
        <v>823.75123202204645</v>
      </c>
      <c r="CY49" s="59">
        <f ca="1">AVERAGE(OFFSET($CX$3,0,0,'Données projet'!$E$13+1,1))-AVERAGE(OFFSET($H$3,0,0,'Données projet'!$E$13+1,1))</f>
        <v>386.66324266750968</v>
      </c>
      <c r="CZ49" s="59">
        <f t="shared" si="42"/>
        <v>356.22149461585769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48.523192290150099</v>
      </c>
      <c r="DG49" s="21">
        <f>EXP(-LN(2)/25)*DG48+(1-EXP(-LN(2)/25))/(LN(2)/25)*Calculateur!DB49*Calculateur!DD49*VLOOKUP('Données projet'!$B$13,Paramètres!$A$1:$I$89,3,0)*0.475*44/12</f>
        <v>23.494967247875408</v>
      </c>
      <c r="DH49" s="21">
        <f>EXP(-LN(2)/2)*DH48+(1-EXP(-LN(2)/2))/(LN(2)/2)*DB49*DE49*VLOOKUP('Données projet'!$B$13,Paramètres!$A$1:$I$89,3,0)*0.475*44/12</f>
        <v>3.4428217682772568</v>
      </c>
      <c r="DI49" s="22">
        <f t="shared" si="15"/>
        <v>75.46098130630277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8.6</v>
      </c>
      <c r="DO49" s="12">
        <f>IF('Données projet'!$A$166&gt;35,DO48+DN49-DW48,IF(A49&lt;'Données projet'!$A$166,$DL$205^A49,IF(A49='Données projet'!$A$166,'Données projet'!$B$166,DO48+DN49-DW48)))</f>
        <v>226.60000000000005</v>
      </c>
      <c r="DP49" s="17">
        <f>DO49*VLOOKUP('Données projet'!$B$14,Paramètres!$A$1:$I$89,3,0)*VLOOKUP('Données projet'!$B$14,Paramètres!$A$1:$I$89,5,0)</f>
        <v>176.74800000000005</v>
      </c>
      <c r="DQ49" s="13">
        <f t="shared" si="43"/>
        <v>44.597910160550732</v>
      </c>
      <c r="DR49" s="20">
        <f t="shared" si="16"/>
        <v>385.51079352962591</v>
      </c>
      <c r="DS49" s="59">
        <f t="shared" si="17"/>
        <v>678.84412686295923</v>
      </c>
      <c r="DT49" s="59">
        <f ca="1">AVERAGE(OFFSET($DS$3,0,0,'Données projet'!$E$14+1,1))-AVERAGE(OFFSET($H$3,0,0,'Données projet'!$E$14+1,1))</f>
        <v>347.17417070871716</v>
      </c>
      <c r="DU49" s="59">
        <f t="shared" si="44"/>
        <v>339.56378046986441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10.034254894706908</v>
      </c>
      <c r="EB49" s="21">
        <f>EXP(-LN(2)/25)*EB48+(1-EXP(-LN(2)/25))/(LN(2)/25)*Calculateur!DW49*Calculateur!DY49*VLOOKUP('Données projet'!$B$14,Paramètres!$A$1:$I$89,3,0)*0.475*44/12</f>
        <v>13.97500267767861</v>
      </c>
      <c r="EC49" s="21">
        <f>EXP(-LN(2)/2)*EC48+(1-EXP(-LN(2)/2))/(LN(2)/2)*DW49*DZ49*VLOOKUP('Données projet'!$B$14,Paramètres!$A$1:$I$89,3,0)*0.475*44/12</f>
        <v>4.1001322394860136</v>
      </c>
      <c r="ED49" s="22">
        <f t="shared" si="18"/>
        <v>28.10938981187153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8.6</v>
      </c>
      <c r="EJ49" s="12">
        <f>IF('Données projet'!$A$192&gt;35,EJ48+EI49-ER48,IF(A49&lt;'Données projet'!$A$192,$EG$205^A49,IF(A49='Données projet'!$A$192,'Données projet'!$B$192,EJ48+EI49-ER48)))</f>
        <v>226.60000000000005</v>
      </c>
      <c r="EK49" s="17">
        <f>EJ49*VLOOKUP('Données projet'!$B$15,Paramètres!$A$1:$I$89,3,0)*VLOOKUP('Données projet'!$B$15,Paramètres!$A$1:$I$89,5,0)</f>
        <v>197.95776000000006</v>
      </c>
      <c r="EL49" s="13">
        <f t="shared" si="45"/>
        <v>49.295077435194649</v>
      </c>
      <c r="EM49" s="20">
        <f t="shared" si="19"/>
        <v>430.63202519963079</v>
      </c>
      <c r="EN49" s="59">
        <f t="shared" si="20"/>
        <v>723.96535853296405</v>
      </c>
      <c r="EO49" s="59">
        <f ca="1">AVERAGE(OFFSET($EN$3,0,0,'Données projet'!$E$15+1,1))-AVERAGE(OFFSET($H$3,0,0,'Données projet'!$E$15+1,1))</f>
        <v>384.34044781465661</v>
      </c>
      <c r="EP49" s="59">
        <f t="shared" si="46"/>
        <v>374.99493809709708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11.238365482071739</v>
      </c>
      <c r="EW49" s="21">
        <f>EXP(-LN(2)/25)*EW48+(1-EXP(-LN(2)/25))/(LN(2)/25)*Calculateur!ER49*Calculateur!ET49*VLOOKUP('Données projet'!$B$15,Paramètres!$A$1:$I$89,3,0)*0.475*44/12</f>
        <v>15.65200299900005</v>
      </c>
      <c r="EX49" s="21">
        <f>EXP(-LN(2)/2)*EX48+(1-EXP(-LN(2)/2))/(LN(2)/2)*ER49*EU49*VLOOKUP('Données projet'!$B$15,Paramètres!$A$1:$I$89,3,0)*0.475*44/12</f>
        <v>4.5921481082243369</v>
      </c>
      <c r="EY49" s="22">
        <f t="shared" si="21"/>
        <v>31.482516589296125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8.6</v>
      </c>
      <c r="FE49" s="12">
        <f>IF('Données projet'!$A$218&gt;35,FE48+FD49-FM48,IF(A49&lt;'Données projet'!$A$218,$FB$205^A49,IF(A49='Données projet'!$A$218,'Données projet'!$B$218,FE48+FD49-FM48)))</f>
        <v>226.60000000000005</v>
      </c>
      <c r="FF49" s="17">
        <f>FE49*VLOOKUP('Données projet'!$B$16,Paramètres!$A$1:$I$89,3,0)*VLOOKUP('Données projet'!$B$16,Paramètres!$A$1:$I$89,5,0)</f>
        <v>183.81792000000007</v>
      </c>
      <c r="FG49" s="13">
        <f t="shared" si="47"/>
        <v>46.170562638655326</v>
      </c>
      <c r="FH49" s="20">
        <f t="shared" si="22"/>
        <v>400.56327392899146</v>
      </c>
      <c r="FI49" s="59">
        <f t="shared" si="23"/>
        <v>693.89660726232478</v>
      </c>
      <c r="FJ49" s="59">
        <f ca="1">AVERAGE(OFFSET($FI$3,0,0,'Données projet'!$E$16+1,1))-AVERAGE(OFFSET($H$3,0,0,'Données projet'!$E$16+1,1))</f>
        <v>359.57284550600366</v>
      </c>
      <c r="FK49" s="59">
        <f t="shared" si="48"/>
        <v>351.38386928091433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10.435625090495186</v>
      </c>
      <c r="FR49" s="21">
        <f>EXP(-LN(2)/25)*FR48+(1-EXP(-LN(2)/25))/(LN(2)/25)*Calculateur!FM49*Calculateur!FO49*VLOOKUP('Données projet'!$B$16,Paramètres!$A$1:$I$89,3,0)*0.475*44/12</f>
        <v>14.534002784785756</v>
      </c>
      <c r="FS49" s="21">
        <f>EXP(-LN(2)/2)*FS48+(1-EXP(-LN(2)/2))/(LN(2)/2)*FM49*FP49*VLOOKUP('Données projet'!$B$16,Paramètres!$A$1:$I$89,3,0)*0.475*44/12</f>
        <v>4.2641375290654544</v>
      </c>
      <c r="FT49" s="22">
        <f t="shared" si="24"/>
        <v>29.233765404346396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6">
        <f t="shared" si="1"/>
        <v>256.66666666666669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14.351250000000004</v>
      </c>
      <c r="N50" s="13">
        <f>IF('Données projet'!$A$36&gt;35,N49+M50-V49,IF(A50&lt;'Données projet'!$A$36,$K$205^A50,IF(A50='Données projet'!$A$36,'Données projet'!$B$36,N49+M50-V49)))</f>
        <v>261.66625000000005</v>
      </c>
      <c r="O50" s="13">
        <f>N50*VLOOKUP('Données projet'!$B$9,Paramètres!$A$1:$I$89,3,0)*VLOOKUP('Données projet'!$B$9,Paramètres!$A$1:$I$89,5,0)</f>
        <v>236.75562300000004</v>
      </c>
      <c r="P50" s="13">
        <f t="shared" si="33"/>
        <v>57.740934989627185</v>
      </c>
      <c r="Q50" s="20">
        <f t="shared" si="53"/>
        <v>512.91483849860072</v>
      </c>
      <c r="R50" s="59">
        <f t="shared" si="0"/>
        <v>806.24817183193409</v>
      </c>
      <c r="S50" s="59">
        <f ca="1">AVERAGE(OFFSET($R$3,0,0,'Données projet'!$E$9+1,1))-AVERAGE(OFFSET($H$3,0,0,'Données projet'!$E$9+1,1))</f>
        <v>695.0879239758051</v>
      </c>
      <c r="T50" s="59">
        <f t="shared" si="34"/>
        <v>226.22150997227476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26.101391579098635</v>
      </c>
      <c r="AB50" s="21">
        <f>EXP(-LN(2)/2)*AB49+(1-EXP(-LN(2)/2))/(LN(2)/2)*V50*Y50*VLOOKUP('Données projet'!$B$9,Paramètres!$A$1:$I$89,3,0)*0.475*44/12</f>
        <v>1.8228246779388144</v>
      </c>
      <c r="AC50" s="22">
        <f t="shared" si="3"/>
        <v>27.92421625703745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19.548750000000005</v>
      </c>
      <c r="AI50" s="13">
        <f>IF('Données projet'!$A$62&gt;35,AI49+AH50-AQ49,IF(A50&lt;'Données projet'!$A$62,$AF$205^A50,IF(A50='Données projet'!$A$62,'Données projet'!$B$62,AI49+AH50-AQ49)))</f>
        <v>519.42124999999987</v>
      </c>
      <c r="AJ50" s="13">
        <f>AI50*VLOOKUP('Données projet'!$B$10,Paramètres!$A$1:$I$89,3,0)*VLOOKUP('Données projet'!$B$10,Paramètres!$A$1:$I$89,5,0)</f>
        <v>310.61390749999993</v>
      </c>
      <c r="AK50" s="13">
        <f t="shared" si="35"/>
        <v>73.397023726049056</v>
      </c>
      <c r="AL50" s="20">
        <f t="shared" si="4"/>
        <v>668.81903855203529</v>
      </c>
      <c r="AM50" s="59">
        <f t="shared" si="5"/>
        <v>962.15237188536867</v>
      </c>
      <c r="AN50" s="59">
        <f ca="1">AVERAGE(OFFSET($AM$3,0,0,'Données projet'!$E$10+1,1))-AVERAGE(OFFSET($H$3,0,0,'Données projet'!$E$10+1,1))</f>
        <v>388.12151914648013</v>
      </c>
      <c r="AO50" s="59">
        <f t="shared" si="36"/>
        <v>481.43684454382793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45.228233301864179</v>
      </c>
      <c r="AV50" s="21">
        <f>EXP(-LN(2)/25)*AV49+(1-EXP(-LN(2)/25))/(LN(2)/25)*Calculateur!AQ50*Calculateur!AS50*VLOOKUP('Données projet'!$B$10,Paramètres!$A$1:$I$89,3,0)*0.475*44/12</f>
        <v>19.923403751473835</v>
      </c>
      <c r="AW50" s="21">
        <f>EXP(-LN(2)/2)*AW49+(1-EXP(-LN(2)/2))/(LN(2)/2)*AQ50*AT50*VLOOKUP('Données projet'!$B$10,Paramètres!$A$1:$I$89,3,0)*0.475*44/12</f>
        <v>1.4622170465257969</v>
      </c>
      <c r="AX50" s="21">
        <f t="shared" si="6"/>
        <v>66.613854099863815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8.6</v>
      </c>
      <c r="BD50" s="12">
        <f>IF('Données projet'!$A$88&gt;35,BD49+BC50-BL49,IF(A50&lt;'Données projet'!$A$88,$BA$205^A50,IF(A50='Données projet'!$A$88,'Données projet'!$B$88,BD49+BC50-BL49)))</f>
        <v>235.20000000000005</v>
      </c>
      <c r="BE50" s="13">
        <f>BD50*VLOOKUP('Données projet'!$B$11,Paramètres!$A$1:$I$89,3,0)*VLOOKUP('Données projet'!$B$11,Paramètres!$A$1:$I$89,5,0)</f>
        <v>223.81632000000008</v>
      </c>
      <c r="BF50" s="13">
        <f t="shared" si="37"/>
        <v>54.94351196072666</v>
      </c>
      <c r="BG50" s="20">
        <f t="shared" si="7"/>
        <v>485.50670733159899</v>
      </c>
      <c r="BH50" s="59">
        <f t="shared" si="8"/>
        <v>778.8400406649323</v>
      </c>
      <c r="BI50" s="59">
        <f ca="1">AVERAGE(OFFSET($BH$3,0,0,'Données projet'!$E$11+1,1))-AVERAGE(OFFSET($H$3,0,0,'Données projet'!$E$11+1,1))</f>
        <v>415.24818074059294</v>
      </c>
      <c r="BJ50" s="59">
        <f t="shared" si="38"/>
        <v>404.45811532046872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12.001736917345697</v>
      </c>
      <c r="BQ50" s="21">
        <f>EXP(-LN(2)/25)*BQ49+(1-EXP(-LN(2)/25))/(LN(2)/25)*Calculateur!BL50*Calculateur!BN50*VLOOKUP('Données projet'!$B$11,Paramètres!$A$1:$I$89,3,0)*0.475*44/12</f>
        <v>16.583283703343724</v>
      </c>
      <c r="BR50" s="21">
        <f>EXP(-LN(2)/2)*BR49+(1-EXP(-LN(2)/2))/(LN(2)/2)*BL50*BO50*VLOOKUP('Données projet'!$B$11,Paramètres!$A$1:$I$89,3,0)*0.475*44/12</f>
        <v>3.5370621985686186</v>
      </c>
      <c r="BS50" s="22">
        <f t="shared" si="9"/>
        <v>32.12208281925804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8.6</v>
      </c>
      <c r="BY50" s="12">
        <f>IF('Données projet'!$A$114&gt;35,BY49+BX50-CG49,IF(A50&lt;'Données projet'!$A$114,$BV$205^A50,IF(A50='Données projet'!$A$114,'Données projet'!$B$114,BY49+BX50-CG49)))</f>
        <v>235.20000000000005</v>
      </c>
      <c r="BZ50" s="13">
        <f>BY50*VLOOKUP('Données projet'!$B$12,Paramètres!$A$1:$I$89,3,0)*VLOOKUP('Données projet'!$B$12,Paramètres!$A$1:$I$89,5,0)</f>
        <v>205.47072000000009</v>
      </c>
      <c r="CA50" s="13">
        <f t="shared" si="39"/>
        <v>50.944571570352757</v>
      </c>
      <c r="CB50" s="20">
        <f t="shared" si="10"/>
        <v>446.58996615169781</v>
      </c>
      <c r="CC50" s="59">
        <f t="shared" si="11"/>
        <v>739.92329948503107</v>
      </c>
      <c r="CD50" s="59">
        <f ca="1">AVERAGE(OFFSET($CC$3,0,0,'Données projet'!$E$12+1,1))-AVERAGE(OFFSET($H$3,0,0,'Données projet'!$E$12+1,1))</f>
        <v>384.34044781465661</v>
      </c>
      <c r="CE50" s="59">
        <f t="shared" si="40"/>
        <v>374.99493809709708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13.58031077799544</v>
      </c>
      <c r="CL50" s="21">
        <f>EXP(-LN(2)/25)*CL49+(1-EXP(-LN(2)/25))/(LN(2)/25)*Calculateur!CG50*Calculateur!CI50*VLOOKUP('Données projet'!$B$12,Paramètres!$A$1:$I$89,3,0)*0.475*44/12</f>
        <v>18.764462840840324</v>
      </c>
      <c r="CM50" s="21">
        <f>EXP(-LN(2)/2)*CM49+(1-EXP(-LN(2)/2))/(LN(2)/2)*CG50*CJ50*VLOOKUP('Données projet'!$B$12,Paramètres!$A$1:$I$89,3,0)*0.475*44/12</f>
        <v>3.2471390675384044</v>
      </c>
      <c r="CN50" s="22">
        <f t="shared" si="12"/>
        <v>35.591912686374165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21.970000000000002</v>
      </c>
      <c r="CT50" s="12">
        <f>IF('Données projet'!$A$140&gt;35,CT49+CS50-DB49,IF(A50&lt;'Données projet'!$A$140,$CQ$205^A50,IF(A50='Données projet'!$A$140,'Données projet'!$B$140,CT49+CS50-DB49)))</f>
        <v>460.30000000000018</v>
      </c>
      <c r="CU50" s="17">
        <f>CT50*VLOOKUP('Données projet'!$B$13,Paramètres!$A$1:$I$89,3,0)*VLOOKUP('Données projet'!$B$13,Paramètres!$A$1:$I$89,5,0)</f>
        <v>257.30770000000012</v>
      </c>
      <c r="CV50" s="13">
        <f t="shared" si="41"/>
        <v>62.148141193508692</v>
      </c>
      <c r="CW50" s="20">
        <f t="shared" si="13"/>
        <v>556.38559007869458</v>
      </c>
      <c r="CX50" s="59">
        <f t="shared" si="14"/>
        <v>849.71892341202783</v>
      </c>
      <c r="CY50" s="59">
        <f ca="1">AVERAGE(OFFSET($CX$3,0,0,'Données projet'!$E$13+1,1))-AVERAGE(OFFSET($H$3,0,0,'Données projet'!$E$13+1,1))</f>
        <v>386.66324266750968</v>
      </c>
      <c r="CZ50" s="59">
        <f t="shared" si="42"/>
        <v>356.22149461585769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47.571682085565172</v>
      </c>
      <c r="DG50" s="21">
        <f>EXP(-LN(2)/25)*DG49+(1-EXP(-LN(2)/25))/(LN(2)/25)*Calculateur!DB50*Calculateur!DD50*VLOOKUP('Données projet'!$B$13,Paramètres!$A$1:$I$89,3,0)*0.475*44/12</f>
        <v>22.852496132935627</v>
      </c>
      <c r="DH50" s="21">
        <f>EXP(-LN(2)/2)*DH49+(1-EXP(-LN(2)/2))/(LN(2)/2)*DB50*DE50*VLOOKUP('Données projet'!$B$13,Paramètres!$A$1:$I$89,3,0)*0.475*44/12</f>
        <v>2.4344426187655088</v>
      </c>
      <c r="DI50" s="22">
        <f t="shared" si="15"/>
        <v>72.858620837266301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8.6</v>
      </c>
      <c r="DO50" s="12">
        <f>IF('Données projet'!$A$166&gt;35,DO49+DN50-DW49,IF(A50&lt;'Données projet'!$A$166,$DL$205^A50,IF(A50='Données projet'!$A$166,'Données projet'!$B$166,DO49+DN50-DW49)))</f>
        <v>235.20000000000005</v>
      </c>
      <c r="DP50" s="17">
        <f>DO50*VLOOKUP('Données projet'!$B$14,Paramètres!$A$1:$I$89,3,0)*VLOOKUP('Données projet'!$B$14,Paramètres!$A$1:$I$89,5,0)</f>
        <v>183.45600000000005</v>
      </c>
      <c r="DQ50" s="13">
        <f t="shared" si="43"/>
        <v>46.090229375321144</v>
      </c>
      <c r="DR50" s="20">
        <f t="shared" si="16"/>
        <v>399.79301616201775</v>
      </c>
      <c r="DS50" s="59">
        <f t="shared" si="17"/>
        <v>693.12634949535106</v>
      </c>
      <c r="DT50" s="59">
        <f ca="1">AVERAGE(OFFSET($DS$3,0,0,'Données projet'!$E$14+1,1))-AVERAGE(OFFSET($H$3,0,0,'Données projet'!$E$14+1,1))</f>
        <v>347.17417070871716</v>
      </c>
      <c r="DU50" s="59">
        <f t="shared" si="44"/>
        <v>339.56378046986441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9.8374892765128639</v>
      </c>
      <c r="EB50" s="21">
        <f>EXP(-LN(2)/25)*EB49+(1-EXP(-LN(2)/25))/(LN(2)/25)*Calculateur!DW50*Calculateur!DY50*VLOOKUP('Données projet'!$B$14,Paramètres!$A$1:$I$89,3,0)*0.475*44/12</f>
        <v>13.592855494544038</v>
      </c>
      <c r="EC50" s="21">
        <f>EXP(-LN(2)/2)*EC49+(1-EXP(-LN(2)/2))/(LN(2)/2)*DW50*DZ50*VLOOKUP('Données projet'!$B$14,Paramètres!$A$1:$I$89,3,0)*0.475*44/12</f>
        <v>2.8992313103021461</v>
      </c>
      <c r="ED50" s="22">
        <f t="shared" si="18"/>
        <v>26.329576081359047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8.6</v>
      </c>
      <c r="EJ50" s="12">
        <f>IF('Données projet'!$A$192&gt;35,EJ49+EI50-ER49,IF(A50&lt;'Données projet'!$A$192,$EG$205^A50,IF(A50='Données projet'!$A$192,'Données projet'!$B$192,EJ49+EI50-ER49)))</f>
        <v>235.20000000000005</v>
      </c>
      <c r="EK50" s="17">
        <f>EJ50*VLOOKUP('Données projet'!$B$15,Paramètres!$A$1:$I$89,3,0)*VLOOKUP('Données projet'!$B$15,Paramètres!$A$1:$I$89,5,0)</f>
        <v>205.47072000000009</v>
      </c>
      <c r="EL50" s="13">
        <f t="shared" si="45"/>
        <v>50.944571570352757</v>
      </c>
      <c r="EM50" s="20">
        <f t="shared" si="19"/>
        <v>446.58996615169781</v>
      </c>
      <c r="EN50" s="59">
        <f t="shared" si="20"/>
        <v>739.92329948503107</v>
      </c>
      <c r="EO50" s="59">
        <f ca="1">AVERAGE(OFFSET($EN$3,0,0,'Données projet'!$E$15+1,1))-AVERAGE(OFFSET($H$3,0,0,'Données projet'!$E$15+1,1))</f>
        <v>384.34044781465661</v>
      </c>
      <c r="EP50" s="59">
        <f t="shared" si="46"/>
        <v>374.99493809709708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11.017987989694408</v>
      </c>
      <c r="EW50" s="21">
        <f>EXP(-LN(2)/25)*EW49+(1-EXP(-LN(2)/25))/(LN(2)/25)*Calculateur!ER50*Calculateur!ET50*VLOOKUP('Données projet'!$B$15,Paramètres!$A$1:$I$89,3,0)*0.475*44/12</f>
        <v>15.22399815388933</v>
      </c>
      <c r="EX50" s="21">
        <f>EXP(-LN(2)/2)*EX49+(1-EXP(-LN(2)/2))/(LN(2)/2)*ER50*EU50*VLOOKUP('Données projet'!$B$15,Paramètres!$A$1:$I$89,3,0)*0.475*44/12</f>
        <v>3.2471390675384044</v>
      </c>
      <c r="EY50" s="22">
        <f t="shared" si="21"/>
        <v>29.489125211122143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8.6</v>
      </c>
      <c r="FE50" s="12">
        <f>IF('Données projet'!$A$218&gt;35,FE49+FD50-FM49,IF(A50&lt;'Données projet'!$A$218,$FB$205^A50,IF(A50='Données projet'!$A$218,'Données projet'!$B$218,FE49+FD50-FM49)))</f>
        <v>235.20000000000005</v>
      </c>
      <c r="FF50" s="17">
        <f>FE50*VLOOKUP('Données projet'!$B$16,Paramètres!$A$1:$I$89,3,0)*VLOOKUP('Données projet'!$B$16,Paramètres!$A$1:$I$89,5,0)</f>
        <v>190.79424000000006</v>
      </c>
      <c r="FG50" s="13">
        <f t="shared" si="47"/>
        <v>47.715505384501149</v>
      </c>
      <c r="FH50" s="20">
        <f t="shared" si="22"/>
        <v>415.40447321133956</v>
      </c>
      <c r="FI50" s="59">
        <f t="shared" si="23"/>
        <v>708.73780654467282</v>
      </c>
      <c r="FJ50" s="59">
        <f ca="1">AVERAGE(OFFSET($FI$3,0,0,'Données projet'!$E$16+1,1))-AVERAGE(OFFSET($H$3,0,0,'Données projet'!$E$16+1,1))</f>
        <v>359.57284550600366</v>
      </c>
      <c r="FK50" s="59">
        <f t="shared" si="48"/>
        <v>351.38386928091433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10.230988847573379</v>
      </c>
      <c r="FR50" s="21">
        <f>EXP(-LN(2)/25)*FR49+(1-EXP(-LN(2)/25))/(LN(2)/25)*Calculateur!FM50*Calculateur!FO50*VLOOKUP('Données projet'!$B$16,Paramètres!$A$1:$I$89,3,0)*0.475*44/12</f>
        <v>14.1365697143258</v>
      </c>
      <c r="FS50" s="21">
        <f>EXP(-LN(2)/2)*FS49+(1-EXP(-LN(2)/2))/(LN(2)/2)*FM50*FP50*VLOOKUP('Données projet'!$B$16,Paramètres!$A$1:$I$89,3,0)*0.475*44/12</f>
        <v>3.0152005627142318</v>
      </c>
      <c r="FT50" s="22">
        <f t="shared" si="24"/>
        <v>27.382759124613411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6">
        <f t="shared" si="1"/>
        <v>256.66666666666669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14.351250000000004</v>
      </c>
      <c r="N51" s="13">
        <f>IF('Données projet'!$A$36&gt;35,N50+M51-V50,IF(A51&lt;'Données projet'!$A$36,$K$205^A51,IF(A51='Données projet'!$A$36,'Données projet'!$B$36,N50+M51-V50)))</f>
        <v>276.01750000000004</v>
      </c>
      <c r="O51" s="13">
        <f>N51*VLOOKUP('Données projet'!$B$9,Paramètres!$A$1:$I$89,3,0)*VLOOKUP('Données projet'!$B$9,Paramètres!$A$1:$I$89,5,0)</f>
        <v>249.74063400000006</v>
      </c>
      <c r="P51" s="13">
        <f t="shared" si="33"/>
        <v>60.530398172289644</v>
      </c>
      <c r="Q51" s="20">
        <f t="shared" si="53"/>
        <v>540.38871436673799</v>
      </c>
      <c r="R51" s="59">
        <f t="shared" si="0"/>
        <v>833.72204770007124</v>
      </c>
      <c r="S51" s="59">
        <f ca="1">AVERAGE(OFFSET($R$3,0,0,'Données projet'!$E$9+1,1))-AVERAGE(OFFSET($H$3,0,0,'Données projet'!$E$9+1,1))</f>
        <v>695.0879239758051</v>
      </c>
      <c r="T51" s="59">
        <f t="shared" si="34"/>
        <v>226.22150997227476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25.387647653755657</v>
      </c>
      <c r="AB51" s="21">
        <f>EXP(-LN(2)/2)*AB50+(1-EXP(-LN(2)/2))/(LN(2)/2)*V51*Y51*VLOOKUP('Données projet'!$B$9,Paramètres!$A$1:$I$89,3,0)*0.475*44/12</f>
        <v>1.2889316906847204</v>
      </c>
      <c r="AC51" s="22">
        <f t="shared" si="3"/>
        <v>26.676579344440377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538.97</v>
      </c>
      <c r="AG51" s="12">
        <f>VLOOKUP(A51,'Données projet'!$A$61:$I$81,9,0)</f>
        <v>19.548750000000005</v>
      </c>
      <c r="AH51" s="12">
        <f t="array" ref="AH51">INDEX(AG:AG,MIN(IF(ISNUMBER(AG51:AG247),ROW(AG51:AG247),"")))</f>
        <v>19.548750000000005</v>
      </c>
      <c r="AI51" s="13">
        <f>IF('Données projet'!$A$62&gt;35,AI50+AH51-AQ50,IF(A51&lt;'Données projet'!$A$62,$AF$205^A51,IF(A51='Données projet'!$A$62,'Données projet'!$B$62,AI50+AH51-AQ50)))</f>
        <v>538.96999999999991</v>
      </c>
      <c r="AJ51" s="13">
        <f>AI51*VLOOKUP('Données projet'!$B$10,Paramètres!$A$1:$I$89,3,0)*VLOOKUP('Données projet'!$B$10,Paramètres!$A$1:$I$89,5,0)</f>
        <v>322.30405999999999</v>
      </c>
      <c r="AK51" s="13">
        <f t="shared" si="35"/>
        <v>75.832557796083151</v>
      </c>
      <c r="AL51" s="20">
        <f t="shared" si="4"/>
        <v>693.4212759948449</v>
      </c>
      <c r="AM51" s="59">
        <f t="shared" si="5"/>
        <v>986.75460932817828</v>
      </c>
      <c r="AN51" s="59">
        <f ca="1">AVERAGE(OFFSET($AM$3,0,0,'Données projet'!$E$10+1,1))-AVERAGE(OFFSET($H$3,0,0,'Données projet'!$E$10+1,1))</f>
        <v>388.12151914648013</v>
      </c>
      <c r="AO51" s="59">
        <f t="shared" si="36"/>
        <v>481.43684454382793</v>
      </c>
      <c r="AP51" s="15">
        <f>IF(ISNA(VLOOKUP(A51,'Données projet'!$A$61:$I$81,3,0)),0,VLOOKUP(A51,'Données projet'!$A$61:$I$81,3,0))</f>
        <v>6</v>
      </c>
      <c r="AQ51" s="15">
        <f>IF(ISNA(VLOOKUP(A51,'Données projet'!$A$61:$I$81,4,0)),0,VLOOKUP(A51,'Données projet'!$A$61:$I$81,4,0))</f>
        <v>106.28000000000003</v>
      </c>
      <c r="AR51" s="16">
        <f>IF(ISNA(VLOOKUP(A51,'Données projet'!$A$61:$I$81,5,0)),0%,VLOOKUP(A51,'Données projet'!$A$61:$I$81,5,0)*VLOOKUP('Données projet'!$B$10,Paramètres!$A$1:$I$89,7,0))</f>
        <v>0.27</v>
      </c>
      <c r="AS51" s="16">
        <f>IF(ISNA(VLOOKUP(A51,'Données projet'!$A$61:$I$81,6,0)),0%,VLOOKUP(A51,'Données projet'!$A$61:$I$81,6,0)*VLOOKUP('Données projet'!$B$10,Paramètres!$A$1:$I$89,7,0))</f>
        <v>9.0000000000000011E-2</v>
      </c>
      <c r="AT51" s="16">
        <f>IF(ISNA(VLOOKUP(A51,'Données projet'!$A$61:$I$81,7,0)),0%,VLOOKUP(A51,'Données projet'!$A$61:$I$81,7,0))</f>
        <v>0.2</v>
      </c>
      <c r="AU51" s="21">
        <f>EXP(-LN(2)/35)*AU50+(1-EXP(-LN(2)/35))/(LN(2)/35)*AQ51*AR51*VLOOKUP('Données projet'!$B$10,Paramètres!$A$1:$I$89,3,0)*0.475*44/12</f>
        <v>67.105139899844502</v>
      </c>
      <c r="AV51" s="21">
        <f>EXP(-LN(2)/25)*AV50+(1-EXP(-LN(2)/25))/(LN(2)/25)*Calculateur!AQ51*Calculateur!AS51*VLOOKUP('Données projet'!$B$10,Paramètres!$A$1:$I$89,3,0)*0.475*44/12</f>
        <v>26.936655526120109</v>
      </c>
      <c r="AW51" s="21">
        <f>EXP(-LN(2)/2)*AW50+(1-EXP(-LN(2)/2))/(LN(2)/2)*AQ51*AT51*VLOOKUP('Données projet'!$B$10,Paramètres!$A$1:$I$89,3,0)*0.475*44/12</f>
        <v>15.425847959466049</v>
      </c>
      <c r="AX51" s="21">
        <f t="shared" si="6"/>
        <v>109.46764338543066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8.6</v>
      </c>
      <c r="BD51" s="12">
        <f>IF('Données projet'!$A$88&gt;35,BD50+BC51-BL50,IF(A51&lt;'Données projet'!$A$88,$BA$205^A51,IF(A51='Données projet'!$A$88,'Données projet'!$B$88,BD50+BC51-BL50)))</f>
        <v>243.80000000000004</v>
      </c>
      <c r="BE51" s="13">
        <f>BD51*VLOOKUP('Données projet'!$B$11,Paramètres!$A$1:$I$89,3,0)*VLOOKUP('Données projet'!$B$11,Paramètres!$A$1:$I$89,5,0)</f>
        <v>232.00008000000003</v>
      </c>
      <c r="BF51" s="13">
        <f t="shared" si="37"/>
        <v>56.714927420893837</v>
      </c>
      <c r="BG51" s="20">
        <f t="shared" si="7"/>
        <v>502.84530459139006</v>
      </c>
      <c r="BH51" s="59">
        <f t="shared" si="8"/>
        <v>796.17863792472338</v>
      </c>
      <c r="BI51" s="59">
        <f ca="1">AVERAGE(OFFSET($BH$3,0,0,'Données projet'!$E$11+1,1))-AVERAGE(OFFSET($H$3,0,0,'Données projet'!$E$11+1,1))</f>
        <v>415.24818074059294</v>
      </c>
      <c r="BJ51" s="59">
        <f t="shared" si="38"/>
        <v>404.45811532046872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11.766390176733244</v>
      </c>
      <c r="BQ51" s="21">
        <f>EXP(-LN(2)/25)*BQ50+(1-EXP(-LN(2)/25))/(LN(2)/25)*Calculateur!BL51*Calculateur!BN51*VLOOKUP('Données projet'!$B$11,Paramètres!$A$1:$I$89,3,0)*0.475*44/12</f>
        <v>16.129812938398803</v>
      </c>
      <c r="BR51" s="21">
        <f>EXP(-LN(2)/2)*BR50+(1-EXP(-LN(2)/2))/(LN(2)/2)*BL51*BO51*VLOOKUP('Données projet'!$B$11,Paramètres!$A$1:$I$89,3,0)*0.475*44/12</f>
        <v>2.5010806660864691</v>
      </c>
      <c r="BS51" s="22">
        <f t="shared" si="9"/>
        <v>30.397283781218515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8.6</v>
      </c>
      <c r="BY51" s="12">
        <f>IF('Données projet'!$A$114&gt;35,BY50+BX51-CG50,IF(A51&lt;'Données projet'!$A$114,$BV$205^A51,IF(A51='Données projet'!$A$114,'Données projet'!$B$114,BY50+BX51-CG50)))</f>
        <v>243.80000000000004</v>
      </c>
      <c r="BZ51" s="13">
        <f>BY51*VLOOKUP('Données projet'!$B$12,Paramètres!$A$1:$I$89,3,0)*VLOOKUP('Données projet'!$B$12,Paramètres!$A$1:$I$89,5,0)</f>
        <v>212.98368000000008</v>
      </c>
      <c r="CA51" s="13">
        <f t="shared" si="39"/>
        <v>52.587058525970363</v>
      </c>
      <c r="CB51" s="20">
        <f t="shared" si="10"/>
        <v>462.53570293273191</v>
      </c>
      <c r="CC51" s="59">
        <f t="shared" si="11"/>
        <v>755.86903626606522</v>
      </c>
      <c r="CD51" s="59">
        <f ca="1">AVERAGE(OFFSET($CC$3,0,0,'Données projet'!$E$12+1,1))-AVERAGE(OFFSET($H$3,0,0,'Données projet'!$E$12+1,1))</f>
        <v>384.34044781465661</v>
      </c>
      <c r="CE51" s="59">
        <f t="shared" si="40"/>
        <v>374.99493809709708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13.314009166810628</v>
      </c>
      <c r="CL51" s="21">
        <f>EXP(-LN(2)/25)*CL50+(1-EXP(-LN(2)/25))/(LN(2)/25)*Calculateur!CG51*Calculateur!CI51*VLOOKUP('Données projet'!$B$12,Paramètres!$A$1:$I$89,3,0)*0.475*44/12</f>
        <v>18.251347617677332</v>
      </c>
      <c r="CM51" s="21">
        <f>EXP(-LN(2)/2)*CM50+(1-EXP(-LN(2)/2))/(LN(2)/2)*CG51*CJ51*VLOOKUP('Données projet'!$B$12,Paramètres!$A$1:$I$89,3,0)*0.475*44/12</f>
        <v>2.2960740541121685</v>
      </c>
      <c r="CN51" s="22">
        <f t="shared" si="12"/>
        <v>33.861430838600128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21.970000000000002</v>
      </c>
      <c r="CT51" s="12">
        <f>IF('Données projet'!$A$140&gt;35,CT50+CS51-DB50,IF(A51&lt;'Données projet'!$A$140,$CQ$205^A51,IF(A51='Données projet'!$A$140,'Données projet'!$B$140,CT50+CS51-DB50)))</f>
        <v>482.27000000000021</v>
      </c>
      <c r="CU51" s="17">
        <f>CT51*VLOOKUP('Données projet'!$B$13,Paramètres!$A$1:$I$89,3,0)*VLOOKUP('Données projet'!$B$13,Paramètres!$A$1:$I$89,5,0)</f>
        <v>269.58893000000012</v>
      </c>
      <c r="CV51" s="13">
        <f t="shared" si="41"/>
        <v>64.762022124596854</v>
      </c>
      <c r="CW51" s="20">
        <f t="shared" si="13"/>
        <v>582.32790828367308</v>
      </c>
      <c r="CX51" s="59">
        <f t="shared" si="14"/>
        <v>875.66124161700645</v>
      </c>
      <c r="CY51" s="59">
        <f ca="1">AVERAGE(OFFSET($CX$3,0,0,'Données projet'!$E$13+1,1))-AVERAGE(OFFSET($H$3,0,0,'Données projet'!$E$13+1,1))</f>
        <v>386.66324266750968</v>
      </c>
      <c r="CZ51" s="59">
        <f t="shared" si="42"/>
        <v>356.22149461585769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46.638830415728229</v>
      </c>
      <c r="DG51" s="21">
        <f>EXP(-LN(2)/25)*DG50+(1-EXP(-LN(2)/25))/(LN(2)/25)*Calculateur!DB51*Calculateur!DD51*VLOOKUP('Données projet'!$B$13,Paramètres!$A$1:$I$89,3,0)*0.475*44/12</f>
        <v>22.227593424419961</v>
      </c>
      <c r="DH51" s="21">
        <f>EXP(-LN(2)/2)*DH50+(1-EXP(-LN(2)/2))/(LN(2)/2)*DB51*DE51*VLOOKUP('Données projet'!$B$13,Paramètres!$A$1:$I$89,3,0)*0.475*44/12</f>
        <v>1.7214108841386284</v>
      </c>
      <c r="DI51" s="22">
        <f t="shared" si="15"/>
        <v>70.587834724286822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8.6</v>
      </c>
      <c r="DO51" s="12">
        <f>IF('Données projet'!$A$166&gt;35,DO50+DN51-DW50,IF(A51&lt;'Données projet'!$A$166,$DL$205^A51,IF(A51='Données projet'!$A$166,'Données projet'!$B$166,DO50+DN51-DW50)))</f>
        <v>243.80000000000004</v>
      </c>
      <c r="DP51" s="17">
        <f>DO51*VLOOKUP('Données projet'!$B$14,Paramètres!$A$1:$I$89,3,0)*VLOOKUP('Données projet'!$B$14,Paramètres!$A$1:$I$89,5,0)</f>
        <v>190.16400000000004</v>
      </c>
      <c r="DQ51" s="13">
        <f t="shared" si="43"/>
        <v>47.576209101852911</v>
      </c>
      <c r="DR51" s="20">
        <f t="shared" si="16"/>
        <v>414.06419751906054</v>
      </c>
      <c r="DS51" s="59">
        <f t="shared" si="17"/>
        <v>707.39753085239386</v>
      </c>
      <c r="DT51" s="59">
        <f ca="1">AVERAGE(OFFSET($DS$3,0,0,'Données projet'!$E$14+1,1))-AVERAGE(OFFSET($H$3,0,0,'Données projet'!$E$14+1,1))</f>
        <v>347.17417070871716</v>
      </c>
      <c r="DU51" s="59">
        <f t="shared" si="44"/>
        <v>339.56378046986441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9.6445821120764279</v>
      </c>
      <c r="EB51" s="21">
        <f>EXP(-LN(2)/25)*EB50+(1-EXP(-LN(2)/25))/(LN(2)/25)*Calculateur!DW51*Calculateur!DY51*VLOOKUP('Données projet'!$B$14,Paramètres!$A$1:$I$89,3,0)*0.475*44/12</f>
        <v>13.221158146228527</v>
      </c>
      <c r="EC51" s="21">
        <f>EXP(-LN(2)/2)*EC50+(1-EXP(-LN(2)/2))/(LN(2)/2)*DW51*DZ51*VLOOKUP('Données projet'!$B$14,Paramètres!$A$1:$I$89,3,0)*0.475*44/12</f>
        <v>2.0500661197430072</v>
      </c>
      <c r="ED51" s="22">
        <f t="shared" si="18"/>
        <v>24.915806378047961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8.6</v>
      </c>
      <c r="EJ51" s="12">
        <f>IF('Données projet'!$A$192&gt;35,EJ50+EI51-ER50,IF(A51&lt;'Données projet'!$A$192,$EG$205^A51,IF(A51='Données projet'!$A$192,'Données projet'!$B$192,EJ50+EI51-ER50)))</f>
        <v>243.80000000000004</v>
      </c>
      <c r="EK51" s="17">
        <f>EJ51*VLOOKUP('Données projet'!$B$15,Paramètres!$A$1:$I$89,3,0)*VLOOKUP('Données projet'!$B$15,Paramètres!$A$1:$I$89,5,0)</f>
        <v>212.98368000000008</v>
      </c>
      <c r="EL51" s="13">
        <f t="shared" si="45"/>
        <v>52.587058525970363</v>
      </c>
      <c r="EM51" s="20">
        <f t="shared" si="19"/>
        <v>462.53570293273191</v>
      </c>
      <c r="EN51" s="59">
        <f t="shared" si="20"/>
        <v>755.86903626606522</v>
      </c>
      <c r="EO51" s="59">
        <f ca="1">AVERAGE(OFFSET($EN$3,0,0,'Données projet'!$E$15+1,1))-AVERAGE(OFFSET($H$3,0,0,'Données projet'!$E$15+1,1))</f>
        <v>384.34044781465661</v>
      </c>
      <c r="EP51" s="59">
        <f t="shared" si="46"/>
        <v>374.99493809709708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10.801931965525599</v>
      </c>
      <c r="EW51" s="21">
        <f>EXP(-LN(2)/25)*EW50+(1-EXP(-LN(2)/25))/(LN(2)/25)*Calculateur!ER51*Calculateur!ET51*VLOOKUP('Données projet'!$B$15,Paramètres!$A$1:$I$89,3,0)*0.475*44/12</f>
        <v>14.807697123775958</v>
      </c>
      <c r="EX51" s="21">
        <f>EXP(-LN(2)/2)*EX50+(1-EXP(-LN(2)/2))/(LN(2)/2)*ER51*EU51*VLOOKUP('Données projet'!$B$15,Paramètres!$A$1:$I$89,3,0)*0.475*44/12</f>
        <v>2.2960740541121685</v>
      </c>
      <c r="EY51" s="22">
        <f t="shared" si="21"/>
        <v>27.905703143413724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8.6</v>
      </c>
      <c r="FE51" s="12">
        <f>IF('Données projet'!$A$218&gt;35,FE50+FD51-FM50,IF(A51&lt;'Données projet'!$A$218,$FB$205^A51,IF(A51='Données projet'!$A$218,'Données projet'!$B$218,FE50+FD51-FM50)))</f>
        <v>243.80000000000004</v>
      </c>
      <c r="FF51" s="17">
        <f>FE51*VLOOKUP('Données projet'!$B$16,Paramètres!$A$1:$I$89,3,0)*VLOOKUP('Données projet'!$B$16,Paramètres!$A$1:$I$89,5,0)</f>
        <v>197.77056000000005</v>
      </c>
      <c r="FG51" s="13">
        <f t="shared" si="47"/>
        <v>49.253885093250254</v>
      </c>
      <c r="FH51" s="20">
        <f t="shared" si="22"/>
        <v>430.23424187074426</v>
      </c>
      <c r="FI51" s="59">
        <f t="shared" si="23"/>
        <v>723.56757520407757</v>
      </c>
      <c r="FJ51" s="59">
        <f ca="1">AVERAGE(OFFSET($FI$3,0,0,'Données projet'!$E$16+1,1))-AVERAGE(OFFSET($H$3,0,0,'Données projet'!$E$16+1,1))</f>
        <v>359.57284550600366</v>
      </c>
      <c r="FK51" s="59">
        <f t="shared" si="48"/>
        <v>351.38386928091433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10.030365396559484</v>
      </c>
      <c r="FR51" s="21">
        <f>EXP(-LN(2)/25)*FR50+(1-EXP(-LN(2)/25))/(LN(2)/25)*Calculateur!FM51*Calculateur!FO51*VLOOKUP('Données projet'!$B$16,Paramètres!$A$1:$I$89,3,0)*0.475*44/12</f>
        <v>13.75000447207767</v>
      </c>
      <c r="FS51" s="21">
        <f>EXP(-LN(2)/2)*FS50+(1-EXP(-LN(2)/2))/(LN(2)/2)*FM51*FP51*VLOOKUP('Données projet'!$B$16,Paramètres!$A$1:$I$89,3,0)*0.475*44/12</f>
        <v>2.1320687645327272</v>
      </c>
      <c r="FT51" s="22">
        <f t="shared" si="24"/>
        <v>25.912438633169877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6">
        <f t="shared" si="1"/>
        <v>256.66666666666669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14.351250000000004</v>
      </c>
      <c r="N52" s="13">
        <f>IF('Données projet'!$A$36&gt;35,N51+M52-V51,IF(A52&lt;'Données projet'!$A$36,$K$205^A52,IF(A52='Données projet'!$A$36,'Données projet'!$B$36,N51+M52-V51)))</f>
        <v>290.36875000000003</v>
      </c>
      <c r="O52" s="13">
        <f>N52*VLOOKUP('Données projet'!$B$9,Paramètres!$A$1:$I$89,3,0)*VLOOKUP('Données projet'!$B$9,Paramètres!$A$1:$I$89,5,0)</f>
        <v>262.72564500000004</v>
      </c>
      <c r="P52" s="13">
        <f t="shared" si="33"/>
        <v>63.303022218516737</v>
      </c>
      <c r="Q52" s="20">
        <f t="shared" si="53"/>
        <v>567.83326207225002</v>
      </c>
      <c r="R52" s="59">
        <f t="shared" si="0"/>
        <v>861.16659540558339</v>
      </c>
      <c r="S52" s="59">
        <f ca="1">AVERAGE(OFFSET($R$3,0,0,'Données projet'!$E$9+1,1))-AVERAGE(OFFSET($H$3,0,0,'Données projet'!$E$9+1,1))</f>
        <v>695.0879239758051</v>
      </c>
      <c r="T52" s="59">
        <f t="shared" si="34"/>
        <v>226.22150997227476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24.693421093585343</v>
      </c>
      <c r="AB52" s="21">
        <f>EXP(-LN(2)/2)*AB51+(1-EXP(-LN(2)/2))/(LN(2)/2)*V52*Y52*VLOOKUP('Données projet'!$B$9,Paramètres!$A$1:$I$89,3,0)*0.475*44/12</f>
        <v>0.91141233896940732</v>
      </c>
      <c r="AC52" s="22">
        <f t="shared" si="3"/>
        <v>25.604833432554749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16.3825</v>
      </c>
      <c r="AI52" s="13">
        <f>IF('Données projet'!$A$62&gt;35,AI51+AH52-AQ51,IF(A52&lt;'Données projet'!$A$62,$AF$205^A52,IF(A52='Données projet'!$A$62,'Données projet'!$B$62,AI51+AH52-AQ51)))</f>
        <v>449.07249999999993</v>
      </c>
      <c r="AJ52" s="13">
        <f>AI52*VLOOKUP('Données projet'!$B$10,Paramètres!$A$1:$I$89,3,0)*VLOOKUP('Données projet'!$B$10,Paramètres!$A$1:$I$89,5,0)</f>
        <v>268.54535499999997</v>
      </c>
      <c r="AK52" s="13">
        <f t="shared" si="35"/>
        <v>64.540459912565723</v>
      </c>
      <c r="AL52" s="20">
        <f t="shared" si="4"/>
        <v>580.12446097271857</v>
      </c>
      <c r="AM52" s="59">
        <f t="shared" si="5"/>
        <v>873.45779430605194</v>
      </c>
      <c r="AN52" s="59">
        <f ca="1">AVERAGE(OFFSET($AM$3,0,0,'Données projet'!$E$10+1,1))-AVERAGE(OFFSET($H$3,0,0,'Données projet'!$E$10+1,1))</f>
        <v>388.12151914648013</v>
      </c>
      <c r="AO52" s="59">
        <f t="shared" si="36"/>
        <v>481.43684454382793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65.789249036502383</v>
      </c>
      <c r="AV52" s="21">
        <f>EXP(-LN(2)/25)*AV51+(1-EXP(-LN(2)/25))/(LN(2)/25)*Calculateur!AQ52*Calculateur!AS52*VLOOKUP('Données projet'!$B$10,Paramètres!$A$1:$I$89,3,0)*0.475*44/12</f>
        <v>26.200071264221204</v>
      </c>
      <c r="AW52" s="21">
        <f>EXP(-LN(2)/2)*AW51+(1-EXP(-LN(2)/2))/(LN(2)/2)*AQ52*AT52*VLOOKUP('Données projet'!$B$10,Paramètres!$A$1:$I$89,3,0)*0.475*44/12</f>
        <v>10.907721697691111</v>
      </c>
      <c r="AX52" s="21">
        <f t="shared" si="6"/>
        <v>102.89704199841471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8.6</v>
      </c>
      <c r="BD52" s="12">
        <f>IF('Données projet'!$A$88&gt;35,BD51+BC52-BL51,IF(A52&lt;'Données projet'!$A$88,$BA$205^A52,IF(A52='Données projet'!$A$88,'Données projet'!$B$88,BD51+BC52-BL51)))</f>
        <v>252.40000000000003</v>
      </c>
      <c r="BE52" s="13">
        <f>BD52*VLOOKUP('Données projet'!$B$11,Paramètres!$A$1:$I$89,3,0)*VLOOKUP('Données projet'!$B$11,Paramètres!$A$1:$I$89,5,0)</f>
        <v>240.18384000000006</v>
      </c>
      <c r="BF52" s="13">
        <f t="shared" si="37"/>
        <v>58.479082790905728</v>
      </c>
      <c r="BG52" s="20">
        <f t="shared" si="7"/>
        <v>520.17125719416083</v>
      </c>
      <c r="BH52" s="59">
        <f t="shared" si="8"/>
        <v>813.5045905274942</v>
      </c>
      <c r="BI52" s="59">
        <f ca="1">AVERAGE(OFFSET($BH$3,0,0,'Données projet'!$E$11+1,1))-AVERAGE(OFFSET($H$3,0,0,'Données projet'!$E$11+1,1))</f>
        <v>415.24818074059294</v>
      </c>
      <c r="BJ52" s="59">
        <f t="shared" si="38"/>
        <v>404.45811532046872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11.535658442156864</v>
      </c>
      <c r="BQ52" s="21">
        <f>EXP(-LN(2)/25)*BQ51+(1-EXP(-LN(2)/25))/(LN(2)/25)*Calculateur!BL52*Calculateur!BN52*VLOOKUP('Données projet'!$B$11,Paramètres!$A$1:$I$89,3,0)*0.475*44/12</f>
        <v>15.688742355368291</v>
      </c>
      <c r="BR52" s="21">
        <f>EXP(-LN(2)/2)*BR51+(1-EXP(-LN(2)/2))/(LN(2)/2)*BL52*BO52*VLOOKUP('Données projet'!$B$11,Paramètres!$A$1:$I$89,3,0)*0.475*44/12</f>
        <v>1.7685310992843095</v>
      </c>
      <c r="BS52" s="22">
        <f t="shared" si="9"/>
        <v>28.992931896809466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8.6</v>
      </c>
      <c r="BY52" s="12">
        <f>IF('Données projet'!$A$114&gt;35,BY51+BX52-CG51,IF(A52&lt;'Données projet'!$A$114,$BV$205^A52,IF(A52='Données projet'!$A$114,'Données projet'!$B$114,BY51+BX52-CG51)))</f>
        <v>252.40000000000003</v>
      </c>
      <c r="BZ52" s="13">
        <f>BY52*VLOOKUP('Données projet'!$B$12,Paramètres!$A$1:$I$89,3,0)*VLOOKUP('Données projet'!$B$12,Paramètres!$A$1:$I$89,5,0)</f>
        <v>220.49664000000004</v>
      </c>
      <c r="CA52" s="13">
        <f t="shared" si="39"/>
        <v>54.222813800824916</v>
      </c>
      <c r="CB52" s="20">
        <f t="shared" si="10"/>
        <v>478.46971536977009</v>
      </c>
      <c r="CC52" s="59">
        <f t="shared" si="11"/>
        <v>771.8030487031034</v>
      </c>
      <c r="CD52" s="59">
        <f ca="1">AVERAGE(OFFSET($CC$3,0,0,'Données projet'!$E$12+1,1))-AVERAGE(OFFSET($H$3,0,0,'Données projet'!$E$12+1,1))</f>
        <v>384.34044781465661</v>
      </c>
      <c r="CE52" s="59">
        <f t="shared" si="40"/>
        <v>374.99493809709708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13.052929567793207</v>
      </c>
      <c r="CL52" s="21">
        <f>EXP(-LN(2)/25)*CL51+(1-EXP(-LN(2)/25))/(LN(2)/25)*Calculateur!CG52*Calculateur!CI52*VLOOKUP('Données projet'!$B$12,Paramètres!$A$1:$I$89,3,0)*0.475*44/12</f>
        <v>17.752263557275288</v>
      </c>
      <c r="CM52" s="21">
        <f>EXP(-LN(2)/2)*CM51+(1-EXP(-LN(2)/2))/(LN(2)/2)*CG52*CJ52*VLOOKUP('Données projet'!$B$12,Paramètres!$A$1:$I$89,3,0)*0.475*44/12</f>
        <v>1.6235695337692022</v>
      </c>
      <c r="CN52" s="22">
        <f t="shared" si="12"/>
        <v>32.428762658837698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>
        <f>VLOOKUP(A52,'Données projet'!$A$139:$I$159,2,0)</f>
        <v>504.24</v>
      </c>
      <c r="CR52" s="12">
        <f>VLOOKUP(A52,'Données projet'!$A$139:$I$159,9,0)</f>
        <v>21.970000000000002</v>
      </c>
      <c r="CS52" s="12">
        <f t="array" ref="CS52">INDEX(CR:CR,MIN(IF(ISNUMBER(CR52:CR248),ROW(CR52:CR248),"")))</f>
        <v>21.970000000000002</v>
      </c>
      <c r="CT52" s="12">
        <f>IF('Données projet'!$A$140&gt;35,CT51+CS52-DB51,IF(A52&lt;'Données projet'!$A$140,$CQ$205^A52,IF(A52='Données projet'!$A$140,'Données projet'!$B$140,CT51+CS52-DB51)))</f>
        <v>504.24000000000024</v>
      </c>
      <c r="CU52" s="17">
        <f>CT52*VLOOKUP('Données projet'!$B$13,Paramètres!$A$1:$I$89,3,0)*VLOOKUP('Données projet'!$B$13,Paramètres!$A$1:$I$89,5,0)</f>
        <v>281.87016000000011</v>
      </c>
      <c r="CV52" s="13">
        <f t="shared" si="41"/>
        <v>67.362074198579379</v>
      </c>
      <c r="CW52" s="20">
        <f t="shared" si="13"/>
        <v>608.24614122919252</v>
      </c>
      <c r="CX52" s="59">
        <f t="shared" si="14"/>
        <v>901.57947456252577</v>
      </c>
      <c r="CY52" s="59">
        <f ca="1">AVERAGE(OFFSET($CX$3,0,0,'Données projet'!$E$13+1,1))-AVERAGE(OFFSET($H$3,0,0,'Données projet'!$E$13+1,1))</f>
        <v>386.66324266750968</v>
      </c>
      <c r="CZ52" s="59">
        <f t="shared" si="42"/>
        <v>356.22149461585769</v>
      </c>
      <c r="DA52" s="15">
        <f>IF(ISNA(VLOOKUP(A52,'Données projet'!$A$139:$I$159,3,0)),0,VLOOKUP(A52,'Données projet'!$A$139:$I$159,3,0))</f>
        <v>5</v>
      </c>
      <c r="DB52" s="15">
        <f>IF(ISNA(VLOOKUP(A52,'Données projet'!$A$139:$I$159,4,0)),0,VLOOKUP(A52,'Données projet'!$A$139:$I$159,4,0))</f>
        <v>112.69999999999999</v>
      </c>
      <c r="DC52" s="16">
        <f>IF(ISNA(VLOOKUP(A52,'Données projet'!$A$139:$I$159,5,0)),0%,VLOOKUP(A52,'Données projet'!$A$139:$I$159,5,0)*VLOOKUP('Données projet'!$B$13,Paramètres!$A$1:$I$89,7,0))</f>
        <v>0.33</v>
      </c>
      <c r="DD52" s="16">
        <f>IF(ISNA(VLOOKUP(A52,'Données projet'!$A$139:$I$159,6,0)),0%,VLOOKUP(A52,'Données projet'!$A$139:$I$159,6,0)*VLOOKUP('Données projet'!$B$13,Paramètres!$A$1:$I$89,7,0))</f>
        <v>0.11000000000000001</v>
      </c>
      <c r="DE52" s="16">
        <f>IF(ISNA(VLOOKUP(A52,'Données projet'!$A$139:$I$159,7,0)),0%,VLOOKUP(A52,'Données projet'!$A$139:$I$159,7,0))</f>
        <v>0.2</v>
      </c>
      <c r="DF52" s="21">
        <f>EXP(-LN(2)/35)*DF51+(1-EXP(-LN(2)/35))/(LN(2)/35)*DB52*DC52*VLOOKUP('Données projet'!$B$13,Paramètres!$A$1:$I$89,3,0)*0.475*44/12</f>
        <v>73.303239990352296</v>
      </c>
      <c r="DG52" s="21">
        <f>EXP(-LN(2)/25)*DG51+(1-EXP(-LN(2)/25))/(LN(2)/25)*Calculateur!DB52*Calculateur!DD52*VLOOKUP('Données projet'!$B$13,Paramètres!$A$1:$I$89,3,0)*0.475*44/12</f>
        <v>30.776571941477684</v>
      </c>
      <c r="DH52" s="21">
        <f>EXP(-LN(2)/2)*DH51+(1-EXP(-LN(2)/2))/(LN(2)/2)*DB52*DE52*VLOOKUP('Données projet'!$B$13,Paramètres!$A$1:$I$89,3,0)*0.475*44/12</f>
        <v>15.483189745694569</v>
      </c>
      <c r="DI52" s="22">
        <f t="shared" si="15"/>
        <v>119.56300167752455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8.6</v>
      </c>
      <c r="DO52" s="12">
        <f>IF('Données projet'!$A$166&gt;35,DO51+DN52-DW51,IF(A52&lt;'Données projet'!$A$166,$DL$205^A52,IF(A52='Données projet'!$A$166,'Données projet'!$B$166,DO51+DN52-DW51)))</f>
        <v>252.40000000000003</v>
      </c>
      <c r="DP52" s="17">
        <f>DO52*VLOOKUP('Données projet'!$B$14,Paramètres!$A$1:$I$89,3,0)*VLOOKUP('Données projet'!$B$14,Paramètres!$A$1:$I$89,5,0)</f>
        <v>196.87200000000004</v>
      </c>
      <c r="DQ52" s="13">
        <f t="shared" si="43"/>
        <v>49.056098587542692</v>
      </c>
      <c r="DR52" s="20">
        <f t="shared" si="16"/>
        <v>428.32477170663691</v>
      </c>
      <c r="DS52" s="59">
        <f t="shared" si="17"/>
        <v>721.65810503997022</v>
      </c>
      <c r="DT52" s="59">
        <f ca="1">AVERAGE(OFFSET($DS$3,0,0,'Données projet'!$E$14+1,1))-AVERAGE(OFFSET($H$3,0,0,'Données projet'!$E$14+1,1))</f>
        <v>347.17417070871716</v>
      </c>
      <c r="DU52" s="59">
        <f t="shared" si="44"/>
        <v>339.56378046986441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9.4554577394728376</v>
      </c>
      <c r="EB52" s="21">
        <f>EXP(-LN(2)/25)*EB51+(1-EXP(-LN(2)/25))/(LN(2)/25)*Calculateur!DW52*Calculateur!DY52*VLOOKUP('Données projet'!$B$14,Paramètres!$A$1:$I$89,3,0)*0.475*44/12</f>
        <v>12.859624881449419</v>
      </c>
      <c r="EC52" s="21">
        <f>EXP(-LN(2)/2)*EC51+(1-EXP(-LN(2)/2))/(LN(2)/2)*DW52*DZ52*VLOOKUP('Données projet'!$B$14,Paramètres!$A$1:$I$89,3,0)*0.475*44/12</f>
        <v>1.4496156551510733</v>
      </c>
      <c r="ED52" s="22">
        <f t="shared" si="18"/>
        <v>23.764698276073329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8.6</v>
      </c>
      <c r="EJ52" s="12">
        <f>IF('Données projet'!$A$192&gt;35,EJ51+EI52-ER51,IF(A52&lt;'Données projet'!$A$192,$EG$205^A52,IF(A52='Données projet'!$A$192,'Données projet'!$B$192,EJ51+EI52-ER51)))</f>
        <v>252.40000000000003</v>
      </c>
      <c r="EK52" s="17">
        <f>EJ52*VLOOKUP('Données projet'!$B$15,Paramètres!$A$1:$I$89,3,0)*VLOOKUP('Données projet'!$B$15,Paramètres!$A$1:$I$89,5,0)</f>
        <v>220.49664000000004</v>
      </c>
      <c r="EL52" s="13">
        <f t="shared" si="45"/>
        <v>54.222813800824916</v>
      </c>
      <c r="EM52" s="20">
        <f t="shared" si="19"/>
        <v>478.46971536977009</v>
      </c>
      <c r="EN52" s="59">
        <f t="shared" si="20"/>
        <v>771.8030487031034</v>
      </c>
      <c r="EO52" s="59">
        <f ca="1">AVERAGE(OFFSET($EN$3,0,0,'Données projet'!$E$15+1,1))-AVERAGE(OFFSET($H$3,0,0,'Données projet'!$E$15+1,1))</f>
        <v>384.34044781465661</v>
      </c>
      <c r="EP52" s="59">
        <f t="shared" si="46"/>
        <v>374.99493809709708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10.590112668209578</v>
      </c>
      <c r="EW52" s="21">
        <f>EXP(-LN(2)/25)*EW51+(1-EXP(-LN(2)/25))/(LN(2)/25)*Calculateur!ER52*Calculateur!ET52*VLOOKUP('Données projet'!$B$15,Paramètres!$A$1:$I$89,3,0)*0.475*44/12</f>
        <v>14.402779867223355</v>
      </c>
      <c r="EX52" s="21">
        <f>EXP(-LN(2)/2)*EX51+(1-EXP(-LN(2)/2))/(LN(2)/2)*ER52*EU52*VLOOKUP('Données projet'!$B$15,Paramètres!$A$1:$I$89,3,0)*0.475*44/12</f>
        <v>1.6235695337692022</v>
      </c>
      <c r="EY52" s="22">
        <f t="shared" si="21"/>
        <v>26.616462069202136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8.6</v>
      </c>
      <c r="FE52" s="12">
        <f>IF('Données projet'!$A$218&gt;35,FE51+FD52-FM51,IF(A52&lt;'Données projet'!$A$218,$FB$205^A52,IF(A52='Données projet'!$A$218,'Données projet'!$B$218,FE51+FD52-FM51)))</f>
        <v>252.40000000000003</v>
      </c>
      <c r="FF52" s="17">
        <f>FE52*VLOOKUP('Données projet'!$B$16,Paramètres!$A$1:$I$89,3,0)*VLOOKUP('Données projet'!$B$16,Paramètres!$A$1:$I$89,5,0)</f>
        <v>204.74688000000003</v>
      </c>
      <c r="FG52" s="13">
        <f t="shared" si="47"/>
        <v>50.785959801489987</v>
      </c>
      <c r="FH52" s="20">
        <f t="shared" si="22"/>
        <v>445.05302932092837</v>
      </c>
      <c r="FI52" s="59">
        <f t="shared" si="23"/>
        <v>738.38636265426169</v>
      </c>
      <c r="FJ52" s="59">
        <f ca="1">AVERAGE(OFFSET($FI$3,0,0,'Données projet'!$E$16+1,1))-AVERAGE(OFFSET($H$3,0,0,'Données projet'!$E$16+1,1))</f>
        <v>359.57284550600366</v>
      </c>
      <c r="FK52" s="59">
        <f t="shared" si="48"/>
        <v>351.38386928091433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9.8336760490517499</v>
      </c>
      <c r="FR52" s="21">
        <f>EXP(-LN(2)/25)*FR51+(1-EXP(-LN(2)/25))/(LN(2)/25)*Calculateur!FM52*Calculateur!FO52*VLOOKUP('Données projet'!$B$16,Paramètres!$A$1:$I$89,3,0)*0.475*44/12</f>
        <v>13.374009876707397</v>
      </c>
      <c r="FS52" s="21">
        <f>EXP(-LN(2)/2)*FS51+(1-EXP(-LN(2)/2))/(LN(2)/2)*FM52*FP52*VLOOKUP('Données projet'!$B$16,Paramètres!$A$1:$I$89,3,0)*0.475*44/12</f>
        <v>1.5076002813571159</v>
      </c>
      <c r="FT52" s="22">
        <f t="shared" si="24"/>
        <v>24.715286207116264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6">
        <f t="shared" si="1"/>
        <v>256.66666666666669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304.72000000000003</v>
      </c>
      <c r="L53" s="12">
        <f>VLOOKUP(A53,'Données projet'!$A$35:$I$55,9,0)</f>
        <v>14.351250000000004</v>
      </c>
      <c r="M53" s="12">
        <f t="array" ref="M53">INDEX(L:L,MIN(IF(ISNUMBER(L53:L249),ROW(L53:L249),"")))</f>
        <v>14.351250000000004</v>
      </c>
      <c r="N53" s="13">
        <f>IF('Données projet'!$A$36&gt;35,N52+M53-V52,IF(A53&lt;'Données projet'!$A$36,$K$205^A53,IF(A53='Données projet'!$A$36,'Données projet'!$B$36,N52+M53-V52)))</f>
        <v>304.72000000000003</v>
      </c>
      <c r="O53" s="13">
        <f>N53*VLOOKUP('Données projet'!$B$9,Paramètres!$A$1:$I$89,3,0)*VLOOKUP('Données projet'!$B$9,Paramètres!$A$1:$I$89,5,0)</f>
        <v>275.71065600000003</v>
      </c>
      <c r="P53" s="13">
        <f t="shared" si="33"/>
        <v>66.059734370197603</v>
      </c>
      <c r="Q53" s="20">
        <f t="shared" si="53"/>
        <v>595.25009656142754</v>
      </c>
      <c r="R53" s="59">
        <f t="shared" si="0"/>
        <v>888.58342989476091</v>
      </c>
      <c r="S53" s="59">
        <f ca="1">AVERAGE(OFFSET($R$3,0,0,'Données projet'!$E$9+1,1))-AVERAGE(OFFSET($H$3,0,0,'Données projet'!$E$9+1,1))</f>
        <v>695.0879239758051</v>
      </c>
      <c r="T53" s="59">
        <f t="shared" si="34"/>
        <v>226.22150997227476</v>
      </c>
      <c r="U53" s="15">
        <f>IF(ISNA(VLOOKUP(A53,'Données projet'!$A$35:$I$55,3,0)),0,VLOOKUP(A53,'Données projet'!$A$35:$I$55,3,0))</f>
        <v>3</v>
      </c>
      <c r="V53" s="15">
        <f>IF(ISNA(VLOOKUP(A53,'Données projet'!$A$35:$I$55,4,0)),0,VLOOKUP(A53,'Données projet'!$A$35:$I$55,4,0))</f>
        <v>70.730000000000018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0.34400000000000003</v>
      </c>
      <c r="Y53" s="16">
        <f>IF(ISNA(VLOOKUP(A53,'Données projet'!$A$35:$I$55,7,0)),0%,VLOOKUP(A53,'Données projet'!$A$35:$I$55,7,0))</f>
        <v>0.2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48.259061719647775</v>
      </c>
      <c r="AB53" s="21">
        <f>EXP(-LN(2)/2)*AB52+(1-EXP(-LN(2)/2))/(LN(2)/2)*V53*Y53*VLOOKUP('Données projet'!$B$9,Paramètres!$A$1:$I$89,3,0)*0.475*44/12</f>
        <v>12.720950638272642</v>
      </c>
      <c r="AC53" s="22">
        <f t="shared" si="3"/>
        <v>60.980012357920415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16.3825</v>
      </c>
      <c r="AI53" s="13">
        <f>IF('Données projet'!$A$62&gt;35,AI52+AH53-AQ52,IF(A53&lt;'Données projet'!$A$62,$AF$205^A53,IF(A53='Données projet'!$A$62,'Données projet'!$B$62,AI52+AH53-AQ52)))</f>
        <v>465.45499999999993</v>
      </c>
      <c r="AJ53" s="13">
        <f>AI53*VLOOKUP('Données projet'!$B$10,Paramètres!$A$1:$I$89,3,0)*VLOOKUP('Données projet'!$B$10,Paramètres!$A$1:$I$89,5,0)</f>
        <v>278.34208999999998</v>
      </c>
      <c r="AK53" s="13">
        <f t="shared" si="35"/>
        <v>66.616523833555178</v>
      </c>
      <c r="AL53" s="20">
        <f t="shared" si="4"/>
        <v>600.8029190934418</v>
      </c>
      <c r="AM53" s="59">
        <f t="shared" si="5"/>
        <v>894.13625242677517</v>
      </c>
      <c r="AN53" s="59">
        <f ca="1">AVERAGE(OFFSET($AM$3,0,0,'Données projet'!$E$10+1,1))-AVERAGE(OFFSET($H$3,0,0,'Données projet'!$E$10+1,1))</f>
        <v>388.12151914648013</v>
      </c>
      <c r="AO53" s="59">
        <f t="shared" si="36"/>
        <v>481.43684454382793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64.499161990376223</v>
      </c>
      <c r="AV53" s="21">
        <f>EXP(-LN(2)/25)*AV52+(1-EXP(-LN(2)/25))/(LN(2)/25)*Calculateur!AQ53*Calculateur!AS53*VLOOKUP('Données projet'!$B$10,Paramètres!$A$1:$I$89,3,0)*0.475*44/12</f>
        <v>25.483628937699208</v>
      </c>
      <c r="AW53" s="21">
        <f>EXP(-LN(2)/2)*AW52+(1-EXP(-LN(2)/2))/(LN(2)/2)*AQ53*AT53*VLOOKUP('Données projet'!$B$10,Paramètres!$A$1:$I$89,3,0)*0.475*44/12</f>
        <v>7.7129239797330253</v>
      </c>
      <c r="AX53" s="21">
        <f t="shared" si="6"/>
        <v>97.695714907808451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261</v>
      </c>
      <c r="BB53" s="12">
        <f>VLOOKUP(A53,'Données projet'!$A$87:$I$107,9,0)</f>
        <v>8.6</v>
      </c>
      <c r="BC53" s="12">
        <f t="array" ref="BC53">INDEX(BB:BB,MIN(IF(ISNUMBER(BB53:BB249),ROW(BB53:BB249),"")))</f>
        <v>8.6</v>
      </c>
      <c r="BD53" s="12">
        <f>IF('Données projet'!$A$88&gt;35,BD52+BC53-BL52,IF(A53&lt;'Données projet'!$A$88,$BA$205^A53,IF(A53='Données projet'!$A$88,'Données projet'!$B$88,BD52+BC53-BL52)))</f>
        <v>261.00000000000006</v>
      </c>
      <c r="BE53" s="13">
        <f>BD53*VLOOKUP('Données projet'!$B$11,Paramètres!$A$1:$I$89,3,0)*VLOOKUP('Données projet'!$B$11,Paramètres!$A$1:$I$89,5,0)</f>
        <v>248.36760000000007</v>
      </c>
      <c r="BF53" s="13">
        <f t="shared" si="37"/>
        <v>60.236253798706343</v>
      </c>
      <c r="BG53" s="20">
        <f t="shared" si="7"/>
        <v>537.48504536608027</v>
      </c>
      <c r="BH53" s="59">
        <f t="shared" si="8"/>
        <v>830.81837869941364</v>
      </c>
      <c r="BI53" s="59">
        <f ca="1">AVERAGE(OFFSET($BH$3,0,0,'Données projet'!$E$11+1,1))-AVERAGE(OFFSET($H$3,0,0,'Données projet'!$E$11+1,1))</f>
        <v>415.24818074059294</v>
      </c>
      <c r="BJ53" s="59">
        <f t="shared" si="38"/>
        <v>404.45811532046872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19</v>
      </c>
      <c r="BM53" s="16">
        <f>IF(ISNA(VLOOKUP(A53,'Données projet'!$A$87:$I$107,5,0)),0%,VLOOKUP(A53,'Données projet'!$A$87:$I$107,5,0)*VLOOKUP('Données projet'!$B$11,Paramètres!$A$1:$I$89,7,0))</f>
        <v>0.1075</v>
      </c>
      <c r="BN53" s="16">
        <f>IF(ISNA(VLOOKUP(A53,'Données projet'!$A$87:$I$107,6,0)),0%,VLOOKUP(A53,'Données projet'!$A$87:$I$107,6,0)*VLOOKUP('Données projet'!$B$11,Paramètres!$A$1:$I$89,7,0))</f>
        <v>0.1075</v>
      </c>
      <c r="BO53" s="16">
        <f>IF(ISNA(VLOOKUP(A53,'Données projet'!$A$87:$I$107,7,0)),0%,VLOOKUP(A53,'Données projet'!$A$87:$I$107,7,0))</f>
        <v>0.25</v>
      </c>
      <c r="BP53" s="21">
        <f>EXP(-LN(2)/35)*BP52+(1-EXP(-LN(2)/35))/(LN(2)/35)*BL53*BM53*VLOOKUP('Données projet'!$B$11,Paramètres!$A$1:$I$89,3,0)*0.475*44/12</f>
        <v>13.458090981049626</v>
      </c>
      <c r="BQ53" s="21">
        <f>EXP(-LN(2)/25)*BQ52+(1-EXP(-LN(2)/25))/(LN(2)/25)*Calculateur!BL53*Calculateur!BN53*VLOOKUP('Données projet'!$B$11,Paramètres!$A$1:$I$89,3,0)*0.475*44/12</f>
        <v>17.399912622061912</v>
      </c>
      <c r="BR53" s="21">
        <f>EXP(-LN(2)/2)*BR52+(1-EXP(-LN(2)/2))/(LN(2)/2)*BL53*BO53*VLOOKUP('Données projet'!$B$11,Paramètres!$A$1:$I$89,3,0)*0.475*44/12</f>
        <v>5.5153763397510494</v>
      </c>
      <c r="BS53" s="22">
        <f t="shared" si="9"/>
        <v>36.373379942862584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261</v>
      </c>
      <c r="BW53" s="12">
        <f>VLOOKUP(A53,'Données projet'!$A$113:$I$133,9,0)</f>
        <v>8.6</v>
      </c>
      <c r="BX53" s="12">
        <f t="array" ref="BX53">INDEX(BW:BW,MIN(IF(ISNUMBER(BW53:BW249),ROW(BW53:BW249),"")))</f>
        <v>8.6</v>
      </c>
      <c r="BY53" s="12">
        <f>IF('Données projet'!$A$114&gt;35,BY52+BX53-CG52,IF(A53&lt;'Données projet'!$A$114,$BV$205^A53,IF(A53='Données projet'!$A$114,'Données projet'!$B$114,BY52+BX53-CG52)))</f>
        <v>261.00000000000006</v>
      </c>
      <c r="BZ53" s="13">
        <f>BY53*VLOOKUP('Données projet'!$B$12,Paramètres!$A$1:$I$89,3,0)*VLOOKUP('Données projet'!$B$12,Paramètres!$A$1:$I$89,5,0)</f>
        <v>228.00960000000009</v>
      </c>
      <c r="CA53" s="13">
        <f t="shared" si="39"/>
        <v>55.852093054619878</v>
      </c>
      <c r="CB53" s="20">
        <f t="shared" si="10"/>
        <v>494.3924487367965</v>
      </c>
      <c r="CC53" s="59">
        <f t="shared" si="11"/>
        <v>787.72578207012975</v>
      </c>
      <c r="CD53" s="59">
        <f ca="1">AVERAGE(OFFSET($CC$3,0,0,'Données projet'!$E$12+1,1))-AVERAGE(OFFSET($H$3,0,0,'Données projet'!$E$12+1,1))</f>
        <v>384.34044781465661</v>
      </c>
      <c r="CE53" s="59">
        <f t="shared" si="40"/>
        <v>374.99493809709708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19</v>
      </c>
      <c r="CH53" s="16">
        <f>IF(ISNA(VLOOKUP(A53,'Données projet'!$A$113:$I$133,5,0)),0%,VLOOKUP(A53,'Données projet'!$A$113:$I$133,5,0)*VLOOKUP('Données projet'!$B$12,Paramètres!$A$1:$I$89,7,0))</f>
        <v>0.13250000000000001</v>
      </c>
      <c r="CI53" s="16">
        <f>IF(ISNA(VLOOKUP(A53,'Données projet'!$A$113:$I$133,6,0)),0%,VLOOKUP(A53,'Données projet'!$A$113:$I$133,6,0)*VLOOKUP('Données projet'!$B$12,Paramètres!$A$1:$I$89,7,0))</f>
        <v>0.13250000000000001</v>
      </c>
      <c r="CJ53" s="16">
        <f>IF(ISNA(VLOOKUP(A53,'Données projet'!$A$113:$I$133,7,0)),0%,VLOOKUP(A53,'Données projet'!$A$113:$I$133,7,0))</f>
        <v>0.25</v>
      </c>
      <c r="CK53" s="21">
        <f>EXP(-LN(2)/35)*CK52+(1-EXP(-LN(2)/35))/(LN(2)/35)*CG53*CH53*VLOOKUP('Données projet'!$B$12,Paramètres!$A$1:$I$89,3,0)*0.475*44/12</f>
        <v>15.228217320531948</v>
      </c>
      <c r="CL53" s="21">
        <f>EXP(-LN(2)/25)*CL52+(1-EXP(-LN(2)/25))/(LN(2)/25)*Calculateur!CG53*Calculateur!CI53*VLOOKUP('Données projet'!$B$12,Paramètres!$A$1:$I$89,3,0)*0.475*44/12</f>
        <v>19.68850196808225</v>
      </c>
      <c r="CM53" s="21">
        <f>EXP(-LN(2)/2)*CM52+(1-EXP(-LN(2)/2))/(LN(2)/2)*CG53*CJ53*VLOOKUP('Données projet'!$B$12,Paramètres!$A$1:$I$89,3,0)*0.475*44/12</f>
        <v>5.0632963119026035</v>
      </c>
      <c r="CN53" s="22">
        <f t="shared" si="12"/>
        <v>39.980015600516801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20.355714285714278</v>
      </c>
      <c r="CT53" s="12">
        <f>IF('Données projet'!$A$140&gt;35,CT52+CS53-DB52,IF(A53&lt;'Données projet'!$A$140,$CQ$205^A53,IF(A53='Données projet'!$A$140,'Données projet'!$B$140,CT52+CS53-DB52)))</f>
        <v>411.89571428571452</v>
      </c>
      <c r="CU53" s="17">
        <f>CT53*VLOOKUP('Données projet'!$B$13,Paramètres!$A$1:$I$89,3,0)*VLOOKUP('Données projet'!$B$13,Paramètres!$A$1:$I$89,5,0)</f>
        <v>230.24970428571442</v>
      </c>
      <c r="CV53" s="13">
        <f t="shared" si="41"/>
        <v>56.336670025642462</v>
      </c>
      <c r="CW53" s="20">
        <f t="shared" si="13"/>
        <v>499.13793525894647</v>
      </c>
      <c r="CX53" s="59">
        <f t="shared" si="14"/>
        <v>792.47126859227978</v>
      </c>
      <c r="CY53" s="59">
        <f ca="1">AVERAGE(OFFSET($CX$3,0,0,'Données projet'!$E$13+1,1))-AVERAGE(OFFSET($H$3,0,0,'Données projet'!$E$13+1,1))</f>
        <v>386.66324266750968</v>
      </c>
      <c r="CZ53" s="59">
        <f t="shared" si="42"/>
        <v>356.22149461585769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71.865808164703083</v>
      </c>
      <c r="DG53" s="21">
        <f>EXP(-LN(2)/25)*DG52+(1-EXP(-LN(2)/25))/(LN(2)/25)*Calculateur!DB53*Calculateur!DD53*VLOOKUP('Données projet'!$B$13,Paramètres!$A$1:$I$89,3,0)*0.475*44/12</f>
        <v>29.934984963268398</v>
      </c>
      <c r="DH53" s="21">
        <f>EXP(-LN(2)/2)*DH52+(1-EXP(-LN(2)/2))/(LN(2)/2)*DB53*DE53*VLOOKUP('Données projet'!$B$13,Paramètres!$A$1:$I$89,3,0)*0.475*44/12</f>
        <v>10.948268463578646</v>
      </c>
      <c r="DI53" s="22">
        <f t="shared" si="15"/>
        <v>112.74906159155012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261</v>
      </c>
      <c r="DM53" s="12">
        <f>VLOOKUP(A53,'Données projet'!$A$165:$I$185,9,0)</f>
        <v>8.6</v>
      </c>
      <c r="DN53" s="12">
        <f t="array" ref="DN53">INDEX(DM:DM,MIN(IF(ISNUMBER(DM53:DM249),ROW(DM53:DM249),"")))</f>
        <v>8.6</v>
      </c>
      <c r="DO53" s="12">
        <f>IF('Données projet'!$A$166&gt;35,DO52+DN53-DW52,IF(A53&lt;'Données projet'!$A$166,$DL$205^A53,IF(A53='Données projet'!$A$166,'Données projet'!$B$166,DO52+DN53-DW52)))</f>
        <v>261.00000000000006</v>
      </c>
      <c r="DP53" s="17">
        <f>DO53*VLOOKUP('Données projet'!$B$14,Paramètres!$A$1:$I$89,3,0)*VLOOKUP('Données projet'!$B$14,Paramètres!$A$1:$I$89,5,0)</f>
        <v>203.58000000000004</v>
      </c>
      <c r="DQ53" s="13">
        <f t="shared" si="43"/>
        <v>50.530129131114101</v>
      </c>
      <c r="DR53" s="20">
        <f t="shared" si="16"/>
        <v>442.57514157002379</v>
      </c>
      <c r="DS53" s="59">
        <f t="shared" si="17"/>
        <v>735.90847490335705</v>
      </c>
      <c r="DT53" s="59">
        <f ca="1">AVERAGE(OFFSET($DS$3,0,0,'Données projet'!$E$14+1,1))-AVERAGE(OFFSET($H$3,0,0,'Données projet'!$E$14+1,1))</f>
        <v>347.17417070871716</v>
      </c>
      <c r="DU53" s="59">
        <f t="shared" si="44"/>
        <v>339.56378046986441</v>
      </c>
      <c r="DV53" s="15">
        <f>IF(ISNA(VLOOKUP(A53,'Données projet'!$A$165:$I$185,3,0)),0,VLOOKUP(A53,'Données projet'!$A$165:$I$185,3,0))</f>
        <v>8</v>
      </c>
      <c r="DW53" s="15">
        <f>IF(ISNA(VLOOKUP(A53,'Données projet'!$A$165:$I$185,4,0)),0,VLOOKUP(A53,'Données projet'!$A$165:$I$185,4,0))</f>
        <v>19</v>
      </c>
      <c r="DX53" s="16">
        <f>IF(ISNA(VLOOKUP(A53,'Données projet'!$A$165:$I$185,5,0)),0%,VLOOKUP(A53,'Données projet'!$A$165:$I$185,5,0)*VLOOKUP('Données projet'!$B$14,Paramètres!$A$1:$I$89,7,0))</f>
        <v>0.1075</v>
      </c>
      <c r="DY53" s="16">
        <f>IF(ISNA(VLOOKUP(A53,'Données projet'!$A$165:$I$185,6,0)),0%,VLOOKUP(A53,'Données projet'!$A$165:$I$185,6,0)*VLOOKUP('Données projet'!$B$14,Paramètres!$A$1:$I$89,7,0))</f>
        <v>0.1075</v>
      </c>
      <c r="DZ53" s="16">
        <f>IF(ISNA(VLOOKUP(A53,'Données projet'!$A$165:$I$185,7,0)),0%,VLOOKUP(A53,'Données projet'!$A$165:$I$185,7,0))</f>
        <v>0.25</v>
      </c>
      <c r="EA53" s="21">
        <f>EXP(-LN(2)/35)*EA52+(1-EXP(-LN(2)/35))/(LN(2)/35)*DW53*DX53*VLOOKUP('Données projet'!$B$14,Paramètres!$A$1:$I$89,3,0)*0.475*44/12</f>
        <v>11.031222115614446</v>
      </c>
      <c r="EB53" s="21">
        <f>EXP(-LN(2)/25)*EB52+(1-EXP(-LN(2)/25))/(LN(2)/25)*Calculateur!DW53*Calculateur!DY53*VLOOKUP('Données projet'!$B$14,Paramètres!$A$1:$I$89,3,0)*0.475*44/12</f>
        <v>14.262223460706483</v>
      </c>
      <c r="EC53" s="21">
        <f>EXP(-LN(2)/2)*EC52+(1-EXP(-LN(2)/2))/(LN(2)/2)*DW53*DZ53*VLOOKUP('Données projet'!$B$14,Paramètres!$A$1:$I$89,3,0)*0.475*44/12</f>
        <v>4.520800278484467</v>
      </c>
      <c r="ED53" s="22">
        <f t="shared" si="18"/>
        <v>29.814245854805392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261</v>
      </c>
      <c r="EH53" s="12">
        <f>VLOOKUP(A53,'Données projet'!$A$191:$I$211,9,0)</f>
        <v>8.6</v>
      </c>
      <c r="EI53" s="12">
        <f t="array" ref="EI53">INDEX(EH:EH,MIN(IF(ISNUMBER(EH53:EH249),ROW(EH53:EH249),"")))</f>
        <v>8.6</v>
      </c>
      <c r="EJ53" s="12">
        <f>IF('Données projet'!$A$192&gt;35,EJ52+EI53-ER52,IF(A53&lt;'Données projet'!$A$192,$EG$205^A53,IF(A53='Données projet'!$A$192,'Données projet'!$B$192,EJ52+EI53-ER52)))</f>
        <v>261.00000000000006</v>
      </c>
      <c r="EK53" s="17">
        <f>EJ53*VLOOKUP('Données projet'!$B$15,Paramètres!$A$1:$I$89,3,0)*VLOOKUP('Données projet'!$B$15,Paramètres!$A$1:$I$89,5,0)</f>
        <v>228.00960000000009</v>
      </c>
      <c r="EL53" s="13">
        <f t="shared" si="45"/>
        <v>55.852093054619878</v>
      </c>
      <c r="EM53" s="20">
        <f t="shared" si="19"/>
        <v>494.3924487367965</v>
      </c>
      <c r="EN53" s="59">
        <f t="shared" si="20"/>
        <v>787.72578207012975</v>
      </c>
      <c r="EO53" s="59">
        <f ca="1">AVERAGE(OFFSET($EN$3,0,0,'Données projet'!$E$15+1,1))-AVERAGE(OFFSET($H$3,0,0,'Données projet'!$E$15+1,1))</f>
        <v>384.34044781465661</v>
      </c>
      <c r="EP53" s="59">
        <f t="shared" si="46"/>
        <v>374.99493809709708</v>
      </c>
      <c r="EQ53" s="15">
        <f>IF(ISNA(VLOOKUP(A53,'Données projet'!$A$191:$I$211,3,0)),0,VLOOKUP(A53,'Données projet'!$A$191:$I$211,3,0))</f>
        <v>8</v>
      </c>
      <c r="ER53" s="15">
        <f>IF(ISNA(VLOOKUP(A53,'Données projet'!$A$191:$I$211,4,0)),0,VLOOKUP(A53,'Données projet'!$A$191:$I$211,4,0))</f>
        <v>19</v>
      </c>
      <c r="ES53" s="16">
        <f>IF(ISNA(VLOOKUP(A53,'Données projet'!$A$191:$I$211,5,0)),0%,VLOOKUP(A53,'Données projet'!$A$191:$I$211,5,0)*VLOOKUP('Données projet'!$B$15,Paramètres!$A$1:$I$89,7,0))</f>
        <v>0.1075</v>
      </c>
      <c r="ET53" s="16">
        <f>IF(ISNA(VLOOKUP(A53,'Données projet'!$A$191:$I$211,6,0)),0%,VLOOKUP(A53,'Données projet'!$A$191:$I$211,6,0)*VLOOKUP('Données projet'!$B$15,Paramètres!$A$1:$I$89,7,0))</f>
        <v>0.1075</v>
      </c>
      <c r="EU53" s="16">
        <f>IF(ISNA(VLOOKUP(A53,'Données projet'!$A$191:$I$211,7,0)),0%,VLOOKUP(A53,'Données projet'!$A$191:$I$211,7,0))</f>
        <v>0.25</v>
      </c>
      <c r="EV53" s="21">
        <f>EXP(-LN(2)/35)*EV52+(1-EXP(-LN(2)/35))/(LN(2)/35)*ER53*ES53*VLOOKUP('Données projet'!$B$15,Paramètres!$A$1:$I$89,3,0)*0.475*44/12</f>
        <v>12.354968769488179</v>
      </c>
      <c r="EW53" s="21">
        <f>EXP(-LN(2)/25)*EW52+(1-EXP(-LN(2)/25))/(LN(2)/25)*Calculateur!ER53*Calculateur!ET53*VLOOKUP('Données projet'!$B$15,Paramètres!$A$1:$I$89,3,0)*0.475*44/12</f>
        <v>15.973690275991267</v>
      </c>
      <c r="EX53" s="21">
        <f>EXP(-LN(2)/2)*EX52+(1-EXP(-LN(2)/2))/(LN(2)/2)*ER53*EU53*VLOOKUP('Données projet'!$B$15,Paramètres!$A$1:$I$89,3,0)*0.475*44/12</f>
        <v>5.0632963119026035</v>
      </c>
      <c r="EY53" s="22">
        <f t="shared" si="21"/>
        <v>33.391955357382052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261</v>
      </c>
      <c r="FC53" s="12">
        <f>VLOOKUP(A53,'Données projet'!$A$217:$I$237,9,0)</f>
        <v>8.6</v>
      </c>
      <c r="FD53" s="12">
        <f t="array" ref="FD53">INDEX(FC:FC,MIN(IF(ISNUMBER(FC53:FC249),ROW(FC53:FC249),"")))</f>
        <v>8.6</v>
      </c>
      <c r="FE53" s="12">
        <f>IF('Données projet'!$A$218&gt;35,FE52+FD53-FM52,IF(A53&lt;'Données projet'!$A$218,$FB$205^A53,IF(A53='Données projet'!$A$218,'Données projet'!$B$218,FE52+FD53-FM52)))</f>
        <v>261.00000000000006</v>
      </c>
      <c r="FF53" s="17">
        <f>FE53*VLOOKUP('Données projet'!$B$16,Paramètres!$A$1:$I$89,3,0)*VLOOKUP('Données projet'!$B$16,Paramètres!$A$1:$I$89,5,0)</f>
        <v>211.72320000000005</v>
      </c>
      <c r="FG53" s="13">
        <f t="shared" si="47"/>
        <v>52.311968964212078</v>
      </c>
      <c r="FH53" s="20">
        <f t="shared" si="22"/>
        <v>459.86125261266943</v>
      </c>
      <c r="FI53" s="59">
        <f t="shared" si="23"/>
        <v>753.19458594600269</v>
      </c>
      <c r="FJ53" s="59">
        <f ca="1">AVERAGE(OFFSET($FI$3,0,0,'Données projet'!$E$16+1,1))-AVERAGE(OFFSET($H$3,0,0,'Données projet'!$E$16+1,1))</f>
        <v>359.57284550600366</v>
      </c>
      <c r="FK53" s="59">
        <f t="shared" si="48"/>
        <v>351.38386928091433</v>
      </c>
      <c r="FL53" s="15">
        <f>IF(ISNA(VLOOKUP(A53,'Données projet'!$A$217:$I$237,3,0)),0,VLOOKUP(A53,'Données projet'!$A$217:$I$237,3,0))</f>
        <v>8</v>
      </c>
      <c r="FM53" s="15">
        <f>IF(ISNA(VLOOKUP(A53,'Données projet'!$A$217:$I$237,4,0)),0,VLOOKUP(A53,'Données projet'!$A$217:$I$237,4,0))</f>
        <v>19</v>
      </c>
      <c r="FN53" s="16">
        <f>IF(ISNA(VLOOKUP(A53,'Données projet'!$A$217:$I$237,5,0)),0%,VLOOKUP(A53,'Données projet'!$A$217:$I$237,5,0)*VLOOKUP('Données projet'!$B$16,Paramètres!$A$1:$I$89,7,0))</f>
        <v>0.1075</v>
      </c>
      <c r="FO53" s="16">
        <f>IF(ISNA(VLOOKUP(A53,'Données projet'!$A$217:$I$237,6,0)),0%,VLOOKUP(A53,'Données projet'!$A$217:$I$237,6,0)*VLOOKUP('Données projet'!$B$16,Paramètres!$A$1:$I$89,7,0))</f>
        <v>0.1075</v>
      </c>
      <c r="FP53" s="16">
        <f>IF(ISNA(VLOOKUP(A53,'Données projet'!$A$217:$I$237,7,0)),0%,VLOOKUP(A53,'Données projet'!$A$217:$I$237,7,0))</f>
        <v>0.25</v>
      </c>
      <c r="FQ53" s="21">
        <f>EXP(-LN(2)/35)*FQ52+(1-EXP(-LN(2)/35))/(LN(2)/35)*FM53*FN53*VLOOKUP('Données projet'!$B$16,Paramètres!$A$1:$I$89,3,0)*0.475*44/12</f>
        <v>11.472471000239024</v>
      </c>
      <c r="FR53" s="21">
        <f>EXP(-LN(2)/25)*FR52+(1-EXP(-LN(2)/25))/(LN(2)/25)*Calculateur!FM53*Calculateur!FO53*VLOOKUP('Données projet'!$B$16,Paramètres!$A$1:$I$89,3,0)*0.475*44/12</f>
        <v>14.832712399134746</v>
      </c>
      <c r="FS53" s="21">
        <f>EXP(-LN(2)/2)*FS52+(1-EXP(-LN(2)/2))/(LN(2)/2)*FM53*FP53*VLOOKUP('Données projet'!$B$16,Paramètres!$A$1:$I$89,3,0)*0.475*44/12</f>
        <v>4.7016322896238458</v>
      </c>
      <c r="FT53" s="22">
        <f t="shared" si="24"/>
        <v>31.006815688997612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6">
        <f t="shared" si="1"/>
        <v>256.66666666666669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14.073749999999997</v>
      </c>
      <c r="N54" s="13">
        <f>IF('Données projet'!$A$36&gt;35,N53+M54-V53,IF(A54&lt;'Données projet'!$A$36,$K$205^A54,IF(A54='Données projet'!$A$36,'Données projet'!$B$36,N53+M54-V53)))</f>
        <v>248.06375000000003</v>
      </c>
      <c r="O54" s="13">
        <f>N54*VLOOKUP('Données projet'!$B$9,Paramètres!$A$1:$I$89,3,0)*VLOOKUP('Données projet'!$B$9,Paramètres!$A$1:$I$89,5,0)</f>
        <v>224.44808100000003</v>
      </c>
      <c r="P54" s="13">
        <f t="shared" si="33"/>
        <v>55.080525002460227</v>
      </c>
      <c r="Q54" s="20">
        <f t="shared" si="53"/>
        <v>486.84565545428495</v>
      </c>
      <c r="R54" s="59">
        <f t="shared" si="0"/>
        <v>780.17898878761821</v>
      </c>
      <c r="S54" s="59">
        <f ca="1">AVERAGE(OFFSET($R$3,0,0,'Données projet'!$E$9+1,1))-AVERAGE(OFFSET($H$3,0,0,'Données projet'!$E$9+1,1))</f>
        <v>695.0879239758051</v>
      </c>
      <c r="T54" s="59">
        <f t="shared" si="34"/>
        <v>226.22150997227476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46.939415139090251</v>
      </c>
      <c r="AB54" s="21">
        <f>EXP(-LN(2)/2)*AB53+(1-EXP(-LN(2)/2))/(LN(2)/2)*V54*Y54*VLOOKUP('Données projet'!$B$9,Paramètres!$A$1:$I$89,3,0)*0.475*44/12</f>
        <v>8.9950704594619264</v>
      </c>
      <c r="AC54" s="22">
        <f t="shared" si="3"/>
        <v>55.934485598552179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16.3825</v>
      </c>
      <c r="AI54" s="13">
        <f>IF('Données projet'!$A$62&gt;35,AI53+AH54-AQ53,IF(A54&lt;'Données projet'!$A$62,$AF$205^A54,IF(A54='Données projet'!$A$62,'Données projet'!$B$62,AI53+AH54-AQ53)))</f>
        <v>481.83749999999992</v>
      </c>
      <c r="AJ54" s="13">
        <f>AI54*VLOOKUP('Données projet'!$B$10,Paramètres!$A$1:$I$89,3,0)*VLOOKUP('Données projet'!$B$10,Paramètres!$A$1:$I$89,5,0)</f>
        <v>288.138825</v>
      </c>
      <c r="AK54" s="13">
        <f t="shared" si="35"/>
        <v>68.684097873944822</v>
      </c>
      <c r="AL54" s="20">
        <f t="shared" si="4"/>
        <v>621.46659067212056</v>
      </c>
      <c r="AM54" s="59">
        <f t="shared" si="5"/>
        <v>914.79992400545393</v>
      </c>
      <c r="AN54" s="59">
        <f ca="1">AVERAGE(OFFSET($AM$3,0,0,'Données projet'!$E$10+1,1))-AVERAGE(OFFSET($H$3,0,0,'Données projet'!$E$10+1,1))</f>
        <v>388.12151914648013</v>
      </c>
      <c r="AO54" s="59">
        <f t="shared" si="36"/>
        <v>481.43684454382793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63.234372764349196</v>
      </c>
      <c r="AV54" s="21">
        <f>EXP(-LN(2)/25)*AV53+(1-EXP(-LN(2)/25))/(LN(2)/25)*Calculateur!AQ54*Calculateur!AS54*VLOOKUP('Données projet'!$B$10,Paramètres!$A$1:$I$89,3,0)*0.475*44/12</f>
        <v>24.786777764272021</v>
      </c>
      <c r="AW54" s="21">
        <f>EXP(-LN(2)/2)*AW53+(1-EXP(-LN(2)/2))/(LN(2)/2)*AQ54*AT54*VLOOKUP('Données projet'!$B$10,Paramètres!$A$1:$I$89,3,0)*0.475*44/12</f>
        <v>5.4538608488455562</v>
      </c>
      <c r="AX54" s="21">
        <f t="shared" si="6"/>
        <v>93.475011377466771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7.4</v>
      </c>
      <c r="BD54" s="12">
        <f>IF('Données projet'!$A$88&gt;35,BD53+BC54-BL53,IF(A54&lt;'Données projet'!$A$88,$BA$205^A54,IF(A54='Données projet'!$A$88,'Données projet'!$B$88,BD53+BC54-BL53)))</f>
        <v>249.40000000000003</v>
      </c>
      <c r="BE54" s="13">
        <f>BD54*VLOOKUP('Données projet'!$B$11,Paramètres!$A$1:$I$89,3,0)*VLOOKUP('Données projet'!$B$11,Paramètres!$A$1:$I$89,5,0)</f>
        <v>237.32904000000002</v>
      </c>
      <c r="BF54" s="13">
        <f t="shared" si="37"/>
        <v>57.864486657972002</v>
      </c>
      <c r="BG54" s="20">
        <f t="shared" si="7"/>
        <v>514.12872559596792</v>
      </c>
      <c r="BH54" s="59">
        <f t="shared" si="8"/>
        <v>807.46205892930129</v>
      </c>
      <c r="BI54" s="59">
        <f ca="1">AVERAGE(OFFSET($BH$3,0,0,'Données projet'!$E$11+1,1))-AVERAGE(OFFSET($H$3,0,0,'Données projet'!$E$11+1,1))</f>
        <v>415.24818074059294</v>
      </c>
      <c r="BJ54" s="59">
        <f t="shared" si="38"/>
        <v>404.45811532046872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13.194186025536206</v>
      </c>
      <c r="BQ54" s="21">
        <f>EXP(-LN(2)/25)*BQ53+(1-EXP(-LN(2)/25))/(LN(2)/25)*Calculateur!BL54*Calculateur!BN54*VLOOKUP('Données projet'!$B$11,Paramètres!$A$1:$I$89,3,0)*0.475*44/12</f>
        <v>16.924111096389993</v>
      </c>
      <c r="BR54" s="21">
        <f>EXP(-LN(2)/2)*BR53+(1-EXP(-LN(2)/2))/(LN(2)/2)*BL54*BO54*VLOOKUP('Données projet'!$B$11,Paramètres!$A$1:$I$89,3,0)*0.475*44/12</f>
        <v>3.8999600106338068</v>
      </c>
      <c r="BS54" s="22">
        <f t="shared" si="9"/>
        <v>34.018257132560002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7.4</v>
      </c>
      <c r="BY54" s="12">
        <f>IF('Données projet'!$A$114&gt;35,BY53+BX54-CG53,IF(A54&lt;'Données projet'!$A$114,$BV$205^A54,IF(A54='Données projet'!$A$114,'Données projet'!$B$114,BY53+BX54-CG53)))</f>
        <v>249.40000000000003</v>
      </c>
      <c r="BZ54" s="13">
        <f>BY54*VLOOKUP('Données projet'!$B$12,Paramètres!$A$1:$I$89,3,0)*VLOOKUP('Données projet'!$B$12,Paramètres!$A$1:$I$89,5,0)</f>
        <v>217.87584000000007</v>
      </c>
      <c r="CA54" s="13">
        <f t="shared" si="39"/>
        <v>53.652949670124926</v>
      </c>
      <c r="CB54" s="20">
        <f t="shared" si="10"/>
        <v>472.91264200880101</v>
      </c>
      <c r="CC54" s="59">
        <f t="shared" si="11"/>
        <v>766.24597534213433</v>
      </c>
      <c r="CD54" s="59">
        <f ca="1">AVERAGE(OFFSET($CC$3,0,0,'Données projet'!$E$12+1,1))-AVERAGE(OFFSET($H$3,0,0,'Données projet'!$E$12+1,1))</f>
        <v>384.34044781465661</v>
      </c>
      <c r="CE54" s="59">
        <f t="shared" si="40"/>
        <v>374.99493809709708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14.929601267171739</v>
      </c>
      <c r="CL54" s="21">
        <f>EXP(-LN(2)/25)*CL53+(1-EXP(-LN(2)/25))/(LN(2)/25)*Calculateur!CG54*Calculateur!CI54*VLOOKUP('Données projet'!$B$12,Paramètres!$A$1:$I$89,3,0)*0.475*44/12</f>
        <v>19.15011884639172</v>
      </c>
      <c r="CM54" s="21">
        <f>EXP(-LN(2)/2)*CM53+(1-EXP(-LN(2)/2))/(LN(2)/2)*CG54*CJ54*VLOOKUP('Données projet'!$B$12,Paramètres!$A$1:$I$89,3,0)*0.475*44/12</f>
        <v>3.5802911573031677</v>
      </c>
      <c r="CN54" s="22">
        <f t="shared" si="12"/>
        <v>37.660011270866626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20.355714285714278</v>
      </c>
      <c r="CT54" s="12">
        <f>IF('Données projet'!$A$140&gt;35,CT53+CS54-DB53,IF(A54&lt;'Données projet'!$A$140,$CQ$205^A54,IF(A54='Données projet'!$A$140,'Données projet'!$B$140,CT53+CS54-DB53)))</f>
        <v>432.25142857142879</v>
      </c>
      <c r="CU54" s="17">
        <f>CT54*VLOOKUP('Données projet'!$B$13,Paramètres!$A$1:$I$89,3,0)*VLOOKUP('Données projet'!$B$13,Paramètres!$A$1:$I$89,5,0)</f>
        <v>241.62854857142869</v>
      </c>
      <c r="CV54" s="13">
        <f t="shared" si="41"/>
        <v>58.789782611687855</v>
      </c>
      <c r="CW54" s="20">
        <f t="shared" si="13"/>
        <v>523.22859347726126</v>
      </c>
      <c r="CX54" s="59">
        <f t="shared" si="14"/>
        <v>816.56192681059451</v>
      </c>
      <c r="CY54" s="59">
        <f ca="1">AVERAGE(OFFSET($CX$3,0,0,'Données projet'!$E$13+1,1))-AVERAGE(OFFSET($H$3,0,0,'Données projet'!$E$13+1,1))</f>
        <v>386.66324266750968</v>
      </c>
      <c r="CZ54" s="59">
        <f t="shared" si="42"/>
        <v>356.22149461585769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70.456563500408009</v>
      </c>
      <c r="DG54" s="21">
        <f>EXP(-LN(2)/25)*DG53+(1-EXP(-LN(2)/25))/(LN(2)/25)*Calculateur!DB54*Calculateur!DD54*VLOOKUP('Données projet'!$B$13,Paramètres!$A$1:$I$89,3,0)*0.475*44/12</f>
        <v>29.116411225235382</v>
      </c>
      <c r="DH54" s="21">
        <f>EXP(-LN(2)/2)*DH53+(1-EXP(-LN(2)/2))/(LN(2)/2)*DB54*DE54*VLOOKUP('Données projet'!$B$13,Paramètres!$A$1:$I$89,3,0)*0.475*44/12</f>
        <v>7.7415948728472852</v>
      </c>
      <c r="DI54" s="22">
        <f t="shared" si="15"/>
        <v>107.31456959849068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7.4</v>
      </c>
      <c r="DO54" s="12">
        <f>IF('Données projet'!$A$166&gt;35,DO53+DN54-DW53,IF(A54&lt;'Données projet'!$A$166,$DL$205^A54,IF(A54='Données projet'!$A$166,'Données projet'!$B$166,DO53+DN54-DW53)))</f>
        <v>249.40000000000003</v>
      </c>
      <c r="DP54" s="17">
        <f>DO54*VLOOKUP('Données projet'!$B$14,Paramètres!$A$1:$I$89,3,0)*VLOOKUP('Données projet'!$B$14,Paramètres!$A$1:$I$89,5,0)</f>
        <v>194.53200000000004</v>
      </c>
      <c r="DQ54" s="13">
        <f t="shared" si="43"/>
        <v>48.540534952652621</v>
      </c>
      <c r="DR54" s="20">
        <f t="shared" si="16"/>
        <v>423.35133170920335</v>
      </c>
      <c r="DS54" s="59">
        <f t="shared" si="17"/>
        <v>716.68466504253661</v>
      </c>
      <c r="DT54" s="59">
        <f ca="1">AVERAGE(OFFSET($DS$3,0,0,'Données projet'!$E$14+1,1))-AVERAGE(OFFSET($H$3,0,0,'Données projet'!$E$14+1,1))</f>
        <v>347.17417070871716</v>
      </c>
      <c r="DU54" s="59">
        <f t="shared" si="44"/>
        <v>339.56378046986441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10.814906578308365</v>
      </c>
      <c r="EB54" s="21">
        <f>EXP(-LN(2)/25)*EB53+(1-EXP(-LN(2)/25))/(LN(2)/25)*Calculateur!DW54*Calculateur!DY54*VLOOKUP('Données projet'!$B$14,Paramètres!$A$1:$I$89,3,0)*0.475*44/12</f>
        <v>13.87222221015573</v>
      </c>
      <c r="EC54" s="21">
        <f>EXP(-LN(2)/2)*EC53+(1-EXP(-LN(2)/2))/(LN(2)/2)*DW54*DZ54*VLOOKUP('Données projet'!$B$14,Paramètres!$A$1:$I$89,3,0)*0.475*44/12</f>
        <v>3.1966885333063995</v>
      </c>
      <c r="ED54" s="22">
        <f t="shared" si="18"/>
        <v>27.883817321770493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7.4</v>
      </c>
      <c r="EJ54" s="12">
        <f>IF('Données projet'!$A$192&gt;35,EJ53+EI54-ER53,IF(A54&lt;'Données projet'!$A$192,$EG$205^A54,IF(A54='Données projet'!$A$192,'Données projet'!$B$192,EJ53+EI54-ER53)))</f>
        <v>249.40000000000003</v>
      </c>
      <c r="EK54" s="17">
        <f>EJ54*VLOOKUP('Données projet'!$B$15,Paramètres!$A$1:$I$89,3,0)*VLOOKUP('Données projet'!$B$15,Paramètres!$A$1:$I$89,5,0)</f>
        <v>217.87584000000007</v>
      </c>
      <c r="EL54" s="13">
        <f t="shared" si="45"/>
        <v>53.652949670124926</v>
      </c>
      <c r="EM54" s="20">
        <f t="shared" si="19"/>
        <v>472.91264200880101</v>
      </c>
      <c r="EN54" s="59">
        <f t="shared" si="20"/>
        <v>766.24597534213433</v>
      </c>
      <c r="EO54" s="59">
        <f ca="1">AVERAGE(OFFSET($EN$3,0,0,'Données projet'!$E$15+1,1))-AVERAGE(OFFSET($H$3,0,0,'Données projet'!$E$15+1,1))</f>
        <v>384.34044781465661</v>
      </c>
      <c r="EP54" s="59">
        <f t="shared" si="46"/>
        <v>374.99493809709708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12.112695367705369</v>
      </c>
      <c r="EW54" s="21">
        <f>EXP(-LN(2)/25)*EW53+(1-EXP(-LN(2)/25))/(LN(2)/25)*Calculateur!ER54*Calculateur!ET54*VLOOKUP('Données projet'!$B$15,Paramètres!$A$1:$I$89,3,0)*0.475*44/12</f>
        <v>15.536888875374423</v>
      </c>
      <c r="EX54" s="21">
        <f>EXP(-LN(2)/2)*EX53+(1-EXP(-LN(2)/2))/(LN(2)/2)*ER54*EU54*VLOOKUP('Données projet'!$B$15,Paramètres!$A$1:$I$89,3,0)*0.475*44/12</f>
        <v>3.5802911573031677</v>
      </c>
      <c r="EY54" s="22">
        <f t="shared" si="21"/>
        <v>31.229875400382962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7.4</v>
      </c>
      <c r="FE54" s="12">
        <f>IF('Données projet'!$A$218&gt;35,FE53+FD54-FM53,IF(A54&lt;'Données projet'!$A$218,$FB$205^A54,IF(A54='Données projet'!$A$218,'Données projet'!$B$218,FE53+FD54-FM53)))</f>
        <v>249.40000000000003</v>
      </c>
      <c r="FF54" s="17">
        <f>FE54*VLOOKUP('Données projet'!$B$16,Paramètres!$A$1:$I$89,3,0)*VLOOKUP('Données projet'!$B$16,Paramètres!$A$1:$I$89,5,0)</f>
        <v>202.31328000000002</v>
      </c>
      <c r="FG54" s="13">
        <f t="shared" si="47"/>
        <v>50.25221588808207</v>
      </c>
      <c r="FH54" s="20">
        <f t="shared" si="22"/>
        <v>439.88490533840962</v>
      </c>
      <c r="FI54" s="59">
        <f t="shared" si="23"/>
        <v>733.21823867174294</v>
      </c>
      <c r="FJ54" s="59">
        <f ca="1">AVERAGE(OFFSET($FI$3,0,0,'Données projet'!$E$16+1,1))-AVERAGE(OFFSET($H$3,0,0,'Données projet'!$E$16+1,1))</f>
        <v>359.57284550600366</v>
      </c>
      <c r="FK54" s="59">
        <f t="shared" si="48"/>
        <v>351.38386928091433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11.247502841440699</v>
      </c>
      <c r="FR54" s="21">
        <f>EXP(-LN(2)/25)*FR53+(1-EXP(-LN(2)/25))/(LN(2)/25)*Calculateur!FM54*Calculateur!FO54*VLOOKUP('Données projet'!$B$16,Paramètres!$A$1:$I$89,3,0)*0.475*44/12</f>
        <v>14.427111098561962</v>
      </c>
      <c r="FS54" s="21">
        <f>EXP(-LN(2)/2)*FS53+(1-EXP(-LN(2)/2))/(LN(2)/2)*FM54*FP54*VLOOKUP('Données projet'!$B$16,Paramètres!$A$1:$I$89,3,0)*0.475*44/12</f>
        <v>3.3245560746386555</v>
      </c>
      <c r="FT54" s="22">
        <f t="shared" si="24"/>
        <v>28.999170014641315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6">
        <f t="shared" si="1"/>
        <v>256.66666666666669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14.073749999999997</v>
      </c>
      <c r="N55" s="13">
        <f>IF('Données projet'!$A$36&gt;35,N54+M55-V54,IF(A55&lt;'Données projet'!$A$36,$K$205^A55,IF(A55='Données projet'!$A$36,'Données projet'!$B$36,N54+M55-V54)))</f>
        <v>262.13750000000005</v>
      </c>
      <c r="O55" s="13">
        <f>N55*VLOOKUP('Données projet'!$B$9,Paramètres!$A$1:$I$89,3,0)*VLOOKUP('Données projet'!$B$9,Paramètres!$A$1:$I$89,5,0)</f>
        <v>237.18201000000005</v>
      </c>
      <c r="P55" s="13">
        <f t="shared" si="33"/>
        <v>57.832810058824109</v>
      </c>
      <c r="Q55" s="20">
        <f t="shared" si="53"/>
        <v>513.81747826911885</v>
      </c>
      <c r="R55" s="59">
        <f t="shared" si="0"/>
        <v>807.15081160245222</v>
      </c>
      <c r="S55" s="59">
        <f ca="1">AVERAGE(OFFSET($R$3,0,0,'Données projet'!$E$9+1,1))-AVERAGE(OFFSET($H$3,0,0,'Données projet'!$E$9+1,1))</f>
        <v>695.0879239758051</v>
      </c>
      <c r="T55" s="59">
        <f t="shared" si="34"/>
        <v>226.22150997227476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45.655854363675267</v>
      </c>
      <c r="AB55" s="21">
        <f>EXP(-LN(2)/2)*AB54+(1-EXP(-LN(2)/2))/(LN(2)/2)*V55*Y55*VLOOKUP('Données projet'!$B$9,Paramètres!$A$1:$I$89,3,0)*0.475*44/12</f>
        <v>6.3604753191363219</v>
      </c>
      <c r="AC55" s="22">
        <f t="shared" si="3"/>
        <v>52.016329682811588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16.3825</v>
      </c>
      <c r="AI55" s="13">
        <f>IF('Données projet'!$A$62&gt;35,AI54+AH55-AQ54,IF(A55&lt;'Données projet'!$A$62,$AF$205^A55,IF(A55='Données projet'!$A$62,'Données projet'!$B$62,AI54+AH55-AQ54)))</f>
        <v>498.21999999999991</v>
      </c>
      <c r="AJ55" s="13">
        <f>AI55*VLOOKUP('Données projet'!$B$10,Paramètres!$A$1:$I$89,3,0)*VLOOKUP('Données projet'!$B$10,Paramètres!$A$1:$I$89,5,0)</f>
        <v>297.93555999999995</v>
      </c>
      <c r="AK55" s="13">
        <f t="shared" si="35"/>
        <v>70.74350377882952</v>
      </c>
      <c r="AL55" s="20">
        <f t="shared" si="4"/>
        <v>642.11603608146129</v>
      </c>
      <c r="AM55" s="59">
        <f t="shared" si="5"/>
        <v>935.44936941479455</v>
      </c>
      <c r="AN55" s="59">
        <f ca="1">AVERAGE(OFFSET($AM$3,0,0,'Données projet'!$E$10+1,1))-AVERAGE(OFFSET($H$3,0,0,'Données projet'!$E$10+1,1))</f>
        <v>388.12151914648013</v>
      </c>
      <c r="AO55" s="59">
        <f t="shared" si="36"/>
        <v>481.43684454382793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61.994385283599307</v>
      </c>
      <c r="AV55" s="21">
        <f>EXP(-LN(2)/25)*AV54+(1-EXP(-LN(2)/25))/(LN(2)/25)*Calculateur!AQ55*Calculateur!AS55*VLOOKUP('Données projet'!$B$10,Paramètres!$A$1:$I$89,3,0)*0.475*44/12</f>
        <v>24.108982022828009</v>
      </c>
      <c r="AW55" s="21">
        <f>EXP(-LN(2)/2)*AW54+(1-EXP(-LN(2)/2))/(LN(2)/2)*AQ55*AT55*VLOOKUP('Données projet'!$B$10,Paramètres!$A$1:$I$89,3,0)*0.475*44/12</f>
        <v>3.8564619898665131</v>
      </c>
      <c r="AX55" s="21">
        <f t="shared" si="6"/>
        <v>89.959829296293833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7.4</v>
      </c>
      <c r="BD55" s="12">
        <f>IF('Données projet'!$A$88&gt;35,BD54+BC55-BL54,IF(A55&lt;'Données projet'!$A$88,$BA$205^A55,IF(A55='Données projet'!$A$88,'Données projet'!$B$88,BD54+BC55-BL54)))</f>
        <v>256.8</v>
      </c>
      <c r="BE55" s="13">
        <f>BD55*VLOOKUP('Données projet'!$B$11,Paramètres!$A$1:$I$89,3,0)*VLOOKUP('Données projet'!$B$11,Paramètres!$A$1:$I$89,5,0)</f>
        <v>244.37088</v>
      </c>
      <c r="BF55" s="13">
        <f t="shared" si="37"/>
        <v>59.378956514447331</v>
      </c>
      <c r="BG55" s="20">
        <f t="shared" si="7"/>
        <v>529.03096526266245</v>
      </c>
      <c r="BH55" s="59">
        <f t="shared" si="8"/>
        <v>822.36429859599571</v>
      </c>
      <c r="BI55" s="59">
        <f ca="1">AVERAGE(OFFSET($BH$3,0,0,'Données projet'!$E$11+1,1))-AVERAGE(OFFSET($H$3,0,0,'Données projet'!$E$11+1,1))</f>
        <v>415.24818074059294</v>
      </c>
      <c r="BJ55" s="59">
        <f t="shared" si="38"/>
        <v>404.45811532046872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12.935456085234277</v>
      </c>
      <c r="BQ55" s="21">
        <f>EXP(-LN(2)/25)*BQ54+(1-EXP(-LN(2)/25))/(LN(2)/25)*Calculateur!BL55*Calculateur!BN55*VLOOKUP('Données projet'!$B$11,Paramètres!$A$1:$I$89,3,0)*0.475*44/12</f>
        <v>16.461320388458887</v>
      </c>
      <c r="BR55" s="21">
        <f>EXP(-LN(2)/2)*BR54+(1-EXP(-LN(2)/2))/(LN(2)/2)*BL55*BO55*VLOOKUP('Données projet'!$B$11,Paramètres!$A$1:$I$89,3,0)*0.475*44/12</f>
        <v>2.7576881698755251</v>
      </c>
      <c r="BS55" s="22">
        <f t="shared" si="9"/>
        <v>32.154464643568687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7.4</v>
      </c>
      <c r="BY55" s="12">
        <f>IF('Données projet'!$A$114&gt;35,BY54+BX55-CG54,IF(A55&lt;'Données projet'!$A$114,$BV$205^A55,IF(A55='Données projet'!$A$114,'Données projet'!$B$114,BY54+BX55-CG54)))</f>
        <v>256.8</v>
      </c>
      <c r="BZ55" s="13">
        <f>BY55*VLOOKUP('Données projet'!$B$12,Paramètres!$A$1:$I$89,3,0)*VLOOKUP('Données projet'!$B$12,Paramètres!$A$1:$I$89,5,0)</f>
        <v>224.34048000000004</v>
      </c>
      <c r="CA55" s="13">
        <f t="shared" si="39"/>
        <v>55.057192232003722</v>
      </c>
      <c r="CB55" s="20">
        <f t="shared" si="10"/>
        <v>486.61761247073986</v>
      </c>
      <c r="CC55" s="59">
        <f t="shared" si="11"/>
        <v>779.95094580407317</v>
      </c>
      <c r="CD55" s="59">
        <f ca="1">AVERAGE(OFFSET($CC$3,0,0,'Données projet'!$E$12+1,1))-AVERAGE(OFFSET($H$3,0,0,'Données projet'!$E$12+1,1))</f>
        <v>384.34044781465661</v>
      </c>
      <c r="CE55" s="59">
        <f t="shared" si="40"/>
        <v>374.99493809709708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14.636840892480116</v>
      </c>
      <c r="CL55" s="21">
        <f>EXP(-LN(2)/25)*CL54+(1-EXP(-LN(2)/25))/(LN(2)/25)*Calculateur!CG55*Calculateur!CI55*VLOOKUP('Données projet'!$B$12,Paramètres!$A$1:$I$89,3,0)*0.475*44/12</f>
        <v>18.626457839476156</v>
      </c>
      <c r="CM55" s="21">
        <f>EXP(-LN(2)/2)*CM54+(1-EXP(-LN(2)/2))/(LN(2)/2)*CG55*CJ55*VLOOKUP('Données projet'!$B$12,Paramètres!$A$1:$I$89,3,0)*0.475*44/12</f>
        <v>2.5316481559513022</v>
      </c>
      <c r="CN55" s="22">
        <f t="shared" si="12"/>
        <v>35.794946887907571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20.355714285714278</v>
      </c>
      <c r="CT55" s="12">
        <f>IF('Données projet'!$A$140&gt;35,CT54+CS55-DB54,IF(A55&lt;'Données projet'!$A$140,$CQ$205^A55,IF(A55='Données projet'!$A$140,'Données projet'!$B$140,CT54+CS55-DB54)))</f>
        <v>452.60714285714306</v>
      </c>
      <c r="CU55" s="17">
        <f>CT55*VLOOKUP('Données projet'!$B$13,Paramètres!$A$1:$I$89,3,0)*VLOOKUP('Données projet'!$B$13,Paramètres!$A$1:$I$89,5,0)</f>
        <v>253.007392857143</v>
      </c>
      <c r="CV55" s="13">
        <f t="shared" si="41"/>
        <v>61.229479905592257</v>
      </c>
      <c r="CW55" s="20">
        <f t="shared" si="13"/>
        <v>547.29588672843067</v>
      </c>
      <c r="CX55" s="59">
        <f t="shared" si="14"/>
        <v>840.62922006176404</v>
      </c>
      <c r="CY55" s="59">
        <f ca="1">AVERAGE(OFFSET($CX$3,0,0,'Données projet'!$E$13+1,1))-AVERAGE(OFFSET($H$3,0,0,'Données projet'!$E$13+1,1))</f>
        <v>386.66324266750968</v>
      </c>
      <c r="CZ55" s="59">
        <f t="shared" si="42"/>
        <v>356.22149461585769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69.074953264425389</v>
      </c>
      <c r="DG55" s="21">
        <f>EXP(-LN(2)/25)*DG54+(1-EXP(-LN(2)/25))/(LN(2)/25)*Calculateur!DB55*Calculateur!DD55*VLOOKUP('Données projet'!$B$13,Paramètres!$A$1:$I$89,3,0)*0.475*44/12</f>
        <v>28.320221429115801</v>
      </c>
      <c r="DH55" s="21">
        <f>EXP(-LN(2)/2)*DH54+(1-EXP(-LN(2)/2))/(LN(2)/2)*DB55*DE55*VLOOKUP('Données projet'!$B$13,Paramètres!$A$1:$I$89,3,0)*0.475*44/12</f>
        <v>5.474134231789324</v>
      </c>
      <c r="DI55" s="22">
        <f t="shared" si="15"/>
        <v>102.86930892533051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7.4</v>
      </c>
      <c r="DO55" s="12">
        <f>IF('Données projet'!$A$166&gt;35,DO54+DN55-DW54,IF(A55&lt;'Données projet'!$A$166,$DL$205^A55,IF(A55='Données projet'!$A$166,'Données projet'!$B$166,DO54+DN55-DW54)))</f>
        <v>256.8</v>
      </c>
      <c r="DP55" s="17">
        <f>DO55*VLOOKUP('Données projet'!$B$14,Paramètres!$A$1:$I$89,3,0)*VLOOKUP('Données projet'!$B$14,Paramètres!$A$1:$I$89,5,0)</f>
        <v>200.304</v>
      </c>
      <c r="DQ55" s="13">
        <f t="shared" si="43"/>
        <v>49.810971817279139</v>
      </c>
      <c r="DR55" s="20">
        <f t="shared" si="16"/>
        <v>435.61690924842782</v>
      </c>
      <c r="DS55" s="59">
        <f t="shared" si="17"/>
        <v>728.95024258176113</v>
      </c>
      <c r="DT55" s="59">
        <f ca="1">AVERAGE(OFFSET($DS$3,0,0,'Données projet'!$E$14+1,1))-AVERAGE(OFFSET($H$3,0,0,'Données projet'!$E$14+1,1))</f>
        <v>347.17417070871716</v>
      </c>
      <c r="DU55" s="59">
        <f t="shared" si="44"/>
        <v>339.56378046986441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10.602832856749407</v>
      </c>
      <c r="EB55" s="21">
        <f>EXP(-LN(2)/25)*EB54+(1-EXP(-LN(2)/25))/(LN(2)/25)*Calculateur!DW55*Calculateur!DY55*VLOOKUP('Données projet'!$B$14,Paramètres!$A$1:$I$89,3,0)*0.475*44/12</f>
        <v>13.49288556431056</v>
      </c>
      <c r="EC55" s="21">
        <f>EXP(-LN(2)/2)*EC54+(1-EXP(-LN(2)/2))/(LN(2)/2)*DW55*DZ55*VLOOKUP('Données projet'!$B$14,Paramètres!$A$1:$I$89,3,0)*0.475*44/12</f>
        <v>2.2604001392422339</v>
      </c>
      <c r="ED55" s="22">
        <f t="shared" si="18"/>
        <v>26.3561185603022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7.4</v>
      </c>
      <c r="EJ55" s="12">
        <f>IF('Données projet'!$A$192&gt;35,EJ54+EI55-ER54,IF(A55&lt;'Données projet'!$A$192,$EG$205^A55,IF(A55='Données projet'!$A$192,'Données projet'!$B$192,EJ54+EI55-ER54)))</f>
        <v>256.8</v>
      </c>
      <c r="EK55" s="17">
        <f>EJ55*VLOOKUP('Données projet'!$B$15,Paramètres!$A$1:$I$89,3,0)*VLOOKUP('Données projet'!$B$15,Paramètres!$A$1:$I$89,5,0)</f>
        <v>224.34048000000004</v>
      </c>
      <c r="EL55" s="13">
        <f t="shared" si="45"/>
        <v>55.057192232003722</v>
      </c>
      <c r="EM55" s="20">
        <f t="shared" si="19"/>
        <v>486.61761247073986</v>
      </c>
      <c r="EN55" s="59">
        <f t="shared" si="20"/>
        <v>779.95094580407317</v>
      </c>
      <c r="EO55" s="59">
        <f ca="1">AVERAGE(OFFSET($EN$3,0,0,'Données projet'!$E$15+1,1))-AVERAGE(OFFSET($H$3,0,0,'Données projet'!$E$15+1,1))</f>
        <v>384.34044781465661</v>
      </c>
      <c r="EP55" s="59">
        <f t="shared" si="46"/>
        <v>374.99493809709708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11.875172799559335</v>
      </c>
      <c r="EW55" s="21">
        <f>EXP(-LN(2)/25)*EW54+(1-EXP(-LN(2)/25))/(LN(2)/25)*Calculateur!ER55*Calculateur!ET55*VLOOKUP('Données projet'!$B$15,Paramètres!$A$1:$I$89,3,0)*0.475*44/12</f>
        <v>15.112031832027833</v>
      </c>
      <c r="EX55" s="21">
        <f>EXP(-LN(2)/2)*EX54+(1-EXP(-LN(2)/2))/(LN(2)/2)*ER55*EU55*VLOOKUP('Données projet'!$B$15,Paramètres!$A$1:$I$89,3,0)*0.475*44/12</f>
        <v>2.5316481559513022</v>
      </c>
      <c r="EY55" s="22">
        <f t="shared" si="21"/>
        <v>29.518852787538471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7.4</v>
      </c>
      <c r="FE55" s="12">
        <f>IF('Données projet'!$A$218&gt;35,FE54+FD55-FM54,IF(A55&lt;'Données projet'!$A$218,$FB$205^A55,IF(A55='Données projet'!$A$218,'Données projet'!$B$218,FE54+FD55-FM54)))</f>
        <v>256.8</v>
      </c>
      <c r="FF55" s="17">
        <f>FE55*VLOOKUP('Données projet'!$B$16,Paramètres!$A$1:$I$89,3,0)*VLOOKUP('Données projet'!$B$16,Paramètres!$A$1:$I$89,5,0)</f>
        <v>208.31616</v>
      </c>
      <c r="FG55" s="13">
        <f t="shared" si="47"/>
        <v>51.567452064520282</v>
      </c>
      <c r="FH55" s="20">
        <f t="shared" si="22"/>
        <v>452.63062434570611</v>
      </c>
      <c r="FI55" s="59">
        <f t="shared" si="23"/>
        <v>745.96395767903937</v>
      </c>
      <c r="FJ55" s="59">
        <f ca="1">AVERAGE(OFFSET($FI$3,0,0,'Données projet'!$E$16+1,1))-AVERAGE(OFFSET($H$3,0,0,'Données projet'!$E$16+1,1))</f>
        <v>359.57284550600366</v>
      </c>
      <c r="FK55" s="59">
        <f t="shared" si="48"/>
        <v>351.38386928091433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11.026946171019382</v>
      </c>
      <c r="FR55" s="21">
        <f>EXP(-LN(2)/25)*FR54+(1-EXP(-LN(2)/25))/(LN(2)/25)*Calculateur!FM55*Calculateur!FO55*VLOOKUP('Données projet'!$B$16,Paramètres!$A$1:$I$89,3,0)*0.475*44/12</f>
        <v>14.032600986882986</v>
      </c>
      <c r="FS55" s="21">
        <f>EXP(-LN(2)/2)*FS54+(1-EXP(-LN(2)/2))/(LN(2)/2)*FM55*FP55*VLOOKUP('Données projet'!$B$16,Paramètres!$A$1:$I$89,3,0)*0.475*44/12</f>
        <v>2.3508161448119234</v>
      </c>
      <c r="FT55" s="22">
        <f t="shared" si="24"/>
        <v>27.410363302714291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6">
        <f t="shared" si="1"/>
        <v>256.66666666666669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14.073749999999997</v>
      </c>
      <c r="N56" s="13">
        <f>IF('Données projet'!$A$36&gt;35,N55+M56-V55,IF(A56&lt;'Données projet'!$A$36,$K$205^A56,IF(A56='Données projet'!$A$36,'Données projet'!$B$36,N55+M56-V55)))</f>
        <v>276.21125000000006</v>
      </c>
      <c r="O56" s="13">
        <f>N56*VLOOKUP('Données projet'!$B$9,Paramètres!$A$1:$I$89,3,0)*VLOOKUP('Données projet'!$B$9,Paramètres!$A$1:$I$89,5,0)</f>
        <v>249.91593900000007</v>
      </c>
      <c r="P56" s="13">
        <f t="shared" si="33"/>
        <v>60.567940102066487</v>
      </c>
      <c r="Q56" s="20">
        <f t="shared" si="53"/>
        <v>540.7594227694326</v>
      </c>
      <c r="R56" s="59">
        <f t="shared" si="0"/>
        <v>834.09275610276586</v>
      </c>
      <c r="S56" s="59">
        <f ca="1">AVERAGE(OFFSET($R$3,0,0,'Données projet'!$E$9+1,1))-AVERAGE(OFFSET($H$3,0,0,'Données projet'!$E$9+1,1))</f>
        <v>695.0879239758051</v>
      </c>
      <c r="T56" s="59">
        <f t="shared" si="34"/>
        <v>226.22150997227476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44.407392625163531</v>
      </c>
      <c r="AB56" s="21">
        <f>EXP(-LN(2)/2)*AB55+(1-EXP(-LN(2)/2))/(LN(2)/2)*V56*Y56*VLOOKUP('Données projet'!$B$9,Paramètres!$A$1:$I$89,3,0)*0.475*44/12</f>
        <v>4.4975352297309632</v>
      </c>
      <c r="AC56" s="22">
        <f t="shared" si="3"/>
        <v>48.904927854894495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16.3825</v>
      </c>
      <c r="AI56" s="13">
        <f>IF('Données projet'!$A$62&gt;35,AI55+AH56-AQ55,IF(A56&lt;'Données projet'!$A$62,$AF$205^A56,IF(A56='Données projet'!$A$62,'Données projet'!$B$62,AI55+AH56-AQ55)))</f>
        <v>514.60249999999996</v>
      </c>
      <c r="AJ56" s="13">
        <f>AI56*VLOOKUP('Données projet'!$B$10,Paramètres!$A$1:$I$89,3,0)*VLOOKUP('Données projet'!$B$10,Paramètres!$A$1:$I$89,5,0)</f>
        <v>307.73229500000002</v>
      </c>
      <c r="AK56" s="13">
        <f t="shared" si="35"/>
        <v>72.795040933099529</v>
      </c>
      <c r="AL56" s="20">
        <f t="shared" si="4"/>
        <v>662.75177675014834</v>
      </c>
      <c r="AM56" s="59">
        <f t="shared" si="5"/>
        <v>956.0851100834816</v>
      </c>
      <c r="AN56" s="59">
        <f ca="1">AVERAGE(OFFSET($AM$3,0,0,'Données projet'!$E$10+1,1))-AVERAGE(OFFSET($H$3,0,0,'Données projet'!$E$10+1,1))</f>
        <v>388.12151914648013</v>
      </c>
      <c r="AO56" s="59">
        <f t="shared" si="36"/>
        <v>481.43684454382793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60.778713201029241</v>
      </c>
      <c r="AV56" s="21">
        <f>EXP(-LN(2)/25)*AV55+(1-EXP(-LN(2)/25))/(LN(2)/25)*Calculateur!AQ56*Calculateur!AS56*VLOOKUP('Données projet'!$B$10,Paramètres!$A$1:$I$89,3,0)*0.475*44/12</f>
        <v>23.449720641577514</v>
      </c>
      <c r="AW56" s="21">
        <f>EXP(-LN(2)/2)*AW55+(1-EXP(-LN(2)/2))/(LN(2)/2)*AQ56*AT56*VLOOKUP('Données projet'!$B$10,Paramètres!$A$1:$I$89,3,0)*0.475*44/12</f>
        <v>2.7269304244227786</v>
      </c>
      <c r="AX56" s="21">
        <f t="shared" si="6"/>
        <v>86.955364267029537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7.4</v>
      </c>
      <c r="BD56" s="12">
        <f>IF('Données projet'!$A$88&gt;35,BD55+BC56-BL55,IF(A56&lt;'Données projet'!$A$88,$BA$205^A56,IF(A56='Données projet'!$A$88,'Données projet'!$B$88,BD55+BC56-BL55)))</f>
        <v>264.2</v>
      </c>
      <c r="BE56" s="13">
        <f>BD56*VLOOKUP('Données projet'!$B$11,Paramètres!$A$1:$I$89,3,0)*VLOOKUP('Données projet'!$B$11,Paramètres!$A$1:$I$89,5,0)</f>
        <v>251.41271999999998</v>
      </c>
      <c r="BF56" s="13">
        <f t="shared" si="37"/>
        <v>60.888354295829195</v>
      </c>
      <c r="BG56" s="20">
        <f t="shared" si="7"/>
        <v>543.92437106523573</v>
      </c>
      <c r="BH56" s="59">
        <f t="shared" si="8"/>
        <v>837.2577043985691</v>
      </c>
      <c r="BI56" s="59">
        <f ca="1">AVERAGE(OFFSET($BH$3,0,0,'Données projet'!$E$11+1,1))-AVERAGE(OFFSET($H$3,0,0,'Données projet'!$E$11+1,1))</f>
        <v>415.24818074059294</v>
      </c>
      <c r="BJ56" s="59">
        <f t="shared" si="38"/>
        <v>404.45811532046872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12.681799681251986</v>
      </c>
      <c r="BQ56" s="21">
        <f>EXP(-LN(2)/25)*BQ55+(1-EXP(-LN(2)/25))/(LN(2)/25)*Calculateur!BL56*Calculateur!BN56*VLOOKUP('Données projet'!$B$11,Paramètres!$A$1:$I$89,3,0)*0.475*44/12</f>
        <v>16.011184716773261</v>
      </c>
      <c r="BR56" s="21">
        <f>EXP(-LN(2)/2)*BR55+(1-EXP(-LN(2)/2))/(LN(2)/2)*BL56*BO56*VLOOKUP('Données projet'!$B$11,Paramètres!$A$1:$I$89,3,0)*0.475*44/12</f>
        <v>1.9499800053169039</v>
      </c>
      <c r="BS56" s="22">
        <f t="shared" si="9"/>
        <v>30.642964403342148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7.4</v>
      </c>
      <c r="BY56" s="12">
        <f>IF('Données projet'!$A$114&gt;35,BY55+BX56-CG55,IF(A56&lt;'Données projet'!$A$114,$BV$205^A56,IF(A56='Données projet'!$A$114,'Données projet'!$B$114,BY55+BX56-CG55)))</f>
        <v>264.2</v>
      </c>
      <c r="BZ56" s="13">
        <f>BY56*VLOOKUP('Données projet'!$B$12,Paramètres!$A$1:$I$89,3,0)*VLOOKUP('Données projet'!$B$12,Paramètres!$A$1:$I$89,5,0)</f>
        <v>230.80512000000002</v>
      </c>
      <c r="CA56" s="13">
        <f t="shared" si="39"/>
        <v>56.456731878408327</v>
      </c>
      <c r="CB56" s="20">
        <f t="shared" si="10"/>
        <v>500.3143920215611</v>
      </c>
      <c r="CC56" s="59">
        <f t="shared" si="11"/>
        <v>793.64772535489442</v>
      </c>
      <c r="CD56" s="59">
        <f ca="1">AVERAGE(OFFSET($CC$3,0,0,'Données projet'!$E$12+1,1))-AVERAGE(OFFSET($H$3,0,0,'Données projet'!$E$12+1,1))</f>
        <v>384.34044781465661</v>
      </c>
      <c r="CE56" s="59">
        <f t="shared" si="40"/>
        <v>374.99493809709708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14.349821370169998</v>
      </c>
      <c r="CL56" s="21">
        <f>EXP(-LN(2)/25)*CL55+(1-EXP(-LN(2)/25))/(LN(2)/25)*Calculateur!CG56*Calculateur!CI56*VLOOKUP('Données projet'!$B$12,Paramètres!$A$1:$I$89,3,0)*0.475*44/12</f>
        <v>18.117116370332834</v>
      </c>
      <c r="CM56" s="21">
        <f>EXP(-LN(2)/2)*CM55+(1-EXP(-LN(2)/2))/(LN(2)/2)*CG56*CJ56*VLOOKUP('Données projet'!$B$12,Paramètres!$A$1:$I$89,3,0)*0.475*44/12</f>
        <v>1.7901455786515841</v>
      </c>
      <c r="CN56" s="22">
        <f t="shared" si="12"/>
        <v>34.257083319154411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20.355714285714278</v>
      </c>
      <c r="CT56" s="12">
        <f>IF('Données projet'!$A$140&gt;35,CT55+CS56-DB55,IF(A56&lt;'Données projet'!$A$140,$CQ$205^A56,IF(A56='Données projet'!$A$140,'Données projet'!$B$140,CT55+CS56-DB55)))</f>
        <v>472.96285714285733</v>
      </c>
      <c r="CU56" s="17">
        <f>CT56*VLOOKUP('Données projet'!$B$13,Paramètres!$A$1:$I$89,3,0)*VLOOKUP('Données projet'!$B$13,Paramètres!$A$1:$I$89,5,0)</f>
        <v>264.38623714285728</v>
      </c>
      <c r="CV56" s="13">
        <f t="shared" si="41"/>
        <v>63.656434183712321</v>
      </c>
      <c r="CW56" s="20">
        <f t="shared" si="13"/>
        <v>571.34098589377538</v>
      </c>
      <c r="CX56" s="59">
        <f t="shared" si="14"/>
        <v>864.67431922710875</v>
      </c>
      <c r="CY56" s="59">
        <f ca="1">AVERAGE(OFFSET($CX$3,0,0,'Données projet'!$E$13+1,1))-AVERAGE(OFFSET($H$3,0,0,'Données projet'!$E$13+1,1))</f>
        <v>386.66324266750968</v>
      </c>
      <c r="CZ56" s="59">
        <f t="shared" si="42"/>
        <v>356.22149461585769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67.720435562471351</v>
      </c>
      <c r="DG56" s="21">
        <f>EXP(-LN(2)/25)*DG55+(1-EXP(-LN(2)/25))/(LN(2)/25)*Calculateur!DB56*Calculateur!DD56*VLOOKUP('Données projet'!$B$13,Paramètres!$A$1:$I$89,3,0)*0.475*44/12</f>
        <v>27.54580348484091</v>
      </c>
      <c r="DH56" s="21">
        <f>EXP(-LN(2)/2)*DH55+(1-EXP(-LN(2)/2))/(LN(2)/2)*DB56*DE56*VLOOKUP('Données projet'!$B$13,Paramètres!$A$1:$I$89,3,0)*0.475*44/12</f>
        <v>3.870797436423643</v>
      </c>
      <c r="DI56" s="22">
        <f t="shared" si="15"/>
        <v>99.137036483735912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7.4</v>
      </c>
      <c r="DO56" s="12">
        <f>IF('Données projet'!$A$166&gt;35,DO55+DN56-DW55,IF(A56&lt;'Données projet'!$A$166,$DL$205^A56,IF(A56='Données projet'!$A$166,'Données projet'!$B$166,DO55+DN56-DW55)))</f>
        <v>264.2</v>
      </c>
      <c r="DP56" s="17">
        <f>DO56*VLOOKUP('Données projet'!$B$14,Paramètres!$A$1:$I$89,3,0)*VLOOKUP('Données projet'!$B$14,Paramètres!$A$1:$I$89,5,0)</f>
        <v>206.07599999999999</v>
      </c>
      <c r="DQ56" s="13">
        <f t="shared" si="43"/>
        <v>51.077153891920105</v>
      </c>
      <c r="DR56" s="20">
        <f t="shared" si="16"/>
        <v>447.87507636176088</v>
      </c>
      <c r="DS56" s="59">
        <f t="shared" si="17"/>
        <v>741.20840969509413</v>
      </c>
      <c r="DT56" s="59">
        <f ca="1">AVERAGE(OFFSET($DS$3,0,0,'Données projet'!$E$14+1,1))-AVERAGE(OFFSET($H$3,0,0,'Données projet'!$E$14+1,1))</f>
        <v>347.17417070871716</v>
      </c>
      <c r="DU56" s="59">
        <f t="shared" si="44"/>
        <v>339.56378046986441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10.394917771518022</v>
      </c>
      <c r="EB56" s="21">
        <f>EXP(-LN(2)/25)*EB55+(1-EXP(-LN(2)/25))/(LN(2)/25)*Calculateur!DW56*Calculateur!DY56*VLOOKUP('Données projet'!$B$14,Paramètres!$A$1:$I$89,3,0)*0.475*44/12</f>
        <v>13.123921898994475</v>
      </c>
      <c r="EC56" s="21">
        <f>EXP(-LN(2)/2)*EC55+(1-EXP(-LN(2)/2))/(LN(2)/2)*DW56*DZ56*VLOOKUP('Données projet'!$B$14,Paramètres!$A$1:$I$89,3,0)*0.475*44/12</f>
        <v>1.5983442666532</v>
      </c>
      <c r="ED56" s="22">
        <f t="shared" si="18"/>
        <v>25.117183937165699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7.4</v>
      </c>
      <c r="EJ56" s="12">
        <f>IF('Données projet'!$A$192&gt;35,EJ55+EI56-ER55,IF(A56&lt;'Données projet'!$A$192,$EG$205^A56,IF(A56='Données projet'!$A$192,'Données projet'!$B$192,EJ55+EI56-ER55)))</f>
        <v>264.2</v>
      </c>
      <c r="EK56" s="17">
        <f>EJ56*VLOOKUP('Données projet'!$B$15,Paramètres!$A$1:$I$89,3,0)*VLOOKUP('Données projet'!$B$15,Paramètres!$A$1:$I$89,5,0)</f>
        <v>230.80512000000002</v>
      </c>
      <c r="EL56" s="13">
        <f t="shared" si="45"/>
        <v>56.456731878408327</v>
      </c>
      <c r="EM56" s="20">
        <f t="shared" si="19"/>
        <v>500.3143920215611</v>
      </c>
      <c r="EN56" s="59">
        <f t="shared" si="20"/>
        <v>793.64772535489442</v>
      </c>
      <c r="EO56" s="59">
        <f ca="1">AVERAGE(OFFSET($EN$3,0,0,'Données projet'!$E$15+1,1))-AVERAGE(OFFSET($H$3,0,0,'Données projet'!$E$15+1,1))</f>
        <v>384.34044781465661</v>
      </c>
      <c r="EP56" s="59">
        <f t="shared" si="46"/>
        <v>374.99493809709708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11.642307904100184</v>
      </c>
      <c r="EW56" s="21">
        <f>EXP(-LN(2)/25)*EW55+(1-EXP(-LN(2)/25))/(LN(2)/25)*Calculateur!ER56*Calculateur!ET56*VLOOKUP('Données projet'!$B$15,Paramètres!$A$1:$I$89,3,0)*0.475*44/12</f>
        <v>14.698792526873817</v>
      </c>
      <c r="EX56" s="21">
        <f>EXP(-LN(2)/2)*EX55+(1-EXP(-LN(2)/2))/(LN(2)/2)*ER56*EU56*VLOOKUP('Données projet'!$B$15,Paramètres!$A$1:$I$89,3,0)*0.475*44/12</f>
        <v>1.7901455786515841</v>
      </c>
      <c r="EY56" s="22">
        <f t="shared" si="21"/>
        <v>28.131246009625585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7.4</v>
      </c>
      <c r="FE56" s="12">
        <f>IF('Données projet'!$A$218&gt;35,FE55+FD56-FM55,IF(A56&lt;'Données projet'!$A$218,$FB$205^A56,IF(A56='Données projet'!$A$218,'Données projet'!$B$218,FE55+FD56-FM55)))</f>
        <v>264.2</v>
      </c>
      <c r="FF56" s="17">
        <f>FE56*VLOOKUP('Données projet'!$B$16,Paramètres!$A$1:$I$89,3,0)*VLOOKUP('Données projet'!$B$16,Paramètres!$A$1:$I$89,5,0)</f>
        <v>214.31903999999997</v>
      </c>
      <c r="FG56" s="13">
        <f t="shared" si="47"/>
        <v>52.878283414659698</v>
      </c>
      <c r="FH56" s="20">
        <f t="shared" si="22"/>
        <v>465.3686716138655</v>
      </c>
      <c r="FI56" s="59">
        <f t="shared" si="23"/>
        <v>758.70200494719882</v>
      </c>
      <c r="FJ56" s="59">
        <f ca="1">AVERAGE(OFFSET($FI$3,0,0,'Données projet'!$E$16+1,1))-AVERAGE(OFFSET($H$3,0,0,'Données projet'!$E$16+1,1))</f>
        <v>359.57284550600366</v>
      </c>
      <c r="FK56" s="59">
        <f t="shared" si="48"/>
        <v>351.38386928091433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10.810714482378742</v>
      </c>
      <c r="FR56" s="21">
        <f>EXP(-LN(2)/25)*FR55+(1-EXP(-LN(2)/25))/(LN(2)/25)*Calculateur!FM56*Calculateur!FO56*VLOOKUP('Données projet'!$B$16,Paramètres!$A$1:$I$89,3,0)*0.475*44/12</f>
        <v>13.648878774954257</v>
      </c>
      <c r="FS56" s="21">
        <f>EXP(-LN(2)/2)*FS55+(1-EXP(-LN(2)/2))/(LN(2)/2)*FM56*FP56*VLOOKUP('Données projet'!$B$16,Paramètres!$A$1:$I$89,3,0)*0.475*44/12</f>
        <v>1.662278037319328</v>
      </c>
      <c r="FT56" s="22">
        <f t="shared" si="24"/>
        <v>26.121871294652326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6">
        <f t="shared" si="1"/>
        <v>256.66666666666669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14.073749999999997</v>
      </c>
      <c r="N57" s="13">
        <f>IF('Données projet'!$A$36&gt;35,N56+M57-V56,IF(A57&lt;'Données projet'!$A$36,$K$205^A57,IF(A57='Données projet'!$A$36,'Données projet'!$B$36,N56+M57-V56)))</f>
        <v>290.28500000000008</v>
      </c>
      <c r="O57" s="13">
        <f>N57*VLOOKUP('Données projet'!$B$9,Paramètres!$A$1:$I$89,3,0)*VLOOKUP('Données projet'!$B$9,Paramètres!$A$1:$I$89,5,0)</f>
        <v>262.64986800000008</v>
      </c>
      <c r="P57" s="13">
        <f t="shared" si="33"/>
        <v>63.286888949205185</v>
      </c>
      <c r="Q57" s="20">
        <f t="shared" si="53"/>
        <v>567.67318501986585</v>
      </c>
      <c r="R57" s="59">
        <f t="shared" si="0"/>
        <v>861.00651835319923</v>
      </c>
      <c r="S57" s="59">
        <f ca="1">AVERAGE(OFFSET($R$3,0,0,'Données projet'!$E$9+1,1))-AVERAGE(OFFSET($H$3,0,0,'Données projet'!$E$9+1,1))</f>
        <v>695.0879239758051</v>
      </c>
      <c r="T57" s="59">
        <f t="shared" si="34"/>
        <v>226.22150997227476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43.193070138545153</v>
      </c>
      <c r="AB57" s="21">
        <f>EXP(-LN(2)/2)*AB56+(1-EXP(-LN(2)/2))/(LN(2)/2)*V57*Y57*VLOOKUP('Données projet'!$B$9,Paramètres!$A$1:$I$89,3,0)*0.475*44/12</f>
        <v>3.180237659568161</v>
      </c>
      <c r="AC57" s="22">
        <f t="shared" si="3"/>
        <v>46.373307798113316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16.3825</v>
      </c>
      <c r="AI57" s="13">
        <f>IF('Données projet'!$A$62&gt;35,AI56+AH57-AQ56,IF(A57&lt;'Données projet'!$A$62,$AF$205^A57,IF(A57='Données projet'!$A$62,'Données projet'!$B$62,AI56+AH57-AQ56)))</f>
        <v>530.98500000000001</v>
      </c>
      <c r="AJ57" s="13">
        <f>AI57*VLOOKUP('Données projet'!$B$10,Paramètres!$A$1:$I$89,3,0)*VLOOKUP('Données projet'!$B$10,Paramètres!$A$1:$I$89,5,0)</f>
        <v>317.52903000000003</v>
      </c>
      <c r="AK57" s="13">
        <f t="shared" si="35"/>
        <v>74.838988577247719</v>
      </c>
      <c r="AL57" s="20">
        <f t="shared" si="4"/>
        <v>683.37429902203985</v>
      </c>
      <c r="AM57" s="59">
        <f t="shared" si="5"/>
        <v>976.70763235537311</v>
      </c>
      <c r="AN57" s="59">
        <f ca="1">AVERAGE(OFFSET($AM$3,0,0,'Données projet'!$E$10+1,1))-AVERAGE(OFFSET($H$3,0,0,'Données projet'!$E$10+1,1))</f>
        <v>388.12151914648013</v>
      </c>
      <c r="AO57" s="59">
        <f t="shared" si="36"/>
        <v>481.43684454382793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59.586879706511617</v>
      </c>
      <c r="AV57" s="21">
        <f>EXP(-LN(2)/25)*AV56+(1-EXP(-LN(2)/25))/(LN(2)/25)*Calculateur!AQ57*Calculateur!AS57*VLOOKUP('Données projet'!$B$10,Paramètres!$A$1:$I$89,3,0)*0.475*44/12</f>
        <v>22.808486797466362</v>
      </c>
      <c r="AW57" s="21">
        <f>EXP(-LN(2)/2)*AW56+(1-EXP(-LN(2)/2))/(LN(2)/2)*AQ57*AT57*VLOOKUP('Données projet'!$B$10,Paramètres!$A$1:$I$89,3,0)*0.475*44/12</f>
        <v>1.928230994933257</v>
      </c>
      <c r="AX57" s="21">
        <f t="shared" si="6"/>
        <v>84.323597498911241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7.4</v>
      </c>
      <c r="BD57" s="12">
        <f>IF('Données projet'!$A$88&gt;35,BD56+BC57-BL56,IF(A57&lt;'Données projet'!$A$88,$BA$205^A57,IF(A57='Données projet'!$A$88,'Données projet'!$B$88,BD56+BC57-BL56)))</f>
        <v>271.59999999999997</v>
      </c>
      <c r="BE57" s="13">
        <f>BD57*VLOOKUP('Données projet'!$B$11,Paramètres!$A$1:$I$89,3,0)*VLOOKUP('Données projet'!$B$11,Paramètres!$A$1:$I$89,5,0)</f>
        <v>258.45456000000001</v>
      </c>
      <c r="BF57" s="13">
        <f t="shared" si="37"/>
        <v>62.392838386261957</v>
      </c>
      <c r="BG57" s="20">
        <f t="shared" si="7"/>
        <v>558.8092188560729</v>
      </c>
      <c r="BH57" s="59">
        <f t="shared" si="8"/>
        <v>852.14255218940616</v>
      </c>
      <c r="BI57" s="59">
        <f ca="1">AVERAGE(OFFSET($BH$3,0,0,'Données projet'!$E$11+1,1))-AVERAGE(OFFSET($H$3,0,0,'Données projet'!$E$11+1,1))</f>
        <v>415.24818074059294</v>
      </c>
      <c r="BJ57" s="59">
        <f t="shared" si="38"/>
        <v>404.45811532046872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12.43311732463666</v>
      </c>
      <c r="BQ57" s="21">
        <f>EXP(-LN(2)/25)*BQ56+(1-EXP(-LN(2)/25))/(LN(2)/25)*Calculateur!BL57*Calculateur!BN57*VLOOKUP('Données projet'!$B$11,Paramètres!$A$1:$I$89,3,0)*0.475*44/12</f>
        <v>15.573358028701486</v>
      </c>
      <c r="BR57" s="21">
        <f>EXP(-LN(2)/2)*BR56+(1-EXP(-LN(2)/2))/(LN(2)/2)*BL57*BO57*VLOOKUP('Données projet'!$B$11,Paramètres!$A$1:$I$89,3,0)*0.475*44/12</f>
        <v>1.3788440849377628</v>
      </c>
      <c r="BS57" s="22">
        <f t="shared" si="9"/>
        <v>29.385319438275911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7.4</v>
      </c>
      <c r="BY57" s="12">
        <f>IF('Données projet'!$A$114&gt;35,BY56+BX57-CG56,IF(A57&lt;'Données projet'!$A$114,$BV$205^A57,IF(A57='Données projet'!$A$114,'Données projet'!$B$114,BY56+BX57-CG56)))</f>
        <v>271.59999999999997</v>
      </c>
      <c r="BZ57" s="13">
        <f>BY57*VLOOKUP('Données projet'!$B$12,Paramètres!$A$1:$I$89,3,0)*VLOOKUP('Données projet'!$B$12,Paramètres!$A$1:$I$89,5,0)</f>
        <v>237.26976000000002</v>
      </c>
      <c r="CA57" s="13">
        <f t="shared" si="39"/>
        <v>57.851715465847946</v>
      </c>
      <c r="CB57" s="20">
        <f t="shared" si="10"/>
        <v>514.00323643635181</v>
      </c>
      <c r="CC57" s="59">
        <f t="shared" si="11"/>
        <v>807.33656976968518</v>
      </c>
      <c r="CD57" s="59">
        <f ca="1">AVERAGE(OFFSET($CC$3,0,0,'Données projet'!$E$12+1,1))-AVERAGE(OFFSET($H$3,0,0,'Données projet'!$E$12+1,1))</f>
        <v>384.34044781465661</v>
      </c>
      <c r="CE57" s="59">
        <f t="shared" si="40"/>
        <v>374.99493809709708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14.06843012562776</v>
      </c>
      <c r="CL57" s="21">
        <f>EXP(-LN(2)/25)*CL56+(1-EXP(-LN(2)/25))/(LN(2)/25)*Calculateur!CG57*Calculateur!CI57*VLOOKUP('Données projet'!$B$12,Paramètres!$A$1:$I$89,3,0)*0.475*44/12</f>
        <v>17.621702870448338</v>
      </c>
      <c r="CM57" s="21">
        <f>EXP(-LN(2)/2)*CM56+(1-EXP(-LN(2)/2))/(LN(2)/2)*CG57*CJ57*VLOOKUP('Données projet'!$B$12,Paramètres!$A$1:$I$89,3,0)*0.475*44/12</f>
        <v>1.2658240779756513</v>
      </c>
      <c r="CN57" s="22">
        <f t="shared" si="12"/>
        <v>32.955957074051753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20.355714285714278</v>
      </c>
      <c r="CT57" s="12">
        <f>IF('Données projet'!$A$140&gt;35,CT56+CS57-DB56,IF(A57&lt;'Données projet'!$A$140,$CQ$205^A57,IF(A57='Données projet'!$A$140,'Données projet'!$B$140,CT56+CS57-DB56)))</f>
        <v>493.3185714285716</v>
      </c>
      <c r="CU57" s="17">
        <f>CT57*VLOOKUP('Données projet'!$B$13,Paramètres!$A$1:$I$89,3,0)*VLOOKUP('Données projet'!$B$13,Paramètres!$A$1:$I$89,5,0)</f>
        <v>275.76508142857153</v>
      </c>
      <c r="CV57" s="13">
        <f t="shared" si="41"/>
        <v>66.071256581811042</v>
      </c>
      <c r="CW57" s="20">
        <f t="shared" si="13"/>
        <v>595.36495536808297</v>
      </c>
      <c r="CX57" s="59">
        <f t="shared" si="14"/>
        <v>888.69828870141623</v>
      </c>
      <c r="CY57" s="59">
        <f ca="1">AVERAGE(OFFSET($CX$3,0,0,'Données projet'!$E$13+1,1))-AVERAGE(OFFSET($H$3,0,0,'Données projet'!$E$13+1,1))</f>
        <v>386.66324266750968</v>
      </c>
      <c r="CZ57" s="59">
        <f t="shared" si="42"/>
        <v>356.22149461585769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66.392479126478406</v>
      </c>
      <c r="DG57" s="21">
        <f>EXP(-LN(2)/25)*DG56+(1-EXP(-LN(2)/25))/(LN(2)/25)*Calculateur!DB57*Calculateur!DD57*VLOOKUP('Données projet'!$B$13,Paramètres!$A$1:$I$89,3,0)*0.475*44/12</f>
        <v>26.792562039977085</v>
      </c>
      <c r="DH57" s="21">
        <f>EXP(-LN(2)/2)*DH56+(1-EXP(-LN(2)/2))/(LN(2)/2)*DB57*DE57*VLOOKUP('Données projet'!$B$13,Paramètres!$A$1:$I$89,3,0)*0.475*44/12</f>
        <v>2.7370671158946625</v>
      </c>
      <c r="DI57" s="22">
        <f t="shared" si="15"/>
        <v>95.922108282350152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7.4</v>
      </c>
      <c r="DO57" s="12">
        <f>IF('Données projet'!$A$166&gt;35,DO56+DN57-DW56,IF(A57&lt;'Données projet'!$A$166,$DL$205^A57,IF(A57='Données projet'!$A$166,'Données projet'!$B$166,DO56+DN57-DW56)))</f>
        <v>271.59999999999997</v>
      </c>
      <c r="DP57" s="17">
        <f>DO57*VLOOKUP('Données projet'!$B$14,Paramètres!$A$1:$I$89,3,0)*VLOOKUP('Données projet'!$B$14,Paramètres!$A$1:$I$89,5,0)</f>
        <v>211.84799999999998</v>
      </c>
      <c r="DQ57" s="13">
        <f t="shared" si="43"/>
        <v>52.339214039606517</v>
      </c>
      <c r="DR57" s="20">
        <f t="shared" si="16"/>
        <v>460.12606445231467</v>
      </c>
      <c r="DS57" s="59">
        <f t="shared" si="17"/>
        <v>753.45939778564798</v>
      </c>
      <c r="DT57" s="59">
        <f ca="1">AVERAGE(OFFSET($DS$3,0,0,'Données projet'!$E$14+1,1))-AVERAGE(OFFSET($H$3,0,0,'Données projet'!$E$14+1,1))</f>
        <v>347.17417070871716</v>
      </c>
      <c r="DU57" s="59">
        <f t="shared" si="44"/>
        <v>339.56378046986441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10.191079774292344</v>
      </c>
      <c r="EB57" s="21">
        <f>EXP(-LN(2)/25)*EB56+(1-EXP(-LN(2)/25))/(LN(2)/25)*Calculateur!DW57*Calculateur!DY57*VLOOKUP('Données projet'!$B$14,Paramètres!$A$1:$I$89,3,0)*0.475*44/12</f>
        <v>12.765047564509413</v>
      </c>
      <c r="EC57" s="21">
        <f>EXP(-LN(2)/2)*EC56+(1-EXP(-LN(2)/2))/(LN(2)/2)*DW57*DZ57*VLOOKUP('Données projet'!$B$14,Paramètres!$A$1:$I$89,3,0)*0.475*44/12</f>
        <v>1.1302000696211172</v>
      </c>
      <c r="ED57" s="22">
        <f t="shared" si="18"/>
        <v>24.086327408422875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7.4</v>
      </c>
      <c r="EJ57" s="12">
        <f>IF('Données projet'!$A$192&gt;35,EJ56+EI57-ER56,IF(A57&lt;'Données projet'!$A$192,$EG$205^A57,IF(A57='Données projet'!$A$192,'Données projet'!$B$192,EJ56+EI57-ER56)))</f>
        <v>271.59999999999997</v>
      </c>
      <c r="EK57" s="17">
        <f>EJ57*VLOOKUP('Données projet'!$B$15,Paramètres!$A$1:$I$89,3,0)*VLOOKUP('Données projet'!$B$15,Paramètres!$A$1:$I$89,5,0)</f>
        <v>237.26976000000002</v>
      </c>
      <c r="EL57" s="13">
        <f t="shared" si="45"/>
        <v>57.851715465847946</v>
      </c>
      <c r="EM57" s="20">
        <f t="shared" si="19"/>
        <v>514.00323643635181</v>
      </c>
      <c r="EN57" s="59">
        <f t="shared" si="20"/>
        <v>807.33656976968518</v>
      </c>
      <c r="EO57" s="59">
        <f ca="1">AVERAGE(OFFSET($EN$3,0,0,'Données projet'!$E$15+1,1))-AVERAGE(OFFSET($H$3,0,0,'Données projet'!$E$15+1,1))</f>
        <v>384.34044781465661</v>
      </c>
      <c r="EP57" s="59">
        <f t="shared" si="46"/>
        <v>374.99493809709708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11.414009347207424</v>
      </c>
      <c r="EW57" s="21">
        <f>EXP(-LN(2)/25)*EW56+(1-EXP(-LN(2)/25))/(LN(2)/25)*Calculateur!ER57*Calculateur!ET57*VLOOKUP('Données projet'!$B$15,Paramètres!$A$1:$I$89,3,0)*0.475*44/12</f>
        <v>14.296853272250548</v>
      </c>
      <c r="EX57" s="21">
        <f>EXP(-LN(2)/2)*EX56+(1-EXP(-LN(2)/2))/(LN(2)/2)*ER57*EU57*VLOOKUP('Données projet'!$B$15,Paramètres!$A$1:$I$89,3,0)*0.475*44/12</f>
        <v>1.2658240779756513</v>
      </c>
      <c r="EY57" s="22">
        <f t="shared" si="21"/>
        <v>26.976686697433621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7.4</v>
      </c>
      <c r="FE57" s="12">
        <f>IF('Données projet'!$A$218&gt;35,FE56+FD57-FM56,IF(A57&lt;'Données projet'!$A$218,$FB$205^A57,IF(A57='Données projet'!$A$218,'Données projet'!$B$218,FE56+FD57-FM56)))</f>
        <v>271.59999999999997</v>
      </c>
      <c r="FF57" s="17">
        <f>FE57*VLOOKUP('Données projet'!$B$16,Paramètres!$A$1:$I$89,3,0)*VLOOKUP('Données projet'!$B$16,Paramètres!$A$1:$I$89,5,0)</f>
        <v>220.32192000000001</v>
      </c>
      <c r="FG57" s="13">
        <f t="shared" si="47"/>
        <v>54.18484748666976</v>
      </c>
      <c r="FH57" s="20">
        <f t="shared" si="22"/>
        <v>478.09928670594991</v>
      </c>
      <c r="FI57" s="59">
        <f t="shared" si="23"/>
        <v>771.43262003928317</v>
      </c>
      <c r="FJ57" s="59">
        <f ca="1">AVERAGE(OFFSET($FI$3,0,0,'Données projet'!$E$16+1,1))-AVERAGE(OFFSET($H$3,0,0,'Données projet'!$E$16+1,1))</f>
        <v>359.57284550600366</v>
      </c>
      <c r="FK57" s="59">
        <f t="shared" si="48"/>
        <v>351.38386928091433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10.598722965264038</v>
      </c>
      <c r="FR57" s="21">
        <f>EXP(-LN(2)/25)*FR56+(1-EXP(-LN(2)/25))/(LN(2)/25)*Calculateur!FM57*Calculateur!FO57*VLOOKUP('Données projet'!$B$16,Paramètres!$A$1:$I$89,3,0)*0.475*44/12</f>
        <v>13.275649467089792</v>
      </c>
      <c r="FS57" s="21">
        <f>EXP(-LN(2)/2)*FS56+(1-EXP(-LN(2)/2))/(LN(2)/2)*FM57*FP57*VLOOKUP('Données projet'!$B$16,Paramètres!$A$1:$I$89,3,0)*0.475*44/12</f>
        <v>1.1754080724059619</v>
      </c>
      <c r="FT57" s="22">
        <f t="shared" si="24"/>
        <v>25.049780504759791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6">
        <f t="shared" si="1"/>
        <v>256.66666666666669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14.073749999999997</v>
      </c>
      <c r="N58" s="13">
        <f>IF('Données projet'!$A$36&gt;35,N57+M58-V57,IF(A58&lt;'Données projet'!$A$36,$K$205^A58,IF(A58='Données projet'!$A$36,'Données projet'!$B$36,N57+M58-V57)))</f>
        <v>304.3587500000001</v>
      </c>
      <c r="O58" s="13">
        <f>N58*VLOOKUP('Données projet'!$B$9,Paramètres!$A$1:$I$89,3,0)*VLOOKUP('Données projet'!$B$9,Paramètres!$A$1:$I$89,5,0)</f>
        <v>275.38379700000007</v>
      </c>
      <c r="P58" s="13">
        <f t="shared" si="33"/>
        <v>65.990530656055242</v>
      </c>
      <c r="Q58" s="20">
        <f t="shared" si="53"/>
        <v>594.56028733429628</v>
      </c>
      <c r="R58" s="59">
        <f t="shared" si="0"/>
        <v>887.89362066762965</v>
      </c>
      <c r="S58" s="59">
        <f ca="1">AVERAGE(OFFSET($R$3,0,0,'Données projet'!$E$9+1,1))-AVERAGE(OFFSET($H$3,0,0,'Données projet'!$E$9+1,1))</f>
        <v>695.0879239758051</v>
      </c>
      <c r="T58" s="59">
        <f t="shared" si="34"/>
        <v>226.22150997227476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42.011953364181799</v>
      </c>
      <c r="AB58" s="21">
        <f>EXP(-LN(2)/2)*AB57+(1-EXP(-LN(2)/2))/(LN(2)/2)*V58*Y58*VLOOKUP('Données projet'!$B$9,Paramètres!$A$1:$I$89,3,0)*0.475*44/12</f>
        <v>2.2487676148654816</v>
      </c>
      <c r="AC58" s="22">
        <f t="shared" si="3"/>
        <v>44.260720979047278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16.3825</v>
      </c>
      <c r="AI58" s="13">
        <f>IF('Données projet'!$A$62&gt;35,AI57+AH58-AQ57,IF(A58&lt;'Données projet'!$A$62,$AF$205^A58,IF(A58='Données projet'!$A$62,'Données projet'!$B$62,AI57+AH58-AQ57)))</f>
        <v>547.36750000000006</v>
      </c>
      <c r="AJ58" s="13">
        <f>AI58*VLOOKUP('Données projet'!$B$10,Paramètres!$A$1:$I$89,3,0)*VLOOKUP('Données projet'!$B$10,Paramètres!$A$1:$I$89,5,0)</f>
        <v>327.32576500000005</v>
      </c>
      <c r="AK58" s="13">
        <f t="shared" si="35"/>
        <v>76.875607742037758</v>
      </c>
      <c r="AL58" s="20">
        <f t="shared" si="4"/>
        <v>703.9840575257158</v>
      </c>
      <c r="AM58" s="59">
        <f t="shared" si="5"/>
        <v>997.31739085904906</v>
      </c>
      <c r="AN58" s="59">
        <f ca="1">AVERAGE(OFFSET($AM$3,0,0,'Données projet'!$E$10+1,1))-AVERAGE(OFFSET($H$3,0,0,'Données projet'!$E$10+1,1))</f>
        <v>388.12151914648013</v>
      </c>
      <c r="AO58" s="59">
        <f t="shared" si="36"/>
        <v>481.43684454382793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58.418417339874836</v>
      </c>
      <c r="AV58" s="21">
        <f>EXP(-LN(2)/25)*AV57+(1-EXP(-LN(2)/25))/(LN(2)/25)*Calculateur!AQ58*Calculateur!AS58*VLOOKUP('Données projet'!$B$10,Paramètres!$A$1:$I$89,3,0)*0.475*44/12</f>
        <v>22.184787526543452</v>
      </c>
      <c r="AW58" s="21">
        <f>EXP(-LN(2)/2)*AW57+(1-EXP(-LN(2)/2))/(LN(2)/2)*AQ58*AT58*VLOOKUP('Données projet'!$B$10,Paramètres!$A$1:$I$89,3,0)*0.475*44/12</f>
        <v>1.3634652122113895</v>
      </c>
      <c r="AX58" s="21">
        <f t="shared" si="6"/>
        <v>81.966670078629676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279</v>
      </c>
      <c r="BB58" s="12">
        <f>VLOOKUP(A58,'Données projet'!$A$87:$I$107,9,0)</f>
        <v>7.4</v>
      </c>
      <c r="BC58" s="12">
        <f t="array" ref="BC58">INDEX(BB:BB,MIN(IF(ISNUMBER(BB58:BB254),ROW(BB58:BB254),"")))</f>
        <v>7.4</v>
      </c>
      <c r="BD58" s="12">
        <f>IF('Données projet'!$A$88&gt;35,BD57+BC58-BL57,IF(A58&lt;'Données projet'!$A$88,$BA$205^A58,IF(A58='Données projet'!$A$88,'Données projet'!$B$88,BD57+BC58-BL57)))</f>
        <v>278.99999999999994</v>
      </c>
      <c r="BE58" s="13">
        <f>BD58*VLOOKUP('Données projet'!$B$11,Paramètres!$A$1:$I$89,3,0)*VLOOKUP('Données projet'!$B$11,Paramètres!$A$1:$I$89,5,0)</f>
        <v>265.49639999999994</v>
      </c>
      <c r="BF58" s="13">
        <f t="shared" si="37"/>
        <v>63.892558047989588</v>
      </c>
      <c r="BG58" s="20">
        <f t="shared" si="7"/>
        <v>573.68576860024848</v>
      </c>
      <c r="BH58" s="59">
        <f t="shared" si="8"/>
        <v>867.01910193358185</v>
      </c>
      <c r="BI58" s="59">
        <f ca="1">AVERAGE(OFFSET($BH$3,0,0,'Données projet'!$E$11+1,1))-AVERAGE(OFFSET($H$3,0,0,'Données projet'!$E$11+1,1))</f>
        <v>415.24818074059294</v>
      </c>
      <c r="BJ58" s="59">
        <f t="shared" si="38"/>
        <v>404.45811532046872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16</v>
      </c>
      <c r="BM58" s="16">
        <f>IF(ISNA(VLOOKUP(A58,'Données projet'!$A$87:$I$107,5,0)),0%,VLOOKUP(A58,'Données projet'!$A$87:$I$107,5,0)*VLOOKUP('Données projet'!$B$11,Paramètres!$A$1:$I$89,7,0))</f>
        <v>0.1075</v>
      </c>
      <c r="BN58" s="16">
        <f>IF(ISNA(VLOOKUP(A58,'Données projet'!$A$87:$I$107,6,0)),0%,VLOOKUP(A58,'Données projet'!$A$87:$I$107,6,0)*VLOOKUP('Données projet'!$B$11,Paramètres!$A$1:$I$89,7,0))</f>
        <v>0.1075</v>
      </c>
      <c r="BO58" s="16">
        <f>IF(ISNA(VLOOKUP(A58,'Données projet'!$A$87:$I$107,7,0)),0%,VLOOKUP(A58,'Données projet'!$A$87:$I$107,7,0))</f>
        <v>0.25</v>
      </c>
      <c r="BP58" s="21">
        <f>EXP(-LN(2)/35)*BP57+(1-EXP(-LN(2)/35))/(LN(2)/35)*BL58*BM58*VLOOKUP('Données projet'!$B$11,Paramètres!$A$1:$I$89,3,0)*0.475*44/12</f>
        <v>13.998692331994615</v>
      </c>
      <c r="BQ58" s="21">
        <f>EXP(-LN(2)/25)*BQ57+(1-EXP(-LN(2)/25))/(LN(2)/25)*Calculateur!BL58*Calculateur!BN58*VLOOKUP('Données projet'!$B$11,Paramètres!$A$1:$I$89,3,0)*0.475*44/12</f>
        <v>16.949760367227775</v>
      </c>
      <c r="BR58" s="21">
        <f>EXP(-LN(2)/2)*BR57+(1-EXP(-LN(2)/2))/(LN(2)/2)*BL58*BO58*VLOOKUP('Données projet'!$B$11,Paramètres!$A$1:$I$89,3,0)*0.475*44/12</f>
        <v>4.5664308504124014</v>
      </c>
      <c r="BS58" s="22">
        <f t="shared" si="9"/>
        <v>35.514883549634789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279</v>
      </c>
      <c r="BW58" s="12">
        <f>VLOOKUP(A58,'Données projet'!$A$113:$I$133,9,0)</f>
        <v>7.4</v>
      </c>
      <c r="BX58" s="12">
        <f t="array" ref="BX58">INDEX(BW:BW,MIN(IF(ISNUMBER(BW58:BW254),ROW(BW58:BW254),"")))</f>
        <v>7.4</v>
      </c>
      <c r="BY58" s="12">
        <f>IF('Données projet'!$A$114&gt;35,BY57+BX58-CG57,IF(A58&lt;'Données projet'!$A$114,$BV$205^A58,IF(A58='Données projet'!$A$114,'Données projet'!$B$114,BY57+BX58-CG57)))</f>
        <v>278.99999999999994</v>
      </c>
      <c r="BZ58" s="13">
        <f>BY58*VLOOKUP('Données projet'!$B$12,Paramètres!$A$1:$I$89,3,0)*VLOOKUP('Données projet'!$B$12,Paramètres!$A$1:$I$89,5,0)</f>
        <v>243.73439999999997</v>
      </c>
      <c r="CA58" s="13">
        <f t="shared" si="39"/>
        <v>59.242281392848817</v>
      </c>
      <c r="CB58" s="20">
        <f t="shared" si="10"/>
        <v>527.68438675921152</v>
      </c>
      <c r="CC58" s="59">
        <f t="shared" si="11"/>
        <v>821.01772009254478</v>
      </c>
      <c r="CD58" s="59">
        <f ca="1">AVERAGE(OFFSET($CC$3,0,0,'Données projet'!$E$12+1,1))-AVERAGE(OFFSET($H$3,0,0,'Données projet'!$E$12+1,1))</f>
        <v>384.34044781465661</v>
      </c>
      <c r="CE58" s="59">
        <f t="shared" si="40"/>
        <v>374.99493809709708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16</v>
      </c>
      <c r="CH58" s="16">
        <f>IF(ISNA(VLOOKUP(A58,'Données projet'!$A$113:$I$133,5,0)),0%,VLOOKUP(A58,'Données projet'!$A$113:$I$133,5,0)*VLOOKUP('Données projet'!$B$12,Paramètres!$A$1:$I$89,7,0))</f>
        <v>0.13250000000000001</v>
      </c>
      <c r="CI58" s="16">
        <f>IF(ISNA(VLOOKUP(A58,'Données projet'!$A$113:$I$133,6,0)),0%,VLOOKUP(A58,'Données projet'!$A$113:$I$133,6,0)*VLOOKUP('Données projet'!$B$12,Paramètres!$A$1:$I$89,7,0))</f>
        <v>0.13250000000000001</v>
      </c>
      <c r="CJ58" s="16">
        <f>IF(ISNA(VLOOKUP(A58,'Données projet'!$A$113:$I$133,7,0)),0%,VLOOKUP(A58,'Données projet'!$A$113:$I$133,7,0))</f>
        <v>0.25</v>
      </c>
      <c r="CK58" s="21">
        <f>EXP(-LN(2)/35)*CK57+(1-EXP(-LN(2)/35))/(LN(2)/35)*CG58*CH58*VLOOKUP('Données projet'!$B$12,Paramètres!$A$1:$I$89,3,0)*0.475*44/12</f>
        <v>15.839923309706451</v>
      </c>
      <c r="CL58" s="21">
        <f>EXP(-LN(2)/25)*CL57+(1-EXP(-LN(2)/25))/(LN(2)/25)*Calculateur!CG58*Calculateur!CI58*VLOOKUP('Données projet'!$B$12,Paramètres!$A$1:$I$89,3,0)*0.475*44/12</f>
        <v>19.179141734629059</v>
      </c>
      <c r="CM58" s="21">
        <f>EXP(-LN(2)/2)*CM57+(1-EXP(-LN(2)/2))/(LN(2)/2)*CG58*CJ58*VLOOKUP('Données projet'!$B$12,Paramètres!$A$1:$I$89,3,0)*0.475*44/12</f>
        <v>4.1921332397228612</v>
      </c>
      <c r="CN58" s="22">
        <f t="shared" si="12"/>
        <v>39.211198284058376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20.355714285714278</v>
      </c>
      <c r="CT58" s="12">
        <f>IF('Données projet'!$A$140&gt;35,CT57+CS58-DB57,IF(A58&lt;'Données projet'!$A$140,$CQ$205^A58,IF(A58='Données projet'!$A$140,'Données projet'!$B$140,CT57+CS58-DB57)))</f>
        <v>513.67428571428593</v>
      </c>
      <c r="CU58" s="17">
        <f>CT58*VLOOKUP('Données projet'!$B$13,Paramètres!$A$1:$I$89,3,0)*VLOOKUP('Données projet'!$B$13,Paramètres!$A$1:$I$89,5,0)</f>
        <v>287.14392571428584</v>
      </c>
      <c r="CV58" s="13">
        <f t="shared" si="41"/>
        <v>68.474504947595136</v>
      </c>
      <c r="CW58" s="20">
        <f t="shared" si="13"/>
        <v>619.36876673610948</v>
      </c>
      <c r="CX58" s="59">
        <f t="shared" si="14"/>
        <v>912.70210006944285</v>
      </c>
      <c r="CY58" s="59">
        <f ca="1">AVERAGE(OFFSET($CX$3,0,0,'Données projet'!$E$13+1,1))-AVERAGE(OFFSET($H$3,0,0,'Données projet'!$E$13+1,1))</f>
        <v>386.66324266750968</v>
      </c>
      <c r="CZ58" s="59">
        <f t="shared" si="42"/>
        <v>356.22149461585769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65.090563106221836</v>
      </c>
      <c r="DG58" s="21">
        <f>EXP(-LN(2)/25)*DG57+(1-EXP(-LN(2)/25))/(LN(2)/25)*Calculateur!DB58*Calculateur!DD58*VLOOKUP('Données projet'!$B$13,Paramètres!$A$1:$I$89,3,0)*0.475*44/12</f>
        <v>26.05991802203431</v>
      </c>
      <c r="DH58" s="21">
        <f>EXP(-LN(2)/2)*DH57+(1-EXP(-LN(2)/2))/(LN(2)/2)*DB58*DE58*VLOOKUP('Données projet'!$B$13,Paramètres!$A$1:$I$89,3,0)*0.475*44/12</f>
        <v>1.935398718211822</v>
      </c>
      <c r="DI58" s="22">
        <f t="shared" si="15"/>
        <v>93.085879846467975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279</v>
      </c>
      <c r="DM58" s="12">
        <f>VLOOKUP(A58,'Données projet'!$A$165:$I$185,9,0)</f>
        <v>7.4</v>
      </c>
      <c r="DN58" s="12">
        <f t="array" ref="DN58">INDEX(DM:DM,MIN(IF(ISNUMBER(DM58:DM254),ROW(DM58:DM254),"")))</f>
        <v>7.4</v>
      </c>
      <c r="DO58" s="12">
        <f>IF('Données projet'!$A$166&gt;35,DO57+DN58-DW57,IF(A58&lt;'Données projet'!$A$166,$DL$205^A58,IF(A58='Données projet'!$A$166,'Données projet'!$B$166,DO57+DN58-DW57)))</f>
        <v>278.99999999999994</v>
      </c>
      <c r="DP58" s="17">
        <f>DO58*VLOOKUP('Données projet'!$B$14,Paramètres!$A$1:$I$89,3,0)*VLOOKUP('Données projet'!$B$14,Paramètres!$A$1:$I$89,5,0)</f>
        <v>217.61999999999998</v>
      </c>
      <c r="DQ58" s="13">
        <f t="shared" si="43"/>
        <v>53.597277471320098</v>
      </c>
      <c r="DR58" s="20">
        <f t="shared" si="16"/>
        <v>472.37009159588246</v>
      </c>
      <c r="DS58" s="59">
        <f t="shared" si="17"/>
        <v>765.70342492921577</v>
      </c>
      <c r="DT58" s="59">
        <f ca="1">AVERAGE(OFFSET($DS$3,0,0,'Données projet'!$E$14+1,1))-AVERAGE(OFFSET($H$3,0,0,'Données projet'!$E$14+1,1))</f>
        <v>347.17417070871716</v>
      </c>
      <c r="DU58" s="59">
        <f t="shared" si="44"/>
        <v>339.56378046986441</v>
      </c>
      <c r="DV58" s="15">
        <f>IF(ISNA(VLOOKUP(A58,'Données projet'!$A$165:$I$185,3,0)),0,VLOOKUP(A58,'Données projet'!$A$165:$I$185,3,0))</f>
        <v>9</v>
      </c>
      <c r="DW58" s="15">
        <f>IF(ISNA(VLOOKUP(A58,'Données projet'!$A$165:$I$185,4,0)),0,VLOOKUP(A58,'Données projet'!$A$165:$I$185,4,0))</f>
        <v>16</v>
      </c>
      <c r="DX58" s="16">
        <f>IF(ISNA(VLOOKUP(A58,'Données projet'!$A$165:$I$185,5,0)),0%,VLOOKUP(A58,'Données projet'!$A$165:$I$185,5,0)*VLOOKUP('Données projet'!$B$14,Paramètres!$A$1:$I$89,7,0))</f>
        <v>0.1075</v>
      </c>
      <c r="DY58" s="16">
        <f>IF(ISNA(VLOOKUP(A58,'Données projet'!$A$165:$I$185,6,0)),0%,VLOOKUP(A58,'Données projet'!$A$165:$I$185,6,0)*VLOOKUP('Données projet'!$B$14,Paramètres!$A$1:$I$89,7,0))</f>
        <v>0.1075</v>
      </c>
      <c r="DZ58" s="16">
        <f>IF(ISNA(VLOOKUP(A58,'Données projet'!$A$165:$I$185,7,0)),0%,VLOOKUP(A58,'Données projet'!$A$165:$I$185,7,0))</f>
        <v>0.25</v>
      </c>
      <c r="EA58" s="21">
        <f>EXP(-LN(2)/35)*EA57+(1-EXP(-LN(2)/35))/(LN(2)/35)*DW58*DX58*VLOOKUP('Données projet'!$B$14,Paramètres!$A$1:$I$89,3,0)*0.475*44/12</f>
        <v>11.474337977044765</v>
      </c>
      <c r="EB58" s="21">
        <f>EXP(-LN(2)/25)*EB57+(1-EXP(-LN(2)/25))/(LN(2)/25)*Calculateur!DW58*Calculateur!DY58*VLOOKUP('Données projet'!$B$14,Paramètres!$A$1:$I$89,3,0)*0.475*44/12</f>
        <v>13.893246202645715</v>
      </c>
      <c r="EC58" s="21">
        <f>EXP(-LN(2)/2)*EC57+(1-EXP(-LN(2)/2))/(LN(2)/2)*DW58*DZ58*VLOOKUP('Données projet'!$B$14,Paramètres!$A$1:$I$89,3,0)*0.475*44/12</f>
        <v>3.7429761068954113</v>
      </c>
      <c r="ED58" s="22">
        <f t="shared" si="18"/>
        <v>29.110560286585894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279</v>
      </c>
      <c r="EH58" s="12">
        <f>VLOOKUP(A58,'Données projet'!$A$191:$I$211,9,0)</f>
        <v>7.4</v>
      </c>
      <c r="EI58" s="12">
        <f t="array" ref="EI58">INDEX(EH:EH,MIN(IF(ISNUMBER(EH58:EH254),ROW(EH58:EH254),"")))</f>
        <v>7.4</v>
      </c>
      <c r="EJ58" s="12">
        <f>IF('Données projet'!$A$192&gt;35,EJ57+EI58-ER57,IF(A58&lt;'Données projet'!$A$192,$EG$205^A58,IF(A58='Données projet'!$A$192,'Données projet'!$B$192,EJ57+EI58-ER57)))</f>
        <v>278.99999999999994</v>
      </c>
      <c r="EK58" s="17">
        <f>EJ58*VLOOKUP('Données projet'!$B$15,Paramètres!$A$1:$I$89,3,0)*VLOOKUP('Données projet'!$B$15,Paramètres!$A$1:$I$89,5,0)</f>
        <v>243.73439999999997</v>
      </c>
      <c r="EL58" s="13">
        <f t="shared" si="45"/>
        <v>59.242281392848817</v>
      </c>
      <c r="EM58" s="20">
        <f t="shared" si="19"/>
        <v>527.68438675921152</v>
      </c>
      <c r="EN58" s="59">
        <f t="shared" si="20"/>
        <v>821.01772009254478</v>
      </c>
      <c r="EO58" s="59">
        <f ca="1">AVERAGE(OFFSET($EN$3,0,0,'Données projet'!$E$15+1,1))-AVERAGE(OFFSET($H$3,0,0,'Données projet'!$E$15+1,1))</f>
        <v>384.34044781465661</v>
      </c>
      <c r="EP58" s="59">
        <f t="shared" si="46"/>
        <v>374.99493809709708</v>
      </c>
      <c r="EQ58" s="15">
        <f>IF(ISNA(VLOOKUP(A58,'Données projet'!$A$191:$I$211,3,0)),0,VLOOKUP(A58,'Données projet'!$A$191:$I$211,3,0))</f>
        <v>9</v>
      </c>
      <c r="ER58" s="15">
        <f>IF(ISNA(VLOOKUP(A58,'Données projet'!$A$191:$I$211,4,0)),0,VLOOKUP(A58,'Données projet'!$A$191:$I$211,4,0))</f>
        <v>16</v>
      </c>
      <c r="ES58" s="16">
        <f>IF(ISNA(VLOOKUP(A58,'Données projet'!$A$191:$I$211,5,0)),0%,VLOOKUP(A58,'Données projet'!$A$191:$I$211,5,0)*VLOOKUP('Données projet'!$B$15,Paramètres!$A$1:$I$89,7,0))</f>
        <v>0.1075</v>
      </c>
      <c r="ET58" s="16">
        <f>IF(ISNA(VLOOKUP(A58,'Données projet'!$A$191:$I$211,6,0)),0%,VLOOKUP(A58,'Données projet'!$A$191:$I$211,6,0)*VLOOKUP('Données projet'!$B$15,Paramètres!$A$1:$I$89,7,0))</f>
        <v>0.1075</v>
      </c>
      <c r="EU58" s="16">
        <f>IF(ISNA(VLOOKUP(A58,'Données projet'!$A$191:$I$211,7,0)),0%,VLOOKUP(A58,'Données projet'!$A$191:$I$211,7,0))</f>
        <v>0.25</v>
      </c>
      <c r="EV58" s="21">
        <f>EXP(-LN(2)/35)*EV57+(1-EXP(-LN(2)/35))/(LN(2)/35)*ER58*ES58*VLOOKUP('Données projet'!$B$15,Paramètres!$A$1:$I$89,3,0)*0.475*44/12</f>
        <v>12.851258534290137</v>
      </c>
      <c r="EW58" s="21">
        <f>EXP(-LN(2)/25)*EW57+(1-EXP(-LN(2)/25))/(LN(2)/25)*Calculateur!ER58*Calculateur!ET58*VLOOKUP('Données projet'!$B$15,Paramètres!$A$1:$I$89,3,0)*0.475*44/12</f>
        <v>15.560435746963206</v>
      </c>
      <c r="EX58" s="21">
        <f>EXP(-LN(2)/2)*EX57+(1-EXP(-LN(2)/2))/(LN(2)/2)*ER58*EU58*VLOOKUP('Données projet'!$B$15,Paramètres!$A$1:$I$89,3,0)*0.475*44/12</f>
        <v>4.1921332397228612</v>
      </c>
      <c r="EY58" s="22">
        <f t="shared" si="21"/>
        <v>32.603827520976203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279</v>
      </c>
      <c r="FC58" s="12">
        <f>VLOOKUP(A58,'Données projet'!$A$217:$I$237,9,0)</f>
        <v>7.4</v>
      </c>
      <c r="FD58" s="12">
        <f t="array" ref="FD58">INDEX(FC:FC,MIN(IF(ISNUMBER(FC58:FC254),ROW(FC58:FC254),"")))</f>
        <v>7.4</v>
      </c>
      <c r="FE58" s="12">
        <f>IF('Données projet'!$A$218&gt;35,FE57+FD58-FM57,IF(A58&lt;'Données projet'!$A$218,$FB$205^A58,IF(A58='Données projet'!$A$218,'Données projet'!$B$218,FE57+FD58-FM57)))</f>
        <v>278.99999999999994</v>
      </c>
      <c r="FF58" s="17">
        <f>FE58*VLOOKUP('Données projet'!$B$16,Paramètres!$A$1:$I$89,3,0)*VLOOKUP('Données projet'!$B$16,Paramètres!$A$1:$I$89,5,0)</f>
        <v>226.32479999999998</v>
      </c>
      <c r="FG58" s="13">
        <f t="shared" si="47"/>
        <v>55.48727390683667</v>
      </c>
      <c r="FH58" s="20">
        <f t="shared" si="22"/>
        <v>490.82269538774045</v>
      </c>
      <c r="FI58" s="59">
        <f t="shared" si="23"/>
        <v>784.15602872107377</v>
      </c>
      <c r="FJ58" s="59">
        <f ca="1">AVERAGE(OFFSET($FI$3,0,0,'Données projet'!$E$16+1,1))-AVERAGE(OFFSET($H$3,0,0,'Données projet'!$E$16+1,1))</f>
        <v>359.57284550600366</v>
      </c>
      <c r="FK58" s="59">
        <f t="shared" si="48"/>
        <v>351.38386928091433</v>
      </c>
      <c r="FL58" s="15">
        <f>IF(ISNA(VLOOKUP(A58,'Données projet'!$A$217:$I$237,3,0)),0,VLOOKUP(A58,'Données projet'!$A$217:$I$237,3,0))</f>
        <v>9</v>
      </c>
      <c r="FM58" s="15">
        <f>IF(ISNA(VLOOKUP(A58,'Données projet'!$A$217:$I$237,4,0)),0,VLOOKUP(A58,'Données projet'!$A$217:$I$237,4,0))</f>
        <v>16</v>
      </c>
      <c r="FN58" s="16">
        <f>IF(ISNA(VLOOKUP(A58,'Données projet'!$A$217:$I$237,5,0)),0%,VLOOKUP(A58,'Données projet'!$A$217:$I$237,5,0)*VLOOKUP('Données projet'!$B$16,Paramètres!$A$1:$I$89,7,0))</f>
        <v>0.1075</v>
      </c>
      <c r="FO58" s="16">
        <f>IF(ISNA(VLOOKUP(A58,'Données projet'!$A$217:$I$237,6,0)),0%,VLOOKUP(A58,'Données projet'!$A$217:$I$237,6,0)*VLOOKUP('Données projet'!$B$16,Paramètres!$A$1:$I$89,7,0))</f>
        <v>0.1075</v>
      </c>
      <c r="FP58" s="16">
        <f>IF(ISNA(VLOOKUP(A58,'Données projet'!$A$217:$I$237,7,0)),0%,VLOOKUP(A58,'Données projet'!$A$217:$I$237,7,0))</f>
        <v>0.25</v>
      </c>
      <c r="FQ58" s="21">
        <f>EXP(-LN(2)/35)*FQ57+(1-EXP(-LN(2)/35))/(LN(2)/35)*FM58*FN58*VLOOKUP('Données projet'!$B$16,Paramètres!$A$1:$I$89,3,0)*0.475*44/12</f>
        <v>11.933311496126557</v>
      </c>
      <c r="FR58" s="21">
        <f>EXP(-LN(2)/25)*FR57+(1-EXP(-LN(2)/25))/(LN(2)/25)*Calculateur!FM58*Calculateur!FO58*VLOOKUP('Données projet'!$B$16,Paramètres!$A$1:$I$89,3,0)*0.475*44/12</f>
        <v>14.448976050751547</v>
      </c>
      <c r="FS58" s="21">
        <f>EXP(-LN(2)/2)*FS57+(1-EXP(-LN(2)/2))/(LN(2)/2)*FM58*FP58*VLOOKUP('Données projet'!$B$16,Paramètres!$A$1:$I$89,3,0)*0.475*44/12</f>
        <v>3.8926951511712282</v>
      </c>
      <c r="FT58" s="22">
        <f t="shared" si="24"/>
        <v>30.274982698049332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6">
        <f t="shared" si="1"/>
        <v>256.66666666666669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14.073749999999997</v>
      </c>
      <c r="N59" s="13">
        <f>IF('Données projet'!$A$36&gt;35,N58+M59-V58,IF(A59&lt;'Données projet'!$A$36,$K$205^A59,IF(A59='Données projet'!$A$36,'Données projet'!$B$36,N58+M59-V58)))</f>
        <v>318.43250000000012</v>
      </c>
      <c r="O59" s="13">
        <f>N59*VLOOKUP('Données projet'!$B$9,Paramètres!$A$1:$I$89,3,0)*VLOOKUP('Données projet'!$B$9,Paramètres!$A$1:$I$89,5,0)</f>
        <v>288.11772600000012</v>
      </c>
      <c r="P59" s="13">
        <f t="shared" si="33"/>
        <v>68.679653876016673</v>
      </c>
      <c r="Q59" s="20">
        <f t="shared" si="53"/>
        <v>621.42210328406259</v>
      </c>
      <c r="R59" s="59">
        <f t="shared" si="0"/>
        <v>914.75543661739584</v>
      </c>
      <c r="S59" s="59">
        <f ca="1">AVERAGE(OFFSET($R$3,0,0,'Données projet'!$E$9+1,1))-AVERAGE(OFFSET($H$3,0,0,'Données projet'!$E$9+1,1))</f>
        <v>695.0879239758051</v>
      </c>
      <c r="T59" s="59">
        <f t="shared" si="34"/>
        <v>226.22150997227476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40.863134290125643</v>
      </c>
      <c r="AB59" s="21">
        <f>EXP(-LN(2)/2)*AB58+(1-EXP(-LN(2)/2))/(LN(2)/2)*V59*Y59*VLOOKUP('Données projet'!$B$9,Paramètres!$A$1:$I$89,3,0)*0.475*44/12</f>
        <v>1.5901188297840805</v>
      </c>
      <c r="AC59" s="22">
        <f t="shared" si="3"/>
        <v>42.453253119909725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>
        <f>VLOOKUP(A59,'Données projet'!$A$61:$I$81,2,0)</f>
        <v>563.75</v>
      </c>
      <c r="AG59" s="12">
        <f>VLOOKUP(A59,'Données projet'!$A$61:$I$81,9,0)</f>
        <v>16.3825</v>
      </c>
      <c r="AH59" s="12">
        <f t="array" ref="AH59">INDEX(AG:AG,MIN(IF(ISNUMBER(AG59:AG255),ROW(AG59:AG255),"")))</f>
        <v>16.3825</v>
      </c>
      <c r="AI59" s="13">
        <f>IF('Données projet'!$A$62&gt;35,AI58+AH59-AQ58,IF(A59&lt;'Données projet'!$A$62,$AF$205^A59,IF(A59='Données projet'!$A$62,'Données projet'!$B$62,AI58+AH59-AQ58)))</f>
        <v>563.75000000000011</v>
      </c>
      <c r="AJ59" s="13">
        <f>AI59*VLOOKUP('Données projet'!$B$10,Paramètres!$A$1:$I$89,3,0)*VLOOKUP('Données projet'!$B$10,Paramètres!$A$1:$I$89,5,0)</f>
        <v>337.12250000000006</v>
      </c>
      <c r="AK59" s="13">
        <f t="shared" si="35"/>
        <v>78.90514294504834</v>
      </c>
      <c r="AL59" s="20">
        <f t="shared" si="4"/>
        <v>724.58147812929258</v>
      </c>
      <c r="AM59" s="59">
        <f t="shared" si="5"/>
        <v>1017.9148114626259</v>
      </c>
      <c r="AN59" s="59">
        <f ca="1">AVERAGE(OFFSET($AM$3,0,0,'Données projet'!$E$10+1,1))-AVERAGE(OFFSET($H$3,0,0,'Données projet'!$E$10+1,1))</f>
        <v>388.12151914648013</v>
      </c>
      <c r="AO59" s="59">
        <f t="shared" si="36"/>
        <v>481.43684454382793</v>
      </c>
      <c r="AP59" s="15">
        <f>IF(ISNA(VLOOKUP(A59,'Données projet'!$A$61:$I$81,3,0)),0,VLOOKUP(A59,'Données projet'!$A$61:$I$81,3,0))</f>
        <v>7</v>
      </c>
      <c r="AQ59" s="15">
        <f>IF(ISNA(VLOOKUP(A59,'Données projet'!$A$61:$I$81,4,0)),0,VLOOKUP(A59,'Données projet'!$A$61:$I$81,4,0))</f>
        <v>563.75</v>
      </c>
      <c r="AR59" s="16">
        <f>IF(ISNA(VLOOKUP(A59,'Données projet'!$A$61:$I$81,5,0)),0%,VLOOKUP(A59,'Données projet'!$A$61:$I$81,5,0)*VLOOKUP('Données projet'!$B$10,Paramètres!$A$1:$I$89,7,0))</f>
        <v>0.27</v>
      </c>
      <c r="AS59" s="16">
        <f>IF(ISNA(VLOOKUP(A59,'Données projet'!$A$61:$I$81,6,0)),0%,VLOOKUP(A59,'Données projet'!$A$61:$I$81,6,0)*VLOOKUP('Données projet'!$B$10,Paramètres!$A$1:$I$89,7,0))</f>
        <v>9.0000000000000011E-2</v>
      </c>
      <c r="AT59" s="16">
        <f>IF(ISNA(VLOOKUP(A59,'Données projet'!$A$61:$I$81,7,0)),0%,VLOOKUP(A59,'Données projet'!$A$61:$I$81,7,0))</f>
        <v>0.2</v>
      </c>
      <c r="AU59" s="21">
        <f>EXP(-LN(2)/35)*AU58+(1-EXP(-LN(2)/35))/(LN(2)/35)*AQ59*AR59*VLOOKUP('Données projet'!$B$10,Paramètres!$A$1:$I$89,3,0)*0.475*44/12</f>
        <v>178.02084372736357</v>
      </c>
      <c r="AV59" s="21">
        <f>EXP(-LN(2)/25)*AV58+(1-EXP(-LN(2)/25))/(LN(2)/25)*Calculateur!AQ59*Calculateur!AS59*VLOOKUP('Données projet'!$B$10,Paramètres!$A$1:$I$89,3,0)*0.475*44/12</f>
        <v>61.668991721657953</v>
      </c>
      <c r="AW59" s="21">
        <f>EXP(-LN(2)/2)*AW58+(1-EXP(-LN(2)/2))/(LN(2)/2)*AQ59*AT59*VLOOKUP('Données projet'!$B$10,Paramètres!$A$1:$I$89,3,0)*0.475*44/12</f>
        <v>77.304312042039825</v>
      </c>
      <c r="AX59" s="21">
        <f t="shared" si="6"/>
        <v>316.99414749106137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6.2</v>
      </c>
      <c r="BD59" s="12">
        <f>IF('Données projet'!$A$88&gt;35,BD58+BC59-BL58,IF(A59&lt;'Données projet'!$A$88,$BA$205^A59,IF(A59='Données projet'!$A$88,'Données projet'!$B$88,BD58+BC59-BL58)))</f>
        <v>269.19999999999993</v>
      </c>
      <c r="BE59" s="13">
        <f>BD59*VLOOKUP('Données projet'!$B$11,Paramètres!$A$1:$I$89,3,0)*VLOOKUP('Données projet'!$B$11,Paramètres!$A$1:$I$89,5,0)</f>
        <v>256.17071999999996</v>
      </c>
      <c r="BF59" s="13">
        <f t="shared" si="37"/>
        <v>61.905426677256543</v>
      </c>
      <c r="BG59" s="20">
        <f t="shared" si="7"/>
        <v>553.9826221295549</v>
      </c>
      <c r="BH59" s="59">
        <f t="shared" si="8"/>
        <v>847.31595546288827</v>
      </c>
      <c r="BI59" s="59">
        <f ca="1">AVERAGE(OFFSET($BH$3,0,0,'Données projet'!$E$11+1,1))-AVERAGE(OFFSET($H$3,0,0,'Données projet'!$E$11+1,1))</f>
        <v>415.24818074059294</v>
      </c>
      <c r="BJ59" s="59">
        <f t="shared" si="38"/>
        <v>404.45811532046872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13.72418651372343</v>
      </c>
      <c r="BQ59" s="21">
        <f>EXP(-LN(2)/25)*BQ58+(1-EXP(-LN(2)/25))/(LN(2)/25)*Calculateur!BL59*Calculateur!BN59*VLOOKUP('Données projet'!$B$11,Paramètres!$A$1:$I$89,3,0)*0.475*44/12</f>
        <v>16.486268278636771</v>
      </c>
      <c r="BR59" s="21">
        <f>EXP(-LN(2)/2)*BR58+(1-EXP(-LN(2)/2))/(LN(2)/2)*BL59*BO59*VLOOKUP('Données projet'!$B$11,Paramètres!$A$1:$I$89,3,0)*0.475*44/12</f>
        <v>3.2289542201460621</v>
      </c>
      <c r="BS59" s="22">
        <f t="shared" si="9"/>
        <v>33.439409012506268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6.2</v>
      </c>
      <c r="BY59" s="12">
        <f>IF('Données projet'!$A$114&gt;35,BY58+BX59-CG58,IF(A59&lt;'Données projet'!$A$114,$BV$205^A59,IF(A59='Données projet'!$A$114,'Données projet'!$B$114,BY58+BX59-CG58)))</f>
        <v>269.19999999999993</v>
      </c>
      <c r="BZ59" s="13">
        <f>BY59*VLOOKUP('Données projet'!$B$12,Paramètres!$A$1:$I$89,3,0)*VLOOKUP('Données projet'!$B$12,Paramètres!$A$1:$I$89,5,0)</f>
        <v>235.17311999999998</v>
      </c>
      <c r="CA59" s="13">
        <f t="shared" si="39"/>
        <v>57.399778925799218</v>
      </c>
      <c r="CB59" s="20">
        <f t="shared" si="10"/>
        <v>509.56446562910031</v>
      </c>
      <c r="CC59" s="59">
        <f t="shared" si="11"/>
        <v>802.89779896243363</v>
      </c>
      <c r="CD59" s="59">
        <f ca="1">AVERAGE(OFFSET($CC$3,0,0,'Données projet'!$E$12+1,1))-AVERAGE(OFFSET($H$3,0,0,'Données projet'!$E$12+1,1))</f>
        <v>384.34044781465661</v>
      </c>
      <c r="CE59" s="59">
        <f t="shared" si="40"/>
        <v>374.99493809709708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15.529312075002343</v>
      </c>
      <c r="CL59" s="21">
        <f>EXP(-LN(2)/25)*CL58+(1-EXP(-LN(2)/25))/(LN(2)/25)*Calculateur!CG59*Calculateur!CI59*VLOOKUP('Données projet'!$B$12,Paramètres!$A$1:$I$89,3,0)*0.475*44/12</f>
        <v>18.654687095308397</v>
      </c>
      <c r="CM59" s="21">
        <f>EXP(-LN(2)/2)*CM58+(1-EXP(-LN(2)/2))/(LN(2)/2)*CG59*CJ59*VLOOKUP('Données projet'!$B$12,Paramètres!$A$1:$I$89,3,0)*0.475*44/12</f>
        <v>2.9642858414455659</v>
      </c>
      <c r="CN59" s="22">
        <f t="shared" si="12"/>
        <v>37.148285011756307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>
        <f>VLOOKUP(A59,'Données projet'!$A$139:$I$159,2,0)</f>
        <v>534.03</v>
      </c>
      <c r="CR59" s="12">
        <f>VLOOKUP(A59,'Données projet'!$A$139:$I$159,9,0)</f>
        <v>20.355714285714278</v>
      </c>
      <c r="CS59" s="12">
        <f t="array" ref="CS59">INDEX(CR:CR,MIN(IF(ISNUMBER(CR59:CR255),ROW(CR59:CR255),"")))</f>
        <v>20.355714285714278</v>
      </c>
      <c r="CT59" s="12">
        <f>IF('Données projet'!$A$140&gt;35,CT58+CS59-DB58,IF(A59&lt;'Données projet'!$A$140,$CQ$205^A59,IF(A59='Données projet'!$A$140,'Données projet'!$B$140,CT58+CS59-DB58)))</f>
        <v>534.0300000000002</v>
      </c>
      <c r="CU59" s="17">
        <f>CT59*VLOOKUP('Données projet'!$B$13,Paramètres!$A$1:$I$89,3,0)*VLOOKUP('Données projet'!$B$13,Paramètres!$A$1:$I$89,5,0)</f>
        <v>298.52277000000015</v>
      </c>
      <c r="CV59" s="13">
        <f t="shared" si="41"/>
        <v>70.866690413510668</v>
      </c>
      <c r="CW59" s="20">
        <f t="shared" si="13"/>
        <v>643.35331022019807</v>
      </c>
      <c r="CX59" s="59">
        <f t="shared" si="14"/>
        <v>936.68664355353144</v>
      </c>
      <c r="CY59" s="59">
        <f ca="1">AVERAGE(OFFSET($CX$3,0,0,'Données projet'!$E$13+1,1))-AVERAGE(OFFSET($H$3,0,0,'Données projet'!$E$13+1,1))</f>
        <v>386.66324266750968</v>
      </c>
      <c r="CZ59" s="59">
        <f t="shared" si="42"/>
        <v>356.22149461585769</v>
      </c>
      <c r="DA59" s="15">
        <f>IF(ISNA(VLOOKUP(A59,'Données projet'!$A$139:$I$159,3,0)),0,VLOOKUP(A59,'Données projet'!$A$139:$I$159,3,0))</f>
        <v>6</v>
      </c>
      <c r="DB59" s="15">
        <f>IF(ISNA(VLOOKUP(A59,'Données projet'!$A$139:$I$159,4,0)),0,VLOOKUP(A59,'Données projet'!$A$139:$I$159,4,0))</f>
        <v>94.669999999999959</v>
      </c>
      <c r="DC59" s="16">
        <f>IF(ISNA(VLOOKUP(A59,'Données projet'!$A$139:$I$159,5,0)),0%,VLOOKUP(A59,'Données projet'!$A$139:$I$159,5,0)*VLOOKUP('Données projet'!$B$13,Paramètres!$A$1:$I$89,7,0))</f>
        <v>0.33</v>
      </c>
      <c r="DD59" s="16">
        <f>IF(ISNA(VLOOKUP(A59,'Données projet'!$A$139:$I$159,6,0)),0%,VLOOKUP(A59,'Données projet'!$A$139:$I$159,6,0)*VLOOKUP('Données projet'!$B$13,Paramètres!$A$1:$I$89,7,0))</f>
        <v>0.11000000000000001</v>
      </c>
      <c r="DE59" s="16">
        <f>IF(ISNA(VLOOKUP(A59,'Données projet'!$A$139:$I$159,7,0)),0%,VLOOKUP(A59,'Données projet'!$A$139:$I$159,7,0))</f>
        <v>0.2</v>
      </c>
      <c r="DF59" s="21">
        <f>EXP(-LN(2)/35)*DF58+(1-EXP(-LN(2)/35))/(LN(2)/35)*DB59*DC59*VLOOKUP('Données projet'!$B$13,Paramètres!$A$1:$I$89,3,0)*0.475*44/12</f>
        <v>86.980999905169341</v>
      </c>
      <c r="DG59" s="21">
        <f>EXP(-LN(2)/25)*DG58+(1-EXP(-LN(2)/25))/(LN(2)/25)*Calculateur!DB59*Calculateur!DD59*VLOOKUP('Données projet'!$B$13,Paramètres!$A$1:$I$89,3,0)*0.475*44/12</f>
        <v>33.039177003482436</v>
      </c>
      <c r="DH59" s="21">
        <f>EXP(-LN(2)/2)*DH58+(1-EXP(-LN(2)/2))/(LN(2)/2)*DB59*DE59*VLOOKUP('Données projet'!$B$13,Paramètres!$A$1:$I$89,3,0)*0.475*44/12</f>
        <v>13.352200211590977</v>
      </c>
      <c r="DI59" s="22">
        <f t="shared" si="15"/>
        <v>133.37237712024276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6.2</v>
      </c>
      <c r="DO59" s="12">
        <f>IF('Données projet'!$A$166&gt;35,DO58+DN59-DW58,IF(A59&lt;'Données projet'!$A$166,$DL$205^A59,IF(A59='Données projet'!$A$166,'Données projet'!$B$166,DO58+DN59-DW58)))</f>
        <v>269.19999999999993</v>
      </c>
      <c r="DP59" s="17">
        <f>DO59*VLOOKUP('Données projet'!$B$14,Paramètres!$A$1:$I$89,3,0)*VLOOKUP('Données projet'!$B$14,Paramètres!$A$1:$I$89,5,0)</f>
        <v>209.97599999999994</v>
      </c>
      <c r="DQ59" s="13">
        <f t="shared" si="43"/>
        <v>51.930341059584151</v>
      </c>
      <c r="DR59" s="20">
        <f t="shared" si="16"/>
        <v>456.15354401210885</v>
      </c>
      <c r="DS59" s="59">
        <f t="shared" si="17"/>
        <v>749.48687734544217</v>
      </c>
      <c r="DT59" s="59">
        <f ca="1">AVERAGE(OFFSET($DS$3,0,0,'Données projet'!$E$14+1,1))-AVERAGE(OFFSET($H$3,0,0,'Données projet'!$E$14+1,1))</f>
        <v>347.17417070871716</v>
      </c>
      <c r="DU59" s="59">
        <f t="shared" si="44"/>
        <v>339.56378046986441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11.249333207970023</v>
      </c>
      <c r="EB59" s="21">
        <f>EXP(-LN(2)/25)*EB58+(1-EXP(-LN(2)/25))/(LN(2)/25)*Calculateur!DW59*Calculateur!DY59*VLOOKUP('Données projet'!$B$14,Paramètres!$A$1:$I$89,3,0)*0.475*44/12</f>
        <v>13.513334654620303</v>
      </c>
      <c r="EC59" s="21">
        <f>EXP(-LN(2)/2)*EC58+(1-EXP(-LN(2)/2))/(LN(2)/2)*DW59*DZ59*VLOOKUP('Données projet'!$B$14,Paramètres!$A$1:$I$89,3,0)*0.475*44/12</f>
        <v>2.6466837870049691</v>
      </c>
      <c r="ED59" s="22">
        <f t="shared" si="18"/>
        <v>27.409351649595294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6.2</v>
      </c>
      <c r="EJ59" s="12">
        <f>IF('Données projet'!$A$192&gt;35,EJ58+EI59-ER58,IF(A59&lt;'Données projet'!$A$192,$EG$205^A59,IF(A59='Données projet'!$A$192,'Données projet'!$B$192,EJ58+EI59-ER58)))</f>
        <v>269.19999999999993</v>
      </c>
      <c r="EK59" s="17">
        <f>EJ59*VLOOKUP('Données projet'!$B$15,Paramètres!$A$1:$I$89,3,0)*VLOOKUP('Données projet'!$B$15,Paramètres!$A$1:$I$89,5,0)</f>
        <v>235.17311999999998</v>
      </c>
      <c r="EL59" s="13">
        <f t="shared" si="45"/>
        <v>57.399778925799218</v>
      </c>
      <c r="EM59" s="20">
        <f t="shared" si="19"/>
        <v>509.56446562910031</v>
      </c>
      <c r="EN59" s="59">
        <f t="shared" si="20"/>
        <v>802.89779896243363</v>
      </c>
      <c r="EO59" s="59">
        <f ca="1">AVERAGE(OFFSET($EN$3,0,0,'Données projet'!$E$15+1,1))-AVERAGE(OFFSET($H$3,0,0,'Données projet'!$E$15+1,1))</f>
        <v>384.34044781465661</v>
      </c>
      <c r="EP59" s="59">
        <f t="shared" si="46"/>
        <v>374.99493809709708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12.599253192926426</v>
      </c>
      <c r="EW59" s="21">
        <f>EXP(-LN(2)/25)*EW58+(1-EXP(-LN(2)/25))/(LN(2)/25)*Calculateur!ER59*Calculateur!ET59*VLOOKUP('Données projet'!$B$15,Paramètres!$A$1:$I$89,3,0)*0.475*44/12</f>
        <v>15.134934813174745</v>
      </c>
      <c r="EX59" s="21">
        <f>EXP(-LN(2)/2)*EX58+(1-EXP(-LN(2)/2))/(LN(2)/2)*ER59*EU59*VLOOKUP('Données projet'!$B$15,Paramètres!$A$1:$I$89,3,0)*0.475*44/12</f>
        <v>2.9642858414455659</v>
      </c>
      <c r="EY59" s="22">
        <f t="shared" si="21"/>
        <v>30.698473847546737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6.2</v>
      </c>
      <c r="FE59" s="12">
        <f>IF('Données projet'!$A$218&gt;35,FE58+FD59-FM58,IF(A59&lt;'Données projet'!$A$218,$FB$205^A59,IF(A59='Données projet'!$A$218,'Données projet'!$B$218,FE58+FD59-FM58)))</f>
        <v>269.19999999999993</v>
      </c>
      <c r="FF59" s="17">
        <f>FE59*VLOOKUP('Données projet'!$B$16,Paramètres!$A$1:$I$89,3,0)*VLOOKUP('Données projet'!$B$16,Paramètres!$A$1:$I$89,5,0)</f>
        <v>218.37503999999998</v>
      </c>
      <c r="FG59" s="13">
        <f t="shared" si="47"/>
        <v>53.761556452013281</v>
      </c>
      <c r="FH59" s="20">
        <f t="shared" si="22"/>
        <v>473.97123882058969</v>
      </c>
      <c r="FI59" s="59">
        <f t="shared" si="23"/>
        <v>767.304572153923</v>
      </c>
      <c r="FJ59" s="59">
        <f ca="1">AVERAGE(OFFSET($FI$3,0,0,'Données projet'!$E$16+1,1))-AVERAGE(OFFSET($H$3,0,0,'Données projet'!$E$16+1,1))</f>
        <v>359.57284550600366</v>
      </c>
      <c r="FK59" s="59">
        <f t="shared" si="48"/>
        <v>351.38386928091433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11.699306536288825</v>
      </c>
      <c r="FR59" s="21">
        <f>EXP(-LN(2)/25)*FR58+(1-EXP(-LN(2)/25))/(LN(2)/25)*Calculateur!FM59*Calculateur!FO59*VLOOKUP('Données projet'!$B$16,Paramètres!$A$1:$I$89,3,0)*0.475*44/12</f>
        <v>14.053868040805119</v>
      </c>
      <c r="FS59" s="21">
        <f>EXP(-LN(2)/2)*FS58+(1-EXP(-LN(2)/2))/(LN(2)/2)*FM59*FP59*VLOOKUP('Données projet'!$B$16,Paramètres!$A$1:$I$89,3,0)*0.475*44/12</f>
        <v>2.7525511384851682</v>
      </c>
      <c r="FT59" s="22">
        <f t="shared" si="24"/>
        <v>28.505725715579111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6">
        <f t="shared" si="1"/>
        <v>256.66666666666669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14.073749999999997</v>
      </c>
      <c r="N60" s="13">
        <f>IF('Données projet'!$A$36&gt;35,N59+M60-V59,IF(A60&lt;'Données projet'!$A$36,$K$205^A60,IF(A60='Données projet'!$A$36,'Données projet'!$B$36,N59+M60-V59)))</f>
        <v>332.50625000000014</v>
      </c>
      <c r="O60" s="13">
        <f>N60*VLOOKUP('Données projet'!$B$9,Paramètres!$A$1:$I$89,3,0)*VLOOKUP('Données projet'!$B$9,Paramètres!$A$1:$I$89,5,0)</f>
        <v>300.85165500000011</v>
      </c>
      <c r="P60" s="13">
        <f t="shared" si="33"/>
        <v>71.354973608730333</v>
      </c>
      <c r="Q60" s="20">
        <f t="shared" si="53"/>
        <v>648.25987816020552</v>
      </c>
      <c r="R60" s="59">
        <f t="shared" si="0"/>
        <v>941.59321149353877</v>
      </c>
      <c r="S60" s="59">
        <f ca="1">AVERAGE(OFFSET($R$3,0,0,'Données projet'!$E$9+1,1))-AVERAGE(OFFSET($H$3,0,0,'Données projet'!$E$9+1,1))</f>
        <v>695.0879239758051</v>
      </c>
      <c r="T60" s="59">
        <f t="shared" si="34"/>
        <v>226.22150997227476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39.745729734063318</v>
      </c>
      <c r="AB60" s="21">
        <f>EXP(-LN(2)/2)*AB59+(1-EXP(-LN(2)/2))/(LN(2)/2)*V60*Y60*VLOOKUP('Données projet'!$B$9,Paramètres!$A$1:$I$89,3,0)*0.475*44/12</f>
        <v>1.1243838074327408</v>
      </c>
      <c r="AC60" s="22">
        <f t="shared" si="3"/>
        <v>40.87011354149606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1.1368683772161603E-13</v>
      </c>
      <c r="AJ60" s="13">
        <f>AI60*VLOOKUP('Données projet'!$B$10,Paramètres!$A$1:$I$89,3,0)*VLOOKUP('Données projet'!$B$10,Paramètres!$A$1:$I$89,5,0)</f>
        <v>6.7984728957526396E-14</v>
      </c>
      <c r="AK60" s="13">
        <f t="shared" si="35"/>
        <v>1.0682447123141398E-12</v>
      </c>
      <c r="AL60" s="20">
        <f t="shared" si="4"/>
        <v>1.978932943548152E-12</v>
      </c>
      <c r="AM60" s="59">
        <f t="shared" si="5"/>
        <v>293.3333333333353</v>
      </c>
      <c r="AN60" s="59">
        <f ca="1">AVERAGE(OFFSET($AM$3,0,0,'Données projet'!$E$10+1,1))-AVERAGE(OFFSET($H$3,0,0,'Données projet'!$E$10+1,1))</f>
        <v>388.12151914648013</v>
      </c>
      <c r="AO60" s="59">
        <f t="shared" si="36"/>
        <v>481.43684454382793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174.52996356386305</v>
      </c>
      <c r="AV60" s="21">
        <f>EXP(-LN(2)/25)*AV59+(1-EXP(-LN(2)/25))/(LN(2)/25)*Calculateur!AQ60*Calculateur!AS60*VLOOKUP('Données projet'!$B$10,Paramètres!$A$1:$I$89,3,0)*0.475*44/12</f>
        <v>59.982649899997888</v>
      </c>
      <c r="AW60" s="21">
        <f>EXP(-LN(2)/2)*AW59+(1-EXP(-LN(2)/2))/(LN(2)/2)*AQ60*AT60*VLOOKUP('Données projet'!$B$10,Paramètres!$A$1:$I$89,3,0)*0.475*44/12</f>
        <v>54.662403259887249</v>
      </c>
      <c r="AX60" s="21">
        <f t="shared" si="6"/>
        <v>289.17501672374817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6.2</v>
      </c>
      <c r="BD60" s="12">
        <f>IF('Données projet'!$A$88&gt;35,BD59+BC60-BL59,IF(A60&lt;'Données projet'!$A$88,$BA$205^A60,IF(A60='Données projet'!$A$88,'Données projet'!$B$88,BD59+BC60-BL59)))</f>
        <v>275.39999999999992</v>
      </c>
      <c r="BE60" s="13">
        <f>BD60*VLOOKUP('Données projet'!$B$11,Paramètres!$A$1:$I$89,3,0)*VLOOKUP('Données projet'!$B$11,Paramètres!$A$1:$I$89,5,0)</f>
        <v>262.07063999999991</v>
      </c>
      <c r="BF60" s="13">
        <f t="shared" si="37"/>
        <v>63.163550751219262</v>
      </c>
      <c r="BG60" s="20">
        <f t="shared" si="7"/>
        <v>566.44954889170663</v>
      </c>
      <c r="BH60" s="59">
        <f t="shared" si="8"/>
        <v>859.78288222503988</v>
      </c>
      <c r="BI60" s="59">
        <f ca="1">AVERAGE(OFFSET($BH$3,0,0,'Données projet'!$E$11+1,1))-AVERAGE(OFFSET($H$3,0,0,'Données projet'!$E$11+1,1))</f>
        <v>415.24818074059294</v>
      </c>
      <c r="BJ60" s="59">
        <f t="shared" si="38"/>
        <v>404.45811532046872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13.455063587116527</v>
      </c>
      <c r="BQ60" s="21">
        <f>EXP(-LN(2)/25)*BQ59+(1-EXP(-LN(2)/25))/(LN(2)/25)*Calculateur!BL60*Calculateur!BN60*VLOOKUP('Données projet'!$B$11,Paramètres!$A$1:$I$89,3,0)*0.475*44/12</f>
        <v>16.035450405582282</v>
      </c>
      <c r="BR60" s="21">
        <f>EXP(-LN(2)/2)*BR59+(1-EXP(-LN(2)/2))/(LN(2)/2)*BL60*BO60*VLOOKUP('Données projet'!$B$11,Paramètres!$A$1:$I$89,3,0)*0.475*44/12</f>
        <v>2.2832154252062011</v>
      </c>
      <c r="BS60" s="22">
        <f t="shared" si="9"/>
        <v>31.77372941790501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6.2</v>
      </c>
      <c r="BY60" s="12">
        <f>IF('Données projet'!$A$114&gt;35,BY59+BX60-CG59,IF(A60&lt;'Données projet'!$A$114,$BV$205^A60,IF(A60='Données projet'!$A$114,'Données projet'!$B$114,BY59+BX60-CG59)))</f>
        <v>275.39999999999992</v>
      </c>
      <c r="BZ60" s="13">
        <f>BY60*VLOOKUP('Données projet'!$B$12,Paramètres!$A$1:$I$89,3,0)*VLOOKUP('Données projet'!$B$12,Paramètres!$A$1:$I$89,5,0)</f>
        <v>240.58943999999994</v>
      </c>
      <c r="CA60" s="13">
        <f t="shared" si="39"/>
        <v>58.56633325847811</v>
      </c>
      <c r="CB60" s="20">
        <f t="shared" si="10"/>
        <v>521.02963842518261</v>
      </c>
      <c r="CC60" s="59">
        <f t="shared" si="11"/>
        <v>814.36297175851587</v>
      </c>
      <c r="CD60" s="59">
        <f ca="1">AVERAGE(OFFSET($CC$3,0,0,'Données projet'!$E$12+1,1))-AVERAGE(OFFSET($H$3,0,0,'Données projet'!$E$12+1,1))</f>
        <v>384.34044781465661</v>
      </c>
      <c r="CE60" s="59">
        <f t="shared" si="40"/>
        <v>374.99493809709708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15.224791737156636</v>
      </c>
      <c r="CL60" s="21">
        <f>EXP(-LN(2)/25)*CL59+(1-EXP(-LN(2)/25))/(LN(2)/25)*Calculateur!CG60*Calculateur!CI60*VLOOKUP('Données projet'!$B$12,Paramètres!$A$1:$I$89,3,0)*0.475*44/12</f>
        <v>18.144573695679831</v>
      </c>
      <c r="CM60" s="21">
        <f>EXP(-LN(2)/2)*CM59+(1-EXP(-LN(2)/2))/(LN(2)/2)*CG60*CJ60*VLOOKUP('Données projet'!$B$12,Paramètres!$A$1:$I$89,3,0)*0.475*44/12</f>
        <v>2.0960666198614311</v>
      </c>
      <c r="CN60" s="22">
        <f t="shared" si="12"/>
        <v>35.465432052697899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18.617142857142849</v>
      </c>
      <c r="CT60" s="12">
        <f>IF('Données projet'!$A$140&gt;35,CT59+CS60-DB59,IF(A60&lt;'Données projet'!$A$140,$CQ$205^A60,IF(A60='Données projet'!$A$140,'Données projet'!$B$140,CT59+CS60-DB59)))</f>
        <v>457.97714285714312</v>
      </c>
      <c r="CU60" s="17">
        <f>CT60*VLOOKUP('Données projet'!$B$13,Paramètres!$A$1:$I$89,3,0)*VLOOKUP('Données projet'!$B$13,Paramètres!$A$1:$I$89,5,0)</f>
        <v>256.00922285714302</v>
      </c>
      <c r="CV60" s="13">
        <f t="shared" si="41"/>
        <v>61.870941241266237</v>
      </c>
      <c r="CW60" s="20">
        <f t="shared" si="13"/>
        <v>553.64128580472936</v>
      </c>
      <c r="CX60" s="59">
        <f t="shared" si="14"/>
        <v>846.97461913806274</v>
      </c>
      <c r="CY60" s="59">
        <f ca="1">AVERAGE(OFFSET($CX$3,0,0,'Données projet'!$E$13+1,1))-AVERAGE(OFFSET($H$3,0,0,'Données projet'!$E$13+1,1))</f>
        <v>386.66324266750968</v>
      </c>
      <c r="CZ60" s="59">
        <f t="shared" si="42"/>
        <v>356.22149461585769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85.275355550200345</v>
      </c>
      <c r="DG60" s="21">
        <f>EXP(-LN(2)/25)*DG59+(1-EXP(-LN(2)/25))/(LN(2)/25)*Calculateur!DB60*Calculateur!DD60*VLOOKUP('Données projet'!$B$13,Paramètres!$A$1:$I$89,3,0)*0.475*44/12</f>
        <v>32.135718970867401</v>
      </c>
      <c r="DH60" s="21">
        <f>EXP(-LN(2)/2)*DH59+(1-EXP(-LN(2)/2))/(LN(2)/2)*DB60*DE60*VLOOKUP('Données projet'!$B$13,Paramètres!$A$1:$I$89,3,0)*0.475*44/12</f>
        <v>9.4414313133764356</v>
      </c>
      <c r="DI60" s="22">
        <f t="shared" si="15"/>
        <v>126.85250583444419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6.2</v>
      </c>
      <c r="DO60" s="12">
        <f>IF('Données projet'!$A$166&gt;35,DO59+DN60-DW59,IF(A60&lt;'Données projet'!$A$166,$DL$205^A60,IF(A60='Données projet'!$A$166,'Données projet'!$B$166,DO59+DN60-DW59)))</f>
        <v>275.39999999999992</v>
      </c>
      <c r="DP60" s="17">
        <f>DO60*VLOOKUP('Données projet'!$B$14,Paramètres!$A$1:$I$89,3,0)*VLOOKUP('Données projet'!$B$14,Paramètres!$A$1:$I$89,5,0)</f>
        <v>214.81199999999995</v>
      </c>
      <c r="DQ60" s="13">
        <f t="shared" si="43"/>
        <v>52.985738231738054</v>
      </c>
      <c r="DR60" s="20">
        <f t="shared" si="16"/>
        <v>466.41439408694367</v>
      </c>
      <c r="DS60" s="59">
        <f t="shared" si="17"/>
        <v>759.74772742027699</v>
      </c>
      <c r="DT60" s="59">
        <f ca="1">AVERAGE(OFFSET($DS$3,0,0,'Données projet'!$E$14+1,1))-AVERAGE(OFFSET($H$3,0,0,'Données projet'!$E$14+1,1))</f>
        <v>347.17417070871716</v>
      </c>
      <c r="DU60" s="59">
        <f t="shared" si="44"/>
        <v>339.56378046986441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11.02874064517748</v>
      </c>
      <c r="EB60" s="21">
        <f>EXP(-LN(2)/25)*EB59+(1-EXP(-LN(2)/25))/(LN(2)/25)*Calculateur!DW60*Calculateur!DY60*VLOOKUP('Données projet'!$B$14,Paramètres!$A$1:$I$89,3,0)*0.475*44/12</f>
        <v>13.143811807854327</v>
      </c>
      <c r="EC60" s="21">
        <f>EXP(-LN(2)/2)*EC59+(1-EXP(-LN(2)/2))/(LN(2)/2)*DW60*DZ60*VLOOKUP('Données projet'!$B$14,Paramètres!$A$1:$I$89,3,0)*0.475*44/12</f>
        <v>1.8714880534477059</v>
      </c>
      <c r="ED60" s="22">
        <f t="shared" si="18"/>
        <v>26.044040506479512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6.2</v>
      </c>
      <c r="EJ60" s="12">
        <f>IF('Données projet'!$A$192&gt;35,EJ59+EI60-ER59,IF(A60&lt;'Données projet'!$A$192,$EG$205^A60,IF(A60='Données projet'!$A$192,'Données projet'!$B$192,EJ59+EI60-ER59)))</f>
        <v>275.39999999999992</v>
      </c>
      <c r="EK60" s="17">
        <f>EJ60*VLOOKUP('Données projet'!$B$15,Paramètres!$A$1:$I$89,3,0)*VLOOKUP('Données projet'!$B$15,Paramètres!$A$1:$I$89,5,0)</f>
        <v>240.58943999999994</v>
      </c>
      <c r="EL60" s="13">
        <f t="shared" si="45"/>
        <v>58.56633325847811</v>
      </c>
      <c r="EM60" s="20">
        <f t="shared" si="19"/>
        <v>521.02963842518261</v>
      </c>
      <c r="EN60" s="59">
        <f t="shared" si="20"/>
        <v>814.36297175851587</v>
      </c>
      <c r="EO60" s="59">
        <f ca="1">AVERAGE(OFFSET($EN$3,0,0,'Données projet'!$E$15+1,1))-AVERAGE(OFFSET($H$3,0,0,'Données projet'!$E$15+1,1))</f>
        <v>384.34044781465661</v>
      </c>
      <c r="EP60" s="59">
        <f t="shared" si="46"/>
        <v>374.99493809709708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12.352189522598778</v>
      </c>
      <c r="EW60" s="21">
        <f>EXP(-LN(2)/25)*EW59+(1-EXP(-LN(2)/25))/(LN(2)/25)*Calculateur!ER60*Calculateur!ET60*VLOOKUP('Données projet'!$B$15,Paramètres!$A$1:$I$89,3,0)*0.475*44/12</f>
        <v>14.721069224796851</v>
      </c>
      <c r="EX60" s="21">
        <f>EXP(-LN(2)/2)*EX59+(1-EXP(-LN(2)/2))/(LN(2)/2)*ER60*EU60*VLOOKUP('Données projet'!$B$15,Paramètres!$A$1:$I$89,3,0)*0.475*44/12</f>
        <v>2.0960666198614311</v>
      </c>
      <c r="EY60" s="22">
        <f t="shared" si="21"/>
        <v>29.169325367257059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6.2</v>
      </c>
      <c r="FE60" s="12">
        <f>IF('Données projet'!$A$218&gt;35,FE59+FD60-FM59,IF(A60&lt;'Données projet'!$A$218,$FB$205^A60,IF(A60='Données projet'!$A$218,'Données projet'!$B$218,FE59+FD60-FM59)))</f>
        <v>275.39999999999992</v>
      </c>
      <c r="FF60" s="17">
        <f>FE60*VLOOKUP('Données projet'!$B$16,Paramètres!$A$1:$I$89,3,0)*VLOOKUP('Données projet'!$B$16,Paramètres!$A$1:$I$89,5,0)</f>
        <v>223.40447999999995</v>
      </c>
      <c r="FG60" s="13">
        <f t="shared" si="47"/>
        <v>54.854170008795911</v>
      </c>
      <c r="FH60" s="20">
        <f t="shared" si="22"/>
        <v>484.63381543198619</v>
      </c>
      <c r="FI60" s="59">
        <f t="shared" si="23"/>
        <v>777.96714876531951</v>
      </c>
      <c r="FJ60" s="59">
        <f ca="1">AVERAGE(OFFSET($FI$3,0,0,'Données projet'!$E$16+1,1))-AVERAGE(OFFSET($H$3,0,0,'Données projet'!$E$16+1,1))</f>
        <v>359.57284550600366</v>
      </c>
      <c r="FK60" s="59">
        <f t="shared" si="48"/>
        <v>351.38386928091433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11.46989027098458</v>
      </c>
      <c r="FR60" s="21">
        <f>EXP(-LN(2)/25)*FR59+(1-EXP(-LN(2)/25))/(LN(2)/25)*Calculateur!FM60*Calculateur!FO60*VLOOKUP('Données projet'!$B$16,Paramètres!$A$1:$I$89,3,0)*0.475*44/12</f>
        <v>13.669564280168503</v>
      </c>
      <c r="FS60" s="21">
        <f>EXP(-LN(2)/2)*FS59+(1-EXP(-LN(2)/2))/(LN(2)/2)*FM60*FP60*VLOOKUP('Données projet'!$B$16,Paramètres!$A$1:$I$89,3,0)*0.475*44/12</f>
        <v>1.9463475755856143</v>
      </c>
      <c r="FT60" s="22">
        <f t="shared" si="24"/>
        <v>27.085802126738699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6">
        <f t="shared" si="1"/>
        <v>256.66666666666669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346.58</v>
      </c>
      <c r="L61" s="12">
        <f>VLOOKUP(A61,'Données projet'!$A$35:$I$55,9,0)</f>
        <v>14.073749999999997</v>
      </c>
      <c r="M61" s="12">
        <f t="array" ref="M61">INDEX(L:L,MIN(IF(ISNUMBER(L61:L257),ROW(L61:L257),"")))</f>
        <v>14.073749999999997</v>
      </c>
      <c r="N61" s="13">
        <f>IF('Données projet'!$A$36&gt;35,N60+M61-V60,IF(A61&lt;'Données projet'!$A$36,$K$205^A61,IF(A61='Données projet'!$A$36,'Données projet'!$B$36,N60+M61-V60)))</f>
        <v>346.58000000000015</v>
      </c>
      <c r="O61" s="13">
        <f>N61*VLOOKUP('Données projet'!$B$9,Paramètres!$A$1:$I$89,3,0)*VLOOKUP('Données projet'!$B$9,Paramètres!$A$1:$I$89,5,0)</f>
        <v>313.58558400000015</v>
      </c>
      <c r="P61" s="13">
        <f t="shared" si="33"/>
        <v>74.017140903550782</v>
      </c>
      <c r="Q61" s="20">
        <f t="shared" si="53"/>
        <v>675.07474587368461</v>
      </c>
      <c r="R61" s="59">
        <f t="shared" si="0"/>
        <v>968.40807920701786</v>
      </c>
      <c r="S61" s="59">
        <f ca="1">AVERAGE(OFFSET($R$3,0,0,'Données projet'!$E$9+1,1))-AVERAGE(OFFSET($H$3,0,0,'Données projet'!$E$9+1,1))</f>
        <v>695.0879239758051</v>
      </c>
      <c r="T61" s="59">
        <f t="shared" si="34"/>
        <v>226.22150997227476</v>
      </c>
      <c r="U61" s="15">
        <f>IF(ISNA(VLOOKUP(A61,'Données projet'!$A$35:$I$55,3,0)),0,VLOOKUP(A61,'Données projet'!$A$35:$I$55,3,0))</f>
        <v>4</v>
      </c>
      <c r="V61" s="15">
        <f>IF(ISNA(VLOOKUP(A61,'Données projet'!$A$35:$I$55,4,0)),0,VLOOKUP(A61,'Données projet'!$A$35:$I$55,4,0))</f>
        <v>65.819999999999993</v>
      </c>
      <c r="W61" s="16">
        <f>IF(ISNA(VLOOKUP(A61,'Données projet'!$A$35:$I$55,5,0)),0%,VLOOKUP(A61,'Données projet'!$A$35:$I$55,5,0)*VLOOKUP('Données projet'!$B$9,Paramètres!$A$1:$I$89,7,0))</f>
        <v>0.15049999999999999</v>
      </c>
      <c r="X61" s="16">
        <f>IF(ISNA(VLOOKUP(A61,'Données projet'!$A$35:$I$55,6,0)),0%,VLOOKUP(A61,'Données projet'!$A$35:$I$55,6,0)*VLOOKUP('Données projet'!$B$9,Paramètres!$A$1:$I$89,7,0))</f>
        <v>8.6000000000000007E-2</v>
      </c>
      <c r="Y61" s="16">
        <f>IF(ISNA(VLOOKUP(A61,'Données projet'!$A$35:$I$55,7,0)),0%,VLOOKUP(A61,'Données projet'!$A$35:$I$55,7,0))</f>
        <v>0.1</v>
      </c>
      <c r="Z61" s="21">
        <f>EXP(-LN(2)/35)*Z60+(1-EXP(-LN(2)/35))/(LN(2)/35)*V61*W61*VLOOKUP('Données projet'!$B$9,Paramètres!$A$1:$I$89,3,0)*0.475*44/12</f>
        <v>9.9081843910064524</v>
      </c>
      <c r="AA61" s="21">
        <f>EXP(-LN(2)/25)*AA60+(1-EXP(-LN(2)/25))/(LN(2)/25)*Calculateur!V61*Calculateur!X61*VLOOKUP('Données projet'!$B$9,Paramètres!$A$1:$I$89,3,0)*0.475*44/12</f>
        <v>44.298407575059599</v>
      </c>
      <c r="AB61" s="21">
        <f>EXP(-LN(2)/2)*AB60+(1-EXP(-LN(2)/2))/(LN(2)/2)*V61*Y61*VLOOKUP('Données projet'!$B$9,Paramètres!$A$1:$I$89,3,0)*0.475*44/12</f>
        <v>6.414133563560716</v>
      </c>
      <c r="AC61" s="22">
        <f t="shared" si="3"/>
        <v>60.620725529626768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1.1368683772161603E-13</v>
      </c>
      <c r="AJ61" s="13">
        <f>AI61*VLOOKUP('Données projet'!$B$10,Paramètres!$A$1:$I$89,3,0)*VLOOKUP('Données projet'!$B$10,Paramètres!$A$1:$I$89,5,0)</f>
        <v>6.7984728957526396E-14</v>
      </c>
      <c r="AK61" s="13">
        <f t="shared" si="35"/>
        <v>1.0682447123141398E-12</v>
      </c>
      <c r="AL61" s="20">
        <f t="shared" si="4"/>
        <v>1.978932943548152E-12</v>
      </c>
      <c r="AM61" s="59">
        <f t="shared" si="5"/>
        <v>293.3333333333353</v>
      </c>
      <c r="AN61" s="59">
        <f ca="1">AVERAGE(OFFSET($AM$3,0,0,'Données projet'!$E$10+1,1))-AVERAGE(OFFSET($H$3,0,0,'Données projet'!$E$10+1,1))</f>
        <v>388.12151914648013</v>
      </c>
      <c r="AO61" s="59">
        <f t="shared" si="36"/>
        <v>481.43684454382793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171.10753743114213</v>
      </c>
      <c r="AV61" s="21">
        <f>EXP(-LN(2)/25)*AV60+(1-EXP(-LN(2)/25))/(LN(2)/25)*Calculateur!AQ61*Calculateur!AS61*VLOOKUP('Données projet'!$B$10,Paramètres!$A$1:$I$89,3,0)*0.475*44/12</f>
        <v>58.342421184131979</v>
      </c>
      <c r="AW61" s="21">
        <f>EXP(-LN(2)/2)*AW60+(1-EXP(-LN(2)/2))/(LN(2)/2)*AQ61*AT61*VLOOKUP('Données projet'!$B$10,Paramètres!$A$1:$I$89,3,0)*0.475*44/12</f>
        <v>38.65215602101992</v>
      </c>
      <c r="AX61" s="21">
        <f t="shared" si="6"/>
        <v>268.102114636294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6.2</v>
      </c>
      <c r="BD61" s="12">
        <f>IF('Données projet'!$A$88&gt;35,BD60+BC61-BL60,IF(A61&lt;'Données projet'!$A$88,$BA$205^A61,IF(A61='Données projet'!$A$88,'Données projet'!$B$88,BD60+BC61-BL60)))</f>
        <v>281.59999999999991</v>
      </c>
      <c r="BE61" s="13">
        <f>BD61*VLOOKUP('Données projet'!$B$11,Paramètres!$A$1:$I$89,3,0)*VLOOKUP('Données projet'!$B$11,Paramètres!$A$1:$I$89,5,0)</f>
        <v>267.97055999999992</v>
      </c>
      <c r="BF61" s="13">
        <f t="shared" si="37"/>
        <v>64.418381959040033</v>
      </c>
      <c r="BG61" s="20">
        <f t="shared" si="7"/>
        <v>578.91074057866115</v>
      </c>
      <c r="BH61" s="59">
        <f t="shared" si="8"/>
        <v>872.24407391199452</v>
      </c>
      <c r="BI61" s="59">
        <f ca="1">AVERAGE(OFFSET($BH$3,0,0,'Données projet'!$E$11+1,1))-AVERAGE(OFFSET($H$3,0,0,'Données projet'!$E$11+1,1))</f>
        <v>415.24818074059294</v>
      </c>
      <c r="BJ61" s="59">
        <f t="shared" si="38"/>
        <v>404.45811532046872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13.191217996951607</v>
      </c>
      <c r="BQ61" s="21">
        <f>EXP(-LN(2)/25)*BQ60+(1-EXP(-LN(2)/25))/(LN(2)/25)*Calculateur!BL61*Calculateur!BN61*VLOOKUP('Données projet'!$B$11,Paramètres!$A$1:$I$89,3,0)*0.475*44/12</f>
        <v>15.596960170973947</v>
      </c>
      <c r="BR61" s="21">
        <f>EXP(-LN(2)/2)*BR60+(1-EXP(-LN(2)/2))/(LN(2)/2)*BL61*BO61*VLOOKUP('Données projet'!$B$11,Paramètres!$A$1:$I$89,3,0)*0.475*44/12</f>
        <v>1.6144771100730315</v>
      </c>
      <c r="BS61" s="22">
        <f t="shared" si="9"/>
        <v>30.402655277998587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6.2</v>
      </c>
      <c r="BY61" s="12">
        <f>IF('Données projet'!$A$114&gt;35,BY60+BX61-CG60,IF(A61&lt;'Données projet'!$A$114,$BV$205^A61,IF(A61='Données projet'!$A$114,'Données projet'!$B$114,BY60+BX61-CG60)))</f>
        <v>281.59999999999991</v>
      </c>
      <c r="BZ61" s="13">
        <f>BY61*VLOOKUP('Données projet'!$B$12,Paramètres!$A$1:$I$89,3,0)*VLOOKUP('Données projet'!$B$12,Paramètres!$A$1:$I$89,5,0)</f>
        <v>246.00575999999995</v>
      </c>
      <c r="CA61" s="13">
        <f t="shared" si="39"/>
        <v>59.729834388897928</v>
      </c>
      <c r="CB61" s="20">
        <f t="shared" si="10"/>
        <v>532.48949356066385</v>
      </c>
      <c r="CC61" s="59">
        <f t="shared" si="11"/>
        <v>825.82282689399722</v>
      </c>
      <c r="CD61" s="59">
        <f ca="1">AVERAGE(OFFSET($CC$3,0,0,'Données projet'!$E$12+1,1))-AVERAGE(OFFSET($H$3,0,0,'Données projet'!$E$12+1,1))</f>
        <v>384.34044781465661</v>
      </c>
      <c r="CE61" s="59">
        <f t="shared" si="40"/>
        <v>374.99493809709708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14.926242857397018</v>
      </c>
      <c r="CL61" s="21">
        <f>EXP(-LN(2)/25)*CL60+(1-EXP(-LN(2)/25))/(LN(2)/25)*Calculateur!CG61*Calculateur!CI61*VLOOKUP('Données projet'!$B$12,Paramètres!$A$1:$I$89,3,0)*0.475*44/12</f>
        <v>17.648409373789807</v>
      </c>
      <c r="CM61" s="21">
        <f>EXP(-LN(2)/2)*CM60+(1-EXP(-LN(2)/2))/(LN(2)/2)*CG61*CJ61*VLOOKUP('Données projet'!$B$12,Paramètres!$A$1:$I$89,3,0)*0.475*44/12</f>
        <v>1.4821429207227834</v>
      </c>
      <c r="CN61" s="22">
        <f t="shared" si="12"/>
        <v>34.056795151909611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18.617142857142849</v>
      </c>
      <c r="CT61" s="12">
        <f>IF('Données projet'!$A$140&gt;35,CT60+CS61-DB60,IF(A61&lt;'Données projet'!$A$140,$CQ$205^A61,IF(A61='Données projet'!$A$140,'Données projet'!$B$140,CT60+CS61-DB60)))</f>
        <v>476.59428571428595</v>
      </c>
      <c r="CU61" s="17">
        <f>CT61*VLOOKUP('Données projet'!$B$13,Paramètres!$A$1:$I$89,3,0)*VLOOKUP('Données projet'!$B$13,Paramètres!$A$1:$I$89,5,0)</f>
        <v>266.41620571428587</v>
      </c>
      <c r="CV61" s="13">
        <f t="shared" si="41"/>
        <v>64.088107222101385</v>
      </c>
      <c r="CW61" s="20">
        <f t="shared" si="13"/>
        <v>575.62834503087436</v>
      </c>
      <c r="CX61" s="59">
        <f t="shared" si="14"/>
        <v>868.96167836420773</v>
      </c>
      <c r="CY61" s="59">
        <f ca="1">AVERAGE(OFFSET($CX$3,0,0,'Données projet'!$E$13+1,1))-AVERAGE(OFFSET($H$3,0,0,'Données projet'!$E$13+1,1))</f>
        <v>386.66324266750968</v>
      </c>
      <c r="CZ61" s="59">
        <f t="shared" si="42"/>
        <v>356.22149461585769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83.603157840691964</v>
      </c>
      <c r="DG61" s="21">
        <f>EXP(-LN(2)/25)*DG60+(1-EXP(-LN(2)/25))/(LN(2)/25)*Calculateur!DB61*Calculateur!DD61*VLOOKUP('Données projet'!$B$13,Paramètres!$A$1:$I$89,3,0)*0.475*44/12</f>
        <v>31.25696604566502</v>
      </c>
      <c r="DH61" s="21">
        <f>EXP(-LN(2)/2)*DH60+(1-EXP(-LN(2)/2))/(LN(2)/2)*DB61*DE61*VLOOKUP('Données projet'!$B$13,Paramètres!$A$1:$I$89,3,0)*0.475*44/12</f>
        <v>6.6761001057954896</v>
      </c>
      <c r="DI61" s="22">
        <f t="shared" si="15"/>
        <v>121.53622399215247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6.2</v>
      </c>
      <c r="DO61" s="12">
        <f>IF('Données projet'!$A$166&gt;35,DO60+DN61-DW60,IF(A61&lt;'Données projet'!$A$166,$DL$205^A61,IF(A61='Données projet'!$A$166,'Données projet'!$B$166,DO60+DN61-DW60)))</f>
        <v>281.59999999999991</v>
      </c>
      <c r="DP61" s="17">
        <f>DO61*VLOOKUP('Données projet'!$B$14,Paramètres!$A$1:$I$89,3,0)*VLOOKUP('Données projet'!$B$14,Paramètres!$A$1:$I$89,5,0)</f>
        <v>219.64799999999994</v>
      </c>
      <c r="DQ61" s="13">
        <f t="shared" si="43"/>
        <v>54.03837313132572</v>
      </c>
      <c r="DR61" s="20">
        <f t="shared" si="16"/>
        <v>476.67043320372545</v>
      </c>
      <c r="DS61" s="59">
        <f t="shared" si="17"/>
        <v>770.00376653705871</v>
      </c>
      <c r="DT61" s="59">
        <f ca="1">AVERAGE(OFFSET($DS$3,0,0,'Données projet'!$E$14+1,1))-AVERAGE(OFFSET($H$3,0,0,'Données projet'!$E$14+1,1))</f>
        <v>347.17417070871716</v>
      </c>
      <c r="DU61" s="59">
        <f t="shared" si="44"/>
        <v>339.56378046986441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10.81247376799312</v>
      </c>
      <c r="EB61" s="21">
        <f>EXP(-LN(2)/25)*EB60+(1-EXP(-LN(2)/25))/(LN(2)/25)*Calculateur!DW61*Calculateur!DY61*VLOOKUP('Données projet'!$B$14,Paramètres!$A$1:$I$89,3,0)*0.475*44/12</f>
        <v>12.784393582765528</v>
      </c>
      <c r="EC61" s="21">
        <f>EXP(-LN(2)/2)*EC60+(1-EXP(-LN(2)/2))/(LN(2)/2)*DW61*DZ61*VLOOKUP('Données projet'!$B$14,Paramètres!$A$1:$I$89,3,0)*0.475*44/12</f>
        <v>1.3233418935024848</v>
      </c>
      <c r="ED61" s="22">
        <f t="shared" si="18"/>
        <v>24.920209244261134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6.2</v>
      </c>
      <c r="EJ61" s="12">
        <f>IF('Données projet'!$A$192&gt;35,EJ60+EI61-ER60,IF(A61&lt;'Données projet'!$A$192,$EG$205^A61,IF(A61='Données projet'!$A$192,'Données projet'!$B$192,EJ60+EI61-ER60)))</f>
        <v>281.59999999999991</v>
      </c>
      <c r="EK61" s="17">
        <f>EJ61*VLOOKUP('Données projet'!$B$15,Paramètres!$A$1:$I$89,3,0)*VLOOKUP('Données projet'!$B$15,Paramètres!$A$1:$I$89,5,0)</f>
        <v>246.00575999999995</v>
      </c>
      <c r="EL61" s="13">
        <f t="shared" si="45"/>
        <v>59.729834388897928</v>
      </c>
      <c r="EM61" s="20">
        <f t="shared" si="19"/>
        <v>532.48949356066385</v>
      </c>
      <c r="EN61" s="59">
        <f t="shared" si="20"/>
        <v>825.82282689399722</v>
      </c>
      <c r="EO61" s="59">
        <f ca="1">AVERAGE(OFFSET($EN$3,0,0,'Données projet'!$E$15+1,1))-AVERAGE(OFFSET($H$3,0,0,'Données projet'!$E$15+1,1))</f>
        <v>384.34044781465661</v>
      </c>
      <c r="EP61" s="59">
        <f t="shared" si="46"/>
        <v>374.99493809709708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12.109970620152295</v>
      </c>
      <c r="EW61" s="21">
        <f>EXP(-LN(2)/25)*EW60+(1-EXP(-LN(2)/25))/(LN(2)/25)*Calculateur!ER61*Calculateur!ET61*VLOOKUP('Données projet'!$B$15,Paramètres!$A$1:$I$89,3,0)*0.475*44/12</f>
        <v>14.318520812697397</v>
      </c>
      <c r="EX61" s="21">
        <f>EXP(-LN(2)/2)*EX60+(1-EXP(-LN(2)/2))/(LN(2)/2)*ER61*EU61*VLOOKUP('Données projet'!$B$15,Paramètres!$A$1:$I$89,3,0)*0.475*44/12</f>
        <v>1.4821429207227834</v>
      </c>
      <c r="EY61" s="22">
        <f t="shared" si="21"/>
        <v>27.910634353572473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6.2</v>
      </c>
      <c r="FE61" s="12">
        <f>IF('Données projet'!$A$218&gt;35,FE60+FD61-FM60,IF(A61&lt;'Données projet'!$A$218,$FB$205^A61,IF(A61='Données projet'!$A$218,'Données projet'!$B$218,FE60+FD61-FM60)))</f>
        <v>281.59999999999991</v>
      </c>
      <c r="FF61" s="17">
        <f>FE61*VLOOKUP('Données projet'!$B$16,Paramètres!$A$1:$I$89,3,0)*VLOOKUP('Données projet'!$B$16,Paramètres!$A$1:$I$89,5,0)</f>
        <v>228.43391999999994</v>
      </c>
      <c r="FG61" s="13">
        <f t="shared" si="47"/>
        <v>55.943923887219448</v>
      </c>
      <c r="FH61" s="20">
        <f t="shared" si="22"/>
        <v>495.29141143690708</v>
      </c>
      <c r="FI61" s="59">
        <f t="shared" si="23"/>
        <v>788.62474477024034</v>
      </c>
      <c r="FJ61" s="59">
        <f ca="1">AVERAGE(OFFSET($FI$3,0,0,'Données projet'!$E$16+1,1))-AVERAGE(OFFSET($H$3,0,0,'Données projet'!$E$16+1,1))</f>
        <v>359.57284550600366</v>
      </c>
      <c r="FK61" s="59">
        <f t="shared" si="48"/>
        <v>351.38386928091433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11.244972718712846</v>
      </c>
      <c r="FR61" s="21">
        <f>EXP(-LN(2)/25)*FR60+(1-EXP(-LN(2)/25))/(LN(2)/25)*Calculateur!FM61*Calculateur!FO61*VLOOKUP('Données projet'!$B$16,Paramètres!$A$1:$I$89,3,0)*0.475*44/12</f>
        <v>13.295769326076153</v>
      </c>
      <c r="FS61" s="21">
        <f>EXP(-LN(2)/2)*FS60+(1-EXP(-LN(2)/2))/(LN(2)/2)*FM61*FP61*VLOOKUP('Données projet'!$B$16,Paramètres!$A$1:$I$89,3,0)*0.475*44/12</f>
        <v>1.3762755692425843</v>
      </c>
      <c r="FT61" s="22">
        <f t="shared" si="24"/>
        <v>25.917017614031582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6">
        <f t="shared" si="1"/>
        <v>256.66666666666669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13.520000000000003</v>
      </c>
      <c r="N62" s="13">
        <f>IF('Données projet'!$A$36&gt;35,N61+M62-V61,IF(A62&lt;'Données projet'!$A$36,$K$205^A62,IF(A62='Données projet'!$A$36,'Données projet'!$B$36,N61+M62-V61)))</f>
        <v>294.28000000000014</v>
      </c>
      <c r="O62" s="13">
        <f>N62*VLOOKUP('Données projet'!$B$9,Paramètres!$A$1:$I$89,3,0)*VLOOKUP('Données projet'!$B$9,Paramètres!$A$1:$I$89,5,0)</f>
        <v>266.26454400000011</v>
      </c>
      <c r="P62" s="13">
        <f t="shared" si="33"/>
        <v>64.055869609957142</v>
      </c>
      <c r="Q62" s="20">
        <f t="shared" si="53"/>
        <v>575.30805370400878</v>
      </c>
      <c r="R62" s="59">
        <f t="shared" si="0"/>
        <v>868.64138703734216</v>
      </c>
      <c r="S62" s="59">
        <f ca="1">AVERAGE(OFFSET($R$3,0,0,'Données projet'!$E$9+1,1))-AVERAGE(OFFSET($H$3,0,0,'Données projet'!$E$9+1,1))</f>
        <v>695.0879239758051</v>
      </c>
      <c r="T62" s="59">
        <f t="shared" si="34"/>
        <v>226.22150997227476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9.7138909384945578</v>
      </c>
      <c r="AA62" s="21">
        <f>EXP(-LN(2)/25)*AA61+(1-EXP(-LN(2)/25))/(LN(2)/25)*Calculateur!V62*Calculateur!X62*VLOOKUP('Données projet'!$B$9,Paramètres!$A$1:$I$89,3,0)*0.475*44/12</f>
        <v>43.087065290367583</v>
      </c>
      <c r="AB62" s="21">
        <f>EXP(-LN(2)/2)*AB61+(1-EXP(-LN(2)/2))/(LN(2)/2)*V62*Y62*VLOOKUP('Données projet'!$B$9,Paramètres!$A$1:$I$89,3,0)*0.475*44/12</f>
        <v>4.5354773382300175</v>
      </c>
      <c r="AC62" s="22">
        <f t="shared" si="3"/>
        <v>57.336433567092158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1.1368683772161603E-13</v>
      </c>
      <c r="AJ62" s="13">
        <f>AI62*VLOOKUP('Données projet'!$B$10,Paramètres!$A$1:$I$89,3,0)*VLOOKUP('Données projet'!$B$10,Paramètres!$A$1:$I$89,5,0)</f>
        <v>6.7984728957526396E-14</v>
      </c>
      <c r="AK62" s="13">
        <f t="shared" si="35"/>
        <v>1.0682447123141398E-12</v>
      </c>
      <c r="AL62" s="20">
        <f t="shared" si="4"/>
        <v>1.978932943548152E-12</v>
      </c>
      <c r="AM62" s="59">
        <f t="shared" si="5"/>
        <v>293.3333333333353</v>
      </c>
      <c r="AN62" s="59">
        <f ca="1">AVERAGE(OFFSET($AM$3,0,0,'Données projet'!$E$10+1,1))-AVERAGE(OFFSET($H$3,0,0,'Données projet'!$E$10+1,1))</f>
        <v>388.12151914648013</v>
      </c>
      <c r="AO62" s="59">
        <f t="shared" si="36"/>
        <v>481.43684454382793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167.75222298741005</v>
      </c>
      <c r="AV62" s="21">
        <f>EXP(-LN(2)/25)*AV61+(1-EXP(-LN(2)/25))/(LN(2)/25)*Calculateur!AQ62*Calculateur!AS62*VLOOKUP('Données projet'!$B$10,Paramètres!$A$1:$I$89,3,0)*0.475*44/12</f>
        <v>56.747044608757307</v>
      </c>
      <c r="AW62" s="21">
        <f>EXP(-LN(2)/2)*AW61+(1-EXP(-LN(2)/2))/(LN(2)/2)*AQ62*AT62*VLOOKUP('Données projet'!$B$10,Paramètres!$A$1:$I$89,3,0)*0.475*44/12</f>
        <v>27.331201629943628</v>
      </c>
      <c r="AX62" s="21">
        <f t="shared" si="6"/>
        <v>251.83046922611098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6.2</v>
      </c>
      <c r="BD62" s="12">
        <f>IF('Données projet'!$A$88&gt;35,BD61+BC62-BL61,IF(A62&lt;'Données projet'!$A$88,$BA$205^A62,IF(A62='Données projet'!$A$88,'Données projet'!$B$88,BD61+BC62-BL61)))</f>
        <v>287.7999999999999</v>
      </c>
      <c r="BE62" s="13">
        <f>BD62*VLOOKUP('Données projet'!$B$11,Paramètres!$A$1:$I$89,3,0)*VLOOKUP('Données projet'!$B$11,Paramètres!$A$1:$I$89,5,0)</f>
        <v>273.87047999999993</v>
      </c>
      <c r="BF62" s="13">
        <f t="shared" si="37"/>
        <v>65.67000114837785</v>
      </c>
      <c r="BG62" s="20">
        <f t="shared" si="7"/>
        <v>591.36633800009133</v>
      </c>
      <c r="BH62" s="59">
        <f t="shared" si="8"/>
        <v>884.6996713334247</v>
      </c>
      <c r="BI62" s="59">
        <f ca="1">AVERAGE(OFFSET($BH$3,0,0,'Données projet'!$E$11+1,1))-AVERAGE(OFFSET($H$3,0,0,'Données projet'!$E$11+1,1))</f>
        <v>415.24818074059294</v>
      </c>
      <c r="BJ62" s="59">
        <f t="shared" si="38"/>
        <v>404.45811532046872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12.932546257879903</v>
      </c>
      <c r="BQ62" s="21">
        <f>EXP(-LN(2)/25)*BQ61+(1-EXP(-LN(2)/25))/(LN(2)/25)*Calculateur!BL62*Calculateur!BN62*VLOOKUP('Données projet'!$B$11,Paramètres!$A$1:$I$89,3,0)*0.475*44/12</f>
        <v>15.170460474890177</v>
      </c>
      <c r="BR62" s="21">
        <f>EXP(-LN(2)/2)*BR61+(1-EXP(-LN(2)/2))/(LN(2)/2)*BL62*BO62*VLOOKUP('Données projet'!$B$11,Paramètres!$A$1:$I$89,3,0)*0.475*44/12</f>
        <v>1.1416077126031008</v>
      </c>
      <c r="BS62" s="22">
        <f t="shared" si="9"/>
        <v>29.24461444537318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6.2</v>
      </c>
      <c r="BY62" s="12">
        <f>IF('Données projet'!$A$114&gt;35,BY61+BX62-CG61,IF(A62&lt;'Données projet'!$A$114,$BV$205^A62,IF(A62='Données projet'!$A$114,'Données projet'!$B$114,BY61+BX62-CG61)))</f>
        <v>287.7999999999999</v>
      </c>
      <c r="BZ62" s="13">
        <f>BY62*VLOOKUP('Données projet'!$B$12,Paramètres!$A$1:$I$89,3,0)*VLOOKUP('Données projet'!$B$12,Paramètres!$A$1:$I$89,5,0)</f>
        <v>251.42207999999994</v>
      </c>
      <c r="CA62" s="13">
        <f t="shared" si="39"/>
        <v>60.890357280401872</v>
      </c>
      <c r="CB62" s="20">
        <f t="shared" si="10"/>
        <v>543.94416159669981</v>
      </c>
      <c r="CC62" s="59">
        <f t="shared" si="11"/>
        <v>837.27749493003307</v>
      </c>
      <c r="CD62" s="59">
        <f ca="1">AVERAGE(OFFSET($CC$3,0,0,'Données projet'!$E$12+1,1))-AVERAGE(OFFSET($H$3,0,0,'Données projet'!$E$12+1,1))</f>
        <v>384.34044781465661</v>
      </c>
      <c r="CE62" s="59">
        <f t="shared" si="40"/>
        <v>374.99493809709708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14.633548339072648</v>
      </c>
      <c r="CL62" s="21">
        <f>EXP(-LN(2)/25)*CL61+(1-EXP(-LN(2)/25))/(LN(2)/25)*Calculateur!CG62*Calculateur!CI62*VLOOKUP('Données projet'!$B$12,Paramètres!$A$1:$I$89,3,0)*0.475*44/12</f>
        <v>17.165812691374011</v>
      </c>
      <c r="CM62" s="21">
        <f>EXP(-LN(2)/2)*CM61+(1-EXP(-LN(2)/2))/(LN(2)/2)*CG62*CJ62*VLOOKUP('Données projet'!$B$12,Paramètres!$A$1:$I$89,3,0)*0.475*44/12</f>
        <v>1.0480333099307158</v>
      </c>
      <c r="CN62" s="22">
        <f t="shared" si="12"/>
        <v>32.847394340377377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18.617142857142849</v>
      </c>
      <c r="CT62" s="12">
        <f>IF('Données projet'!$A$140&gt;35,CT61+CS62-DB61,IF(A62&lt;'Données projet'!$A$140,$CQ$205^A62,IF(A62='Données projet'!$A$140,'Données projet'!$B$140,CT61+CS62-DB61)))</f>
        <v>495.21142857142877</v>
      </c>
      <c r="CU62" s="17">
        <f>CT62*VLOOKUP('Données projet'!$B$13,Paramètres!$A$1:$I$89,3,0)*VLOOKUP('Données projet'!$B$13,Paramètres!$A$1:$I$89,5,0)</f>
        <v>276.82318857142872</v>
      </c>
      <c r="CV62" s="13">
        <f t="shared" si="41"/>
        <v>66.295212111853616</v>
      </c>
      <c r="CW62" s="20">
        <f t="shared" si="13"/>
        <v>597.59788119005009</v>
      </c>
      <c r="CX62" s="59">
        <f t="shared" si="14"/>
        <v>890.93121452338346</v>
      </c>
      <c r="CY62" s="59">
        <f ca="1">AVERAGE(OFFSET($CX$3,0,0,'Données projet'!$E$13+1,1))-AVERAGE(OFFSET($H$3,0,0,'Données projet'!$E$13+1,1))</f>
        <v>386.66324266750968</v>
      </c>
      <c r="CZ62" s="59">
        <f t="shared" si="42"/>
        <v>356.22149461585769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81.963750908327142</v>
      </c>
      <c r="DG62" s="21">
        <f>EXP(-LN(2)/25)*DG61+(1-EXP(-LN(2)/25))/(LN(2)/25)*Calculateur!DB62*Calculateur!DD62*VLOOKUP('Données projet'!$B$13,Paramètres!$A$1:$I$89,3,0)*0.475*44/12</f>
        <v>30.402242665413905</v>
      </c>
      <c r="DH62" s="21">
        <f>EXP(-LN(2)/2)*DH61+(1-EXP(-LN(2)/2))/(LN(2)/2)*DB62*DE62*VLOOKUP('Données projet'!$B$13,Paramètres!$A$1:$I$89,3,0)*0.475*44/12</f>
        <v>4.7207156566882187</v>
      </c>
      <c r="DI62" s="22">
        <f t="shared" si="15"/>
        <v>117.08670923042926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6.2</v>
      </c>
      <c r="DO62" s="12">
        <f>IF('Données projet'!$A$166&gt;35,DO61+DN62-DW61,IF(A62&lt;'Données projet'!$A$166,$DL$205^A62,IF(A62='Données projet'!$A$166,'Données projet'!$B$166,DO61+DN62-DW61)))</f>
        <v>287.7999999999999</v>
      </c>
      <c r="DP62" s="17">
        <f>DO62*VLOOKUP('Données projet'!$B$14,Paramètres!$A$1:$I$89,3,0)*VLOOKUP('Données projet'!$B$14,Paramètres!$A$1:$I$89,5,0)</f>
        <v>224.48399999999992</v>
      </c>
      <c r="DQ62" s="13">
        <f t="shared" si="43"/>
        <v>55.088313578677635</v>
      </c>
      <c r="DR62" s="20">
        <f t="shared" si="16"/>
        <v>486.92177948286343</v>
      </c>
      <c r="DS62" s="59">
        <f t="shared" si="17"/>
        <v>780.25511281619674</v>
      </c>
      <c r="DT62" s="59">
        <f ca="1">AVERAGE(OFFSET($DS$3,0,0,'Données projet'!$E$14+1,1))-AVERAGE(OFFSET($H$3,0,0,'Données projet'!$E$14+1,1))</f>
        <v>347.17417070871716</v>
      </c>
      <c r="DU62" s="59">
        <f t="shared" si="44"/>
        <v>339.56378046986441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10.600447752360576</v>
      </c>
      <c r="EB62" s="21">
        <f>EXP(-LN(2)/25)*EB61+(1-EXP(-LN(2)/25))/(LN(2)/25)*Calculateur!DW62*Calculateur!DY62*VLOOKUP('Données projet'!$B$14,Paramètres!$A$1:$I$89,3,0)*0.475*44/12</f>
        <v>12.434803667942765</v>
      </c>
      <c r="EC62" s="21">
        <f>EXP(-LN(2)/2)*EC61+(1-EXP(-LN(2)/2))/(LN(2)/2)*DW62*DZ62*VLOOKUP('Données projet'!$B$14,Paramètres!$A$1:$I$89,3,0)*0.475*44/12</f>
        <v>0.93574402672385304</v>
      </c>
      <c r="ED62" s="22">
        <f t="shared" si="18"/>
        <v>23.970995447027192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6.2</v>
      </c>
      <c r="EJ62" s="12">
        <f>IF('Données projet'!$A$192&gt;35,EJ61+EI62-ER61,IF(A62&lt;'Données projet'!$A$192,$EG$205^A62,IF(A62='Données projet'!$A$192,'Données projet'!$B$192,EJ61+EI62-ER61)))</f>
        <v>287.7999999999999</v>
      </c>
      <c r="EK62" s="17">
        <f>EJ62*VLOOKUP('Données projet'!$B$15,Paramètres!$A$1:$I$89,3,0)*VLOOKUP('Données projet'!$B$15,Paramètres!$A$1:$I$89,5,0)</f>
        <v>251.42207999999994</v>
      </c>
      <c r="EL62" s="13">
        <f t="shared" si="45"/>
        <v>60.890357280401872</v>
      </c>
      <c r="EM62" s="20">
        <f t="shared" si="19"/>
        <v>543.94416159669981</v>
      </c>
      <c r="EN62" s="59">
        <f t="shared" si="20"/>
        <v>837.27749493003307</v>
      </c>
      <c r="EO62" s="59">
        <f ca="1">AVERAGE(OFFSET($EN$3,0,0,'Données projet'!$E$15+1,1))-AVERAGE(OFFSET($H$3,0,0,'Données projet'!$E$15+1,1))</f>
        <v>384.34044781465661</v>
      </c>
      <c r="EP62" s="59">
        <f t="shared" si="46"/>
        <v>374.99493809709708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11.872501482643845</v>
      </c>
      <c r="EW62" s="21">
        <f>EXP(-LN(2)/25)*EW61+(1-EXP(-LN(2)/25))/(LN(2)/25)*Calculateur!ER62*Calculateur!ET62*VLOOKUP('Données projet'!$B$15,Paramètres!$A$1:$I$89,3,0)*0.475*44/12</f>
        <v>13.926980108095902</v>
      </c>
      <c r="EX62" s="21">
        <f>EXP(-LN(2)/2)*EX61+(1-EXP(-LN(2)/2))/(LN(2)/2)*ER62*EU62*VLOOKUP('Données projet'!$B$15,Paramètres!$A$1:$I$89,3,0)*0.475*44/12</f>
        <v>1.0480333099307158</v>
      </c>
      <c r="EY62" s="22">
        <f t="shared" si="21"/>
        <v>26.847514900670461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6.2</v>
      </c>
      <c r="FE62" s="12">
        <f>IF('Données projet'!$A$218&gt;35,FE61+FD62-FM61,IF(A62&lt;'Données projet'!$A$218,$FB$205^A62,IF(A62='Données projet'!$A$218,'Données projet'!$B$218,FE61+FD62-FM61)))</f>
        <v>287.7999999999999</v>
      </c>
      <c r="FF62" s="17">
        <f>FE62*VLOOKUP('Données projet'!$B$16,Paramètres!$A$1:$I$89,3,0)*VLOOKUP('Données projet'!$B$16,Paramètres!$A$1:$I$89,5,0)</f>
        <v>233.46335999999994</v>
      </c>
      <c r="FG62" s="13">
        <f t="shared" si="47"/>
        <v>57.030888299157333</v>
      </c>
      <c r="FH62" s="20">
        <f t="shared" si="22"/>
        <v>505.94414912103224</v>
      </c>
      <c r="FI62" s="59">
        <f t="shared" si="23"/>
        <v>799.27748245436555</v>
      </c>
      <c r="FJ62" s="59">
        <f ca="1">AVERAGE(OFFSET($FI$3,0,0,'Données projet'!$E$16+1,1))-AVERAGE(OFFSET($H$3,0,0,'Données projet'!$E$16+1,1))</f>
        <v>359.57284550600366</v>
      </c>
      <c r="FK62" s="59">
        <f t="shared" si="48"/>
        <v>351.38386928091433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11.024465662455</v>
      </c>
      <c r="FR62" s="21">
        <f>EXP(-LN(2)/25)*FR61+(1-EXP(-LN(2)/25))/(LN(2)/25)*Calculateur!FM62*Calculateur!FO62*VLOOKUP('Données projet'!$B$16,Paramètres!$A$1:$I$89,3,0)*0.475*44/12</f>
        <v>12.93219581466048</v>
      </c>
      <c r="FS62" s="21">
        <f>EXP(-LN(2)/2)*FS61+(1-EXP(-LN(2)/2))/(LN(2)/2)*FM62*FP62*VLOOKUP('Données projet'!$B$16,Paramètres!$A$1:$I$89,3,0)*0.475*44/12</f>
        <v>0.97317378779280728</v>
      </c>
      <c r="FT62" s="22">
        <f t="shared" si="24"/>
        <v>24.929835264908288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6">
        <f t="shared" si="1"/>
        <v>256.66666666666669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13.520000000000003</v>
      </c>
      <c r="N63" s="13">
        <f>IF('Données projet'!$A$36&gt;35,N62+M63-V62,IF(A63&lt;'Données projet'!$A$36,$K$205^A63,IF(A63='Données projet'!$A$36,'Données projet'!$B$36,N62+M63-V62)))</f>
        <v>307.80000000000013</v>
      </c>
      <c r="O63" s="13">
        <f>N63*VLOOKUP('Données projet'!$B$9,Paramètres!$A$1:$I$89,3,0)*VLOOKUP('Données projet'!$B$9,Paramètres!$A$1:$I$89,5,0)</f>
        <v>278.4974400000001</v>
      </c>
      <c r="P63" s="13">
        <f t="shared" si="33"/>
        <v>66.649375389445709</v>
      </c>
      <c r="Q63" s="20">
        <f t="shared" si="53"/>
        <v>601.13070346995141</v>
      </c>
      <c r="R63" s="59">
        <f t="shared" si="0"/>
        <v>894.46403680328467</v>
      </c>
      <c r="S63" s="59">
        <f ca="1">AVERAGE(OFFSET($R$3,0,0,'Données projet'!$E$9+1,1))-AVERAGE(OFFSET($H$3,0,0,'Données projet'!$E$9+1,1))</f>
        <v>695.0879239758051</v>
      </c>
      <c r="T63" s="59">
        <f t="shared" si="34"/>
        <v>226.22150997227476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9.5234074620791187</v>
      </c>
      <c r="AA63" s="21">
        <f>EXP(-LN(2)/25)*AA62+(1-EXP(-LN(2)/25))/(LN(2)/25)*Calculateur!V63*Calculateur!X63*VLOOKUP('Données projet'!$B$9,Paramètres!$A$1:$I$89,3,0)*0.475*44/12</f>
        <v>41.908847224152197</v>
      </c>
      <c r="AB63" s="21">
        <f>EXP(-LN(2)/2)*AB62+(1-EXP(-LN(2)/2))/(LN(2)/2)*V63*Y63*VLOOKUP('Données projet'!$B$9,Paramètres!$A$1:$I$89,3,0)*0.475*44/12</f>
        <v>3.2070667817803584</v>
      </c>
      <c r="AC63" s="22">
        <f t="shared" si="3"/>
        <v>54.639321468011673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1.1368683772161603E-13</v>
      </c>
      <c r="AJ63" s="13">
        <f>AI63*VLOOKUP('Données projet'!$B$10,Paramètres!$A$1:$I$89,3,0)*VLOOKUP('Données projet'!$B$10,Paramètres!$A$1:$I$89,5,0)</f>
        <v>6.7984728957526396E-14</v>
      </c>
      <c r="AK63" s="13">
        <f t="shared" si="35"/>
        <v>1.0682447123141398E-12</v>
      </c>
      <c r="AL63" s="20">
        <f t="shared" si="4"/>
        <v>1.978932943548152E-12</v>
      </c>
      <c r="AM63" s="59">
        <f t="shared" si="5"/>
        <v>293.3333333333353</v>
      </c>
      <c r="AN63" s="59">
        <f ca="1">AVERAGE(OFFSET($AM$3,0,0,'Données projet'!$E$10+1,1))-AVERAGE(OFFSET($H$3,0,0,'Données projet'!$E$10+1,1))</f>
        <v>388.12151914648013</v>
      </c>
      <c r="AO63" s="59">
        <f t="shared" si="36"/>
        <v>481.43684454382793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164.46270421337982</v>
      </c>
      <c r="AV63" s="21">
        <f>EXP(-LN(2)/25)*AV62+(1-EXP(-LN(2)/25))/(LN(2)/25)*Calculateur!AQ63*Calculateur!AS63*VLOOKUP('Données projet'!$B$10,Paramètres!$A$1:$I$89,3,0)*0.475*44/12</f>
        <v>55.195293689733461</v>
      </c>
      <c r="AW63" s="21">
        <f>EXP(-LN(2)/2)*AW62+(1-EXP(-LN(2)/2))/(LN(2)/2)*AQ63*AT63*VLOOKUP('Données projet'!$B$10,Paramètres!$A$1:$I$89,3,0)*0.475*44/12</f>
        <v>19.32607801050996</v>
      </c>
      <c r="AX63" s="21">
        <f t="shared" si="6"/>
        <v>238.98407591362326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294</v>
      </c>
      <c r="BB63" s="12">
        <f>VLOOKUP(A63,'Données projet'!$A$87:$I$107,9,0)</f>
        <v>6.2</v>
      </c>
      <c r="BC63" s="12">
        <f t="array" ref="BC63">INDEX(BB:BB,MIN(IF(ISNUMBER(BB63:BB259),ROW(BB63:BB259),"")))</f>
        <v>6.2</v>
      </c>
      <c r="BD63" s="12">
        <f>IF('Données projet'!$A$88&gt;35,BD62+BC63-BL62,IF(A63&lt;'Données projet'!$A$88,$BA$205^A63,IF(A63='Données projet'!$A$88,'Données projet'!$B$88,BD62+BC63-BL62)))</f>
        <v>293.99999999999989</v>
      </c>
      <c r="BE63" s="13">
        <f>BD63*VLOOKUP('Données projet'!$B$11,Paramètres!$A$1:$I$89,3,0)*VLOOKUP('Données projet'!$B$11,Paramètres!$A$1:$I$89,5,0)</f>
        <v>279.77039999999988</v>
      </c>
      <c r="BF63" s="13">
        <f t="shared" si="37"/>
        <v>66.918485484562225</v>
      </c>
      <c r="BG63" s="20">
        <f t="shared" si="7"/>
        <v>603.81647555227892</v>
      </c>
      <c r="BH63" s="59">
        <f t="shared" si="8"/>
        <v>897.14980888561217</v>
      </c>
      <c r="BI63" s="59">
        <f ca="1">AVERAGE(OFFSET($BH$3,0,0,'Données projet'!$E$11+1,1))-AVERAGE(OFFSET($H$3,0,0,'Données projet'!$E$11+1,1))</f>
        <v>415.24818074059294</v>
      </c>
      <c r="BJ63" s="59">
        <f t="shared" si="38"/>
        <v>404.45811532046872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14</v>
      </c>
      <c r="BM63" s="16">
        <f>IF(ISNA(VLOOKUP(A63,'Données projet'!$A$87:$I$107,5,0)),0%,VLOOKUP(A63,'Données projet'!$A$87:$I$107,5,0)*VLOOKUP('Données projet'!$B$11,Paramètres!$A$1:$I$89,7,0))</f>
        <v>0.1075</v>
      </c>
      <c r="BN63" s="16">
        <f>IF(ISNA(VLOOKUP(A63,'Données projet'!$A$87:$I$107,6,0)),0%,VLOOKUP(A63,'Données projet'!$A$87:$I$107,6,0)*VLOOKUP('Données projet'!$B$11,Paramètres!$A$1:$I$89,7,0))</f>
        <v>0.1075</v>
      </c>
      <c r="BO63" s="16">
        <f>IF(ISNA(VLOOKUP(A63,'Données projet'!$A$87:$I$107,7,0)),0%,VLOOKUP(A63,'Données projet'!$A$87:$I$107,7,0))</f>
        <v>0.25</v>
      </c>
      <c r="BP63" s="21">
        <f>EXP(-LN(2)/35)*BP62+(1-EXP(-LN(2)/35))/(LN(2)/35)*BL63*BM63*VLOOKUP('Données projet'!$B$11,Paramètres!$A$1:$I$89,3,0)*0.475*44/12</f>
        <v>14.262155161648362</v>
      </c>
      <c r="BQ63" s="21">
        <f>EXP(-LN(2)/25)*BQ62+(1-EXP(-LN(2)/25))/(LN(2)/25)*Calculateur!BL63*Calculateur!BN63*VLOOKUP('Données projet'!$B$11,Paramètres!$A$1:$I$89,3,0)*0.475*44/12</f>
        <v>16.332597989114344</v>
      </c>
      <c r="BR63" s="21">
        <f>EXP(-LN(2)/2)*BR62+(1-EXP(-LN(2)/2))/(LN(2)/2)*BL63*BO63*VLOOKUP('Données projet'!$B$11,Paramètres!$A$1:$I$89,3,0)*0.475*44/12</f>
        <v>3.949749296821222</v>
      </c>
      <c r="BS63" s="22">
        <f t="shared" si="9"/>
        <v>34.54450244758393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294</v>
      </c>
      <c r="BW63" s="12">
        <f>VLOOKUP(A63,'Données projet'!$A$113:$I$133,9,0)</f>
        <v>6.2</v>
      </c>
      <c r="BX63" s="12">
        <f t="array" ref="BX63">INDEX(BW:BW,MIN(IF(ISNUMBER(BW63:BW259),ROW(BW63:BW259),"")))</f>
        <v>6.2</v>
      </c>
      <c r="BY63" s="12">
        <f>IF('Données projet'!$A$114&gt;35,BY62+BX63-CG62,IF(A63&lt;'Données projet'!$A$114,$BV$205^A63,IF(A63='Données projet'!$A$114,'Données projet'!$B$114,BY62+BX63-CG62)))</f>
        <v>293.99999999999989</v>
      </c>
      <c r="BZ63" s="13">
        <f>BY63*VLOOKUP('Données projet'!$B$12,Paramètres!$A$1:$I$89,3,0)*VLOOKUP('Données projet'!$B$12,Paramètres!$A$1:$I$89,5,0)</f>
        <v>256.83839999999992</v>
      </c>
      <c r="CA63" s="13">
        <f t="shared" si="39"/>
        <v>62.047973482014044</v>
      </c>
      <c r="CB63" s="20">
        <f t="shared" si="10"/>
        <v>555.39376714784089</v>
      </c>
      <c r="CC63" s="59">
        <f t="shared" si="11"/>
        <v>848.72710048117415</v>
      </c>
      <c r="CD63" s="59">
        <f ca="1">AVERAGE(OFFSET($CC$3,0,0,'Données projet'!$E$12+1,1))-AVERAGE(OFFSET($H$3,0,0,'Données projet'!$E$12+1,1))</f>
        <v>384.34044781465661</v>
      </c>
      <c r="CE63" s="59">
        <f t="shared" si="40"/>
        <v>374.99493809709708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14</v>
      </c>
      <c r="CH63" s="16">
        <f>IF(ISNA(VLOOKUP(A63,'Données projet'!$A$113:$I$133,5,0)),0%,VLOOKUP(A63,'Données projet'!$A$113:$I$133,5,0)*VLOOKUP('Données projet'!$B$12,Paramètres!$A$1:$I$89,7,0))</f>
        <v>0.13250000000000001</v>
      </c>
      <c r="CI63" s="16">
        <f>IF(ISNA(VLOOKUP(A63,'Données projet'!$A$113:$I$133,6,0)),0%,VLOOKUP(A63,'Données projet'!$A$113:$I$133,6,0)*VLOOKUP('Données projet'!$B$12,Paramètres!$A$1:$I$89,7,0))</f>
        <v>0.13250000000000001</v>
      </c>
      <c r="CJ63" s="16">
        <f>IF(ISNA(VLOOKUP(A63,'Données projet'!$A$113:$I$133,7,0)),0%,VLOOKUP(A63,'Données projet'!$A$113:$I$133,7,0))</f>
        <v>0.25</v>
      </c>
      <c r="CK63" s="21">
        <f>EXP(-LN(2)/35)*CK62+(1-EXP(-LN(2)/35))/(LN(2)/35)*CG63*CH63*VLOOKUP('Données projet'!$B$12,Paramètres!$A$1:$I$89,3,0)*0.475*44/12</f>
        <v>16.138039084930366</v>
      </c>
      <c r="CL63" s="21">
        <f>EXP(-LN(2)/25)*CL62+(1-EXP(-LN(2)/25))/(LN(2)/25)*Calculateur!CG63*Calculateur!CI63*VLOOKUP('Données projet'!$B$12,Paramètres!$A$1:$I$89,3,0)*0.475*44/12</f>
        <v>18.480804739493465</v>
      </c>
      <c r="CM63" s="21">
        <f>EXP(-LN(2)/2)*CM62+(1-EXP(-LN(2)/2))/(LN(2)/2)*CG63*CJ63*VLOOKUP('Données projet'!$B$12,Paramètres!$A$1:$I$89,3,0)*0.475*44/12</f>
        <v>3.6259993544588274</v>
      </c>
      <c r="CN63" s="22">
        <f t="shared" si="12"/>
        <v>38.244843178882661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18.617142857142849</v>
      </c>
      <c r="CT63" s="12">
        <f>IF('Données projet'!$A$140&gt;35,CT62+CS63-DB62,IF(A63&lt;'Données projet'!$A$140,$CQ$205^A63,IF(A63='Données projet'!$A$140,'Données projet'!$B$140,CT62+CS63-DB62)))</f>
        <v>513.82857142857165</v>
      </c>
      <c r="CU63" s="17">
        <f>CT63*VLOOKUP('Données projet'!$B$13,Paramètres!$A$1:$I$89,3,0)*VLOOKUP('Données projet'!$B$13,Paramètres!$A$1:$I$89,5,0)</f>
        <v>287.23017142857157</v>
      </c>
      <c r="CV63" s="13">
        <f t="shared" si="41"/>
        <v>68.492677457199264</v>
      </c>
      <c r="CW63" s="20">
        <f t="shared" si="13"/>
        <v>619.55062847605086</v>
      </c>
      <c r="CX63" s="59">
        <f t="shared" si="14"/>
        <v>912.88396180938412</v>
      </c>
      <c r="CY63" s="59">
        <f ca="1">AVERAGE(OFFSET($CX$3,0,0,'Données projet'!$E$13+1,1))-AVERAGE(OFFSET($H$3,0,0,'Données projet'!$E$13+1,1))</f>
        <v>386.66324266750968</v>
      </c>
      <c r="CZ63" s="59">
        <f t="shared" si="42"/>
        <v>356.22149461585769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80.356491745966508</v>
      </c>
      <c r="DG63" s="21">
        <f>EXP(-LN(2)/25)*DG62+(1-EXP(-LN(2)/25))/(LN(2)/25)*Calculateur!DB63*Calculateur!DD63*VLOOKUP('Données projet'!$B$13,Paramètres!$A$1:$I$89,3,0)*0.475*44/12</f>
        <v>29.570891740943704</v>
      </c>
      <c r="DH63" s="21">
        <f>EXP(-LN(2)/2)*DH62+(1-EXP(-LN(2)/2))/(LN(2)/2)*DB63*DE63*VLOOKUP('Données projet'!$B$13,Paramètres!$A$1:$I$89,3,0)*0.475*44/12</f>
        <v>3.3380500528977457</v>
      </c>
      <c r="DI63" s="22">
        <f t="shared" si="15"/>
        <v>113.26543353980796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294</v>
      </c>
      <c r="DM63" s="12">
        <f>VLOOKUP(A63,'Données projet'!$A$165:$I$185,9,0)</f>
        <v>6.2</v>
      </c>
      <c r="DN63" s="12">
        <f t="array" ref="DN63">INDEX(DM:DM,MIN(IF(ISNUMBER(DM63:DM259),ROW(DM63:DM259),"")))</f>
        <v>6.2</v>
      </c>
      <c r="DO63" s="12">
        <f>IF('Données projet'!$A$166&gt;35,DO62+DN63-DW62,IF(A63&lt;'Données projet'!$A$166,$DL$205^A63,IF(A63='Données projet'!$A$166,'Données projet'!$B$166,DO62+DN63-DW62)))</f>
        <v>293.99999999999989</v>
      </c>
      <c r="DP63" s="17">
        <f>DO63*VLOOKUP('Données projet'!$B$14,Paramètres!$A$1:$I$89,3,0)*VLOOKUP('Données projet'!$B$14,Paramètres!$A$1:$I$89,5,0)</f>
        <v>229.31999999999991</v>
      </c>
      <c r="DQ63" s="13">
        <f t="shared" si="43"/>
        <v>56.135624305144574</v>
      </c>
      <c r="DR63" s="20">
        <f t="shared" si="16"/>
        <v>497.16854566479333</v>
      </c>
      <c r="DS63" s="59">
        <f t="shared" si="17"/>
        <v>790.50187899812659</v>
      </c>
      <c r="DT63" s="59">
        <f ca="1">AVERAGE(OFFSET($DS$3,0,0,'Données projet'!$E$14+1,1))-AVERAGE(OFFSET($H$3,0,0,'Données projet'!$E$14+1,1))</f>
        <v>347.17417070871716</v>
      </c>
      <c r="DU63" s="59">
        <f t="shared" si="44"/>
        <v>339.56378046986441</v>
      </c>
      <c r="DV63" s="15">
        <f>IF(ISNA(VLOOKUP(A63,'Données projet'!$A$165:$I$185,3,0)),0,VLOOKUP(A63,'Données projet'!$A$165:$I$185,3,0))</f>
        <v>10</v>
      </c>
      <c r="DW63" s="15">
        <f>IF(ISNA(VLOOKUP(A63,'Données projet'!$A$165:$I$185,4,0)),0,VLOOKUP(A63,'Données projet'!$A$165:$I$185,4,0))</f>
        <v>14</v>
      </c>
      <c r="DX63" s="16">
        <f>IF(ISNA(VLOOKUP(A63,'Données projet'!$A$165:$I$185,5,0)),0%,VLOOKUP(A63,'Données projet'!$A$165:$I$185,5,0)*VLOOKUP('Données projet'!$B$14,Paramètres!$A$1:$I$89,7,0))</f>
        <v>0.1075</v>
      </c>
      <c r="DY63" s="16">
        <f>IF(ISNA(VLOOKUP(A63,'Données projet'!$A$165:$I$185,6,0)),0%,VLOOKUP(A63,'Données projet'!$A$165:$I$185,6,0)*VLOOKUP('Données projet'!$B$14,Paramètres!$A$1:$I$89,7,0))</f>
        <v>0.1075</v>
      </c>
      <c r="DZ63" s="16">
        <f>IF(ISNA(VLOOKUP(A63,'Données projet'!$A$165:$I$185,7,0)),0%,VLOOKUP(A63,'Données projet'!$A$165:$I$185,7,0))</f>
        <v>0.25</v>
      </c>
      <c r="EA63" s="21">
        <f>EXP(-LN(2)/35)*EA62+(1-EXP(-LN(2)/35))/(LN(2)/35)*DW63*DX63*VLOOKUP('Données projet'!$B$14,Paramètres!$A$1:$I$89,3,0)*0.475*44/12</f>
        <v>11.690291116105216</v>
      </c>
      <c r="EB63" s="21">
        <f>EXP(-LN(2)/25)*EB62+(1-EXP(-LN(2)/25))/(LN(2)/25)*Calculateur!DW63*Calculateur!DY63*VLOOKUP('Données projet'!$B$14,Paramètres!$A$1:$I$89,3,0)*0.475*44/12</f>
        <v>13.387375400913394</v>
      </c>
      <c r="EC63" s="21">
        <f>EXP(-LN(2)/2)*EC62+(1-EXP(-LN(2)/2))/(LN(2)/2)*DW63*DZ63*VLOOKUP('Données projet'!$B$14,Paramètres!$A$1:$I$89,3,0)*0.475*44/12</f>
        <v>3.2374994236239525</v>
      </c>
      <c r="ED63" s="22">
        <f t="shared" si="18"/>
        <v>28.315165940642562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294</v>
      </c>
      <c r="EH63" s="12">
        <f>VLOOKUP(A63,'Données projet'!$A$191:$I$211,9,0)</f>
        <v>6.2</v>
      </c>
      <c r="EI63" s="12">
        <f t="array" ref="EI63">INDEX(EH:EH,MIN(IF(ISNUMBER(EH63:EH259),ROW(EH63:EH259),"")))</f>
        <v>6.2</v>
      </c>
      <c r="EJ63" s="12">
        <f>IF('Données projet'!$A$192&gt;35,EJ62+EI63-ER62,IF(A63&lt;'Données projet'!$A$192,$EG$205^A63,IF(A63='Données projet'!$A$192,'Données projet'!$B$192,EJ62+EI63-ER62)))</f>
        <v>293.99999999999989</v>
      </c>
      <c r="EK63" s="17">
        <f>EJ63*VLOOKUP('Données projet'!$B$15,Paramètres!$A$1:$I$89,3,0)*VLOOKUP('Données projet'!$B$15,Paramètres!$A$1:$I$89,5,0)</f>
        <v>256.83839999999992</v>
      </c>
      <c r="EL63" s="13">
        <f t="shared" si="45"/>
        <v>62.047973482014044</v>
      </c>
      <c r="EM63" s="20">
        <f t="shared" si="19"/>
        <v>555.39376714784089</v>
      </c>
      <c r="EN63" s="59">
        <f t="shared" si="20"/>
        <v>848.72710048117415</v>
      </c>
      <c r="EO63" s="59">
        <f ca="1">AVERAGE(OFFSET($EN$3,0,0,'Données projet'!$E$15+1,1))-AVERAGE(OFFSET($H$3,0,0,'Données projet'!$E$15+1,1))</f>
        <v>384.34044781465661</v>
      </c>
      <c r="EP63" s="59">
        <f t="shared" si="46"/>
        <v>374.99493809709708</v>
      </c>
      <c r="EQ63" s="15">
        <f>IF(ISNA(VLOOKUP(A63,'Données projet'!$A$191:$I$211,3,0)),0,VLOOKUP(A63,'Données projet'!$A$191:$I$211,3,0))</f>
        <v>10</v>
      </c>
      <c r="ER63" s="15">
        <f>IF(ISNA(VLOOKUP(A63,'Données projet'!$A$191:$I$211,4,0)),0,VLOOKUP(A63,'Données projet'!$A$191:$I$211,4,0))</f>
        <v>14</v>
      </c>
      <c r="ES63" s="16">
        <f>IF(ISNA(VLOOKUP(A63,'Données projet'!$A$191:$I$211,5,0)),0%,VLOOKUP(A63,'Données projet'!$A$191:$I$211,5,0)*VLOOKUP('Données projet'!$B$15,Paramètres!$A$1:$I$89,7,0))</f>
        <v>0.1075</v>
      </c>
      <c r="ET63" s="16">
        <f>IF(ISNA(VLOOKUP(A63,'Données projet'!$A$191:$I$211,6,0)),0%,VLOOKUP(A63,'Données projet'!$A$191:$I$211,6,0)*VLOOKUP('Données projet'!$B$15,Paramètres!$A$1:$I$89,7,0))</f>
        <v>0.1075</v>
      </c>
      <c r="EU63" s="16">
        <f>IF(ISNA(VLOOKUP(A63,'Données projet'!$A$191:$I$211,7,0)),0%,VLOOKUP(A63,'Données projet'!$A$191:$I$211,7,0))</f>
        <v>0.25</v>
      </c>
      <c r="EV63" s="21">
        <f>EXP(-LN(2)/35)*EV62+(1-EXP(-LN(2)/35))/(LN(2)/35)*ER63*ES63*VLOOKUP('Données projet'!$B$15,Paramètres!$A$1:$I$89,3,0)*0.475*44/12</f>
        <v>13.093126050037842</v>
      </c>
      <c r="EW63" s="21">
        <f>EXP(-LN(2)/25)*EW62+(1-EXP(-LN(2)/25))/(LN(2)/25)*Calculateur!ER63*Calculateur!ET63*VLOOKUP('Données projet'!$B$15,Paramètres!$A$1:$I$89,3,0)*0.475*44/12</f>
        <v>14.993860449023007</v>
      </c>
      <c r="EX63" s="21">
        <f>EXP(-LN(2)/2)*EX62+(1-EXP(-LN(2)/2))/(LN(2)/2)*ER63*EU63*VLOOKUP('Données projet'!$B$15,Paramètres!$A$1:$I$89,3,0)*0.475*44/12</f>
        <v>3.6259993544588274</v>
      </c>
      <c r="EY63" s="22">
        <f t="shared" si="21"/>
        <v>31.712985853519676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294</v>
      </c>
      <c r="FC63" s="12">
        <f>VLOOKUP(A63,'Données projet'!$A$217:$I$237,9,0)</f>
        <v>6.2</v>
      </c>
      <c r="FD63" s="12">
        <f t="array" ref="FD63">INDEX(FC:FC,MIN(IF(ISNUMBER(FC63:FC259),ROW(FC63:FC259),"")))</f>
        <v>6.2</v>
      </c>
      <c r="FE63" s="12">
        <f>IF('Données projet'!$A$218&gt;35,FE62+FD63-FM62,IF(A63&lt;'Données projet'!$A$218,$FB$205^A63,IF(A63='Données projet'!$A$218,'Données projet'!$B$218,FE62+FD63-FM62)))</f>
        <v>293.99999999999989</v>
      </c>
      <c r="FF63" s="17">
        <f>FE63*VLOOKUP('Données projet'!$B$16,Paramètres!$A$1:$I$89,3,0)*VLOOKUP('Données projet'!$B$16,Paramètres!$A$1:$I$89,5,0)</f>
        <v>238.4927999999999</v>
      </c>
      <c r="FG63" s="13">
        <f t="shared" si="47"/>
        <v>58.115130258576542</v>
      </c>
      <c r="FH63" s="20">
        <f t="shared" si="22"/>
        <v>516.59214520035403</v>
      </c>
      <c r="FI63" s="59">
        <f t="shared" si="23"/>
        <v>809.92547853368728</v>
      </c>
      <c r="FJ63" s="59">
        <f ca="1">AVERAGE(OFFSET($FI$3,0,0,'Données projet'!$E$16+1,1))-AVERAGE(OFFSET($H$3,0,0,'Données projet'!$E$16+1,1))</f>
        <v>359.57284550600366</v>
      </c>
      <c r="FK63" s="59">
        <f t="shared" si="48"/>
        <v>351.38386928091433</v>
      </c>
      <c r="FL63" s="15">
        <f>IF(ISNA(VLOOKUP(A63,'Données projet'!$A$217:$I$237,3,0)),0,VLOOKUP(A63,'Données projet'!$A$217:$I$237,3,0))</f>
        <v>10</v>
      </c>
      <c r="FM63" s="15">
        <f>IF(ISNA(VLOOKUP(A63,'Données projet'!$A$217:$I$237,4,0)),0,VLOOKUP(A63,'Données projet'!$A$217:$I$237,4,0))</f>
        <v>14</v>
      </c>
      <c r="FN63" s="16">
        <f>IF(ISNA(VLOOKUP(A63,'Données projet'!$A$217:$I$237,5,0)),0%,VLOOKUP(A63,'Données projet'!$A$217:$I$237,5,0)*VLOOKUP('Données projet'!$B$16,Paramètres!$A$1:$I$89,7,0))</f>
        <v>0.1075</v>
      </c>
      <c r="FO63" s="16">
        <f>IF(ISNA(VLOOKUP(A63,'Données projet'!$A$217:$I$237,6,0)),0%,VLOOKUP(A63,'Données projet'!$A$217:$I$237,6,0)*VLOOKUP('Données projet'!$B$16,Paramètres!$A$1:$I$89,7,0))</f>
        <v>0.1075</v>
      </c>
      <c r="FP63" s="16">
        <f>IF(ISNA(VLOOKUP(A63,'Données projet'!$A$217:$I$237,7,0)),0%,VLOOKUP(A63,'Données projet'!$A$217:$I$237,7,0))</f>
        <v>0.25</v>
      </c>
      <c r="FQ63" s="21">
        <f>EXP(-LN(2)/35)*FQ62+(1-EXP(-LN(2)/35))/(LN(2)/35)*FM63*FN63*VLOOKUP('Données projet'!$B$16,Paramètres!$A$1:$I$89,3,0)*0.475*44/12</f>
        <v>12.157902760749426</v>
      </c>
      <c r="FR63" s="21">
        <f>EXP(-LN(2)/25)*FR62+(1-EXP(-LN(2)/25))/(LN(2)/25)*Calculateur!FM63*Calculateur!FO63*VLOOKUP('Données projet'!$B$16,Paramètres!$A$1:$I$89,3,0)*0.475*44/12</f>
        <v>13.922870416949934</v>
      </c>
      <c r="FS63" s="21">
        <f>EXP(-LN(2)/2)*FS62+(1-EXP(-LN(2)/2))/(LN(2)/2)*FM63*FP63*VLOOKUP('Données projet'!$B$16,Paramètres!$A$1:$I$89,3,0)*0.475*44/12</f>
        <v>3.3669994005689103</v>
      </c>
      <c r="FT63" s="22">
        <f t="shared" si="24"/>
        <v>29.447772578268271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6">
        <f t="shared" si="1"/>
        <v>256.66666666666669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13.520000000000003</v>
      </c>
      <c r="N64" s="13">
        <f>IF('Données projet'!$A$36&gt;35,N63+M64-V63,IF(A64&lt;'Données projet'!$A$36,$K$205^A64,IF(A64='Données projet'!$A$36,'Données projet'!$B$36,N63+M64-V63)))</f>
        <v>321.32000000000011</v>
      </c>
      <c r="O64" s="13">
        <f>N64*VLOOKUP('Données projet'!$B$9,Paramètres!$A$1:$I$89,3,0)*VLOOKUP('Données projet'!$B$9,Paramètres!$A$1:$I$89,5,0)</f>
        <v>290.73033600000008</v>
      </c>
      <c r="P64" s="13">
        <f t="shared" si="33"/>
        <v>69.229650371802393</v>
      </c>
      <c r="Q64" s="20">
        <f t="shared" si="53"/>
        <v>626.93030959755595</v>
      </c>
      <c r="R64" s="59">
        <f t="shared" si="0"/>
        <v>920.26364293088932</v>
      </c>
      <c r="S64" s="59">
        <f ca="1">AVERAGE(OFFSET($R$3,0,0,'Données projet'!$E$9+1,1))-AVERAGE(OFFSET($H$3,0,0,'Données projet'!$E$9+1,1))</f>
        <v>695.0879239758051</v>
      </c>
      <c r="T64" s="59">
        <f t="shared" si="34"/>
        <v>226.22150997227476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9.3366592504527368</v>
      </c>
      <c r="AA64" s="21">
        <f>EXP(-LN(2)/25)*AA63+(1-EXP(-LN(2)/25))/(LN(2)/25)*Calculateur!V64*Calculateur!X64*VLOOKUP('Données projet'!$B$9,Paramètres!$A$1:$I$89,3,0)*0.475*44/12</f>
        <v>40.762847592917261</v>
      </c>
      <c r="AB64" s="21">
        <f>EXP(-LN(2)/2)*AB63+(1-EXP(-LN(2)/2))/(LN(2)/2)*V64*Y64*VLOOKUP('Données projet'!$B$9,Paramètres!$A$1:$I$89,3,0)*0.475*44/12</f>
        <v>2.2677386691150092</v>
      </c>
      <c r="AC64" s="22">
        <f t="shared" si="3"/>
        <v>52.367245512485006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1.1368683772161603E-13</v>
      </c>
      <c r="AJ64" s="13">
        <f>AI64*VLOOKUP('Données projet'!$B$10,Paramètres!$A$1:$I$89,3,0)*VLOOKUP('Données projet'!$B$10,Paramètres!$A$1:$I$89,5,0)</f>
        <v>6.7984728957526396E-14</v>
      </c>
      <c r="AK64" s="13">
        <f t="shared" si="35"/>
        <v>1.0682447123141398E-12</v>
      </c>
      <c r="AL64" s="20">
        <f t="shared" si="4"/>
        <v>1.978932943548152E-12</v>
      </c>
      <c r="AM64" s="59">
        <f t="shared" si="5"/>
        <v>293.3333333333353</v>
      </c>
      <c r="AN64" s="59">
        <f ca="1">AVERAGE(OFFSET($AM$3,0,0,'Données projet'!$E$10+1,1))-AVERAGE(OFFSET($H$3,0,0,'Données projet'!$E$10+1,1))</f>
        <v>388.12151914648013</v>
      </c>
      <c r="AO64" s="59">
        <f t="shared" si="36"/>
        <v>481.43684454382793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161.23769089609999</v>
      </c>
      <c r="AV64" s="21">
        <f>EXP(-LN(2)/25)*AV63+(1-EXP(-LN(2)/25))/(LN(2)/25)*Calculateur!AQ64*Calculateur!AS64*VLOOKUP('Données projet'!$B$10,Paramètres!$A$1:$I$89,3,0)*0.475*44/12</f>
        <v>53.685975481193353</v>
      </c>
      <c r="AW64" s="21">
        <f>EXP(-LN(2)/2)*AW63+(1-EXP(-LN(2)/2))/(LN(2)/2)*AQ64*AT64*VLOOKUP('Données projet'!$B$10,Paramètres!$A$1:$I$89,3,0)*0.475*44/12</f>
        <v>13.665600814971814</v>
      </c>
      <c r="AX64" s="21">
        <f t="shared" si="6"/>
        <v>228.58926719226514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5.2</v>
      </c>
      <c r="BD64" s="12">
        <f>IF('Données projet'!$A$88&gt;35,BD63+BC64-BL63,IF(A64&lt;'Données projet'!$A$88,$BA$205^A64,IF(A64='Données projet'!$A$88,'Données projet'!$B$88,BD63+BC64-BL63)))</f>
        <v>285.19999999999987</v>
      </c>
      <c r="BE64" s="13">
        <f>BD64*VLOOKUP('Données projet'!$B$11,Paramètres!$A$1:$I$89,3,0)*VLOOKUP('Données projet'!$B$11,Paramètres!$A$1:$I$89,5,0)</f>
        <v>271.39631999999989</v>
      </c>
      <c r="BF64" s="13">
        <f t="shared" si="37"/>
        <v>65.145514611718866</v>
      </c>
      <c r="BG64" s="20">
        <f t="shared" si="7"/>
        <v>586.14369528207681</v>
      </c>
      <c r="BH64" s="59">
        <f t="shared" si="8"/>
        <v>879.47702861541006</v>
      </c>
      <c r="BI64" s="59">
        <f ca="1">AVERAGE(OFFSET($BH$3,0,0,'Données projet'!$E$11+1,1))-AVERAGE(OFFSET($H$3,0,0,'Données projet'!$E$11+1,1))</f>
        <v>415.24818074059294</v>
      </c>
      <c r="BJ64" s="59">
        <f t="shared" si="38"/>
        <v>404.45811532046872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13.982482997984127</v>
      </c>
      <c r="BQ64" s="21">
        <f>EXP(-LN(2)/25)*BQ63+(1-EXP(-LN(2)/25))/(LN(2)/25)*Calculateur!BL64*Calculateur!BN64*VLOOKUP('Données projet'!$B$11,Paramètres!$A$1:$I$89,3,0)*0.475*44/12</f>
        <v>15.885982238208012</v>
      </c>
      <c r="BR64" s="21">
        <f>EXP(-LN(2)/2)*BR63+(1-EXP(-LN(2)/2))/(LN(2)/2)*BL64*BO64*VLOOKUP('Données projet'!$B$11,Paramètres!$A$1:$I$89,3,0)*0.475*44/12</f>
        <v>2.792894511769084</v>
      </c>
      <c r="BS64" s="22">
        <f t="shared" si="9"/>
        <v>32.661359747961221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5.2</v>
      </c>
      <c r="BY64" s="12">
        <f>IF('Données projet'!$A$114&gt;35,BY63+BX64-CG63,IF(A64&lt;'Données projet'!$A$114,$BV$205^A64,IF(A64='Données projet'!$A$114,'Données projet'!$B$114,BY63+BX64-CG63)))</f>
        <v>285.19999999999987</v>
      </c>
      <c r="BZ64" s="13">
        <f>BY64*VLOOKUP('Données projet'!$B$12,Paramètres!$A$1:$I$89,3,0)*VLOOKUP('Données projet'!$B$12,Paramètres!$A$1:$I$89,5,0)</f>
        <v>249.15071999999989</v>
      </c>
      <c r="CA64" s="13">
        <f t="shared" si="39"/>
        <v>60.404044320946248</v>
      </c>
      <c r="CB64" s="20">
        <f t="shared" si="10"/>
        <v>539.1412145256478</v>
      </c>
      <c r="CC64" s="59">
        <f t="shared" si="11"/>
        <v>832.47454785898117</v>
      </c>
      <c r="CD64" s="59">
        <f ca="1">AVERAGE(OFFSET($CC$3,0,0,'Données projet'!$E$12+1,1))-AVERAGE(OFFSET($H$3,0,0,'Données projet'!$E$12+1,1))</f>
        <v>384.34044781465661</v>
      </c>
      <c r="CE64" s="59">
        <f t="shared" si="40"/>
        <v>374.99493809709708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15.821581981706785</v>
      </c>
      <c r="CL64" s="21">
        <f>EXP(-LN(2)/25)*CL63+(1-EXP(-LN(2)/25))/(LN(2)/25)*Calculateur!CG64*Calculateur!CI64*VLOOKUP('Données projet'!$B$12,Paramètres!$A$1:$I$89,3,0)*0.475*44/12</f>
        <v>17.975446162028732</v>
      </c>
      <c r="CM64" s="21">
        <f>EXP(-LN(2)/2)*CM63+(1-EXP(-LN(2)/2))/(LN(2)/2)*CG64*CJ64*VLOOKUP('Données projet'!$B$12,Paramètres!$A$1:$I$89,3,0)*0.475*44/12</f>
        <v>2.5639687321158808</v>
      </c>
      <c r="CN64" s="22">
        <f t="shared" si="12"/>
        <v>36.360996875851399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18.617142857142849</v>
      </c>
      <c r="CT64" s="12">
        <f>IF('Données projet'!$A$140&gt;35,CT63+CS64-DB63,IF(A64&lt;'Données projet'!$A$140,$CQ$205^A64,IF(A64='Données projet'!$A$140,'Données projet'!$B$140,CT63+CS64-DB63)))</f>
        <v>532.44571428571453</v>
      </c>
      <c r="CU64" s="17">
        <f>CT64*VLOOKUP('Données projet'!$B$13,Paramètres!$A$1:$I$89,3,0)*VLOOKUP('Données projet'!$B$13,Paramètres!$A$1:$I$89,5,0)</f>
        <v>297.63715428571442</v>
      </c>
      <c r="CV64" s="13">
        <f t="shared" si="41"/>
        <v>70.680892526366577</v>
      </c>
      <c r="CW64" s="20">
        <f t="shared" si="13"/>
        <v>641.48726486437431</v>
      </c>
      <c r="CX64" s="59">
        <f t="shared" si="14"/>
        <v>934.82059819770757</v>
      </c>
      <c r="CY64" s="59">
        <f ca="1">AVERAGE(OFFSET($CX$3,0,0,'Données projet'!$E$13+1,1))-AVERAGE(OFFSET($H$3,0,0,'Données projet'!$E$13+1,1))</f>
        <v>386.66324266750968</v>
      </c>
      <c r="CZ64" s="59">
        <f t="shared" si="42"/>
        <v>356.22149461585769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78.780749955448471</v>
      </c>
      <c r="DG64" s="21">
        <f>EXP(-LN(2)/25)*DG63+(1-EXP(-LN(2)/25))/(LN(2)/25)*Calculateur!DB64*Calculateur!DD64*VLOOKUP('Données projet'!$B$13,Paramètres!$A$1:$I$89,3,0)*0.475*44/12</f>
        <v>28.762274151221987</v>
      </c>
      <c r="DH64" s="21">
        <f>EXP(-LN(2)/2)*DH63+(1-EXP(-LN(2)/2))/(LN(2)/2)*DB64*DE64*VLOOKUP('Données projet'!$B$13,Paramètres!$A$1:$I$89,3,0)*0.475*44/12</f>
        <v>2.3603578283441098</v>
      </c>
      <c r="DI64" s="22">
        <f t="shared" si="15"/>
        <v>109.90338193501456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5.2</v>
      </c>
      <c r="DO64" s="12">
        <f>IF('Données projet'!$A$166&gt;35,DO63+DN64-DW63,IF(A64&lt;'Données projet'!$A$166,$DL$205^A64,IF(A64='Données projet'!$A$166,'Données projet'!$B$166,DO63+DN64-DW63)))</f>
        <v>285.19999999999987</v>
      </c>
      <c r="DP64" s="17">
        <f>DO64*VLOOKUP('Données projet'!$B$14,Paramètres!$A$1:$I$89,3,0)*VLOOKUP('Données projet'!$B$14,Paramètres!$A$1:$I$89,5,0)</f>
        <v>222.4559999999999</v>
      </c>
      <c r="DQ64" s="13">
        <f t="shared" si="43"/>
        <v>54.648339796219815</v>
      </c>
      <c r="DR64" s="20">
        <f t="shared" si="16"/>
        <v>482.62339181174929</v>
      </c>
      <c r="DS64" s="59">
        <f t="shared" si="17"/>
        <v>775.9567251450826</v>
      </c>
      <c r="DT64" s="59">
        <f ca="1">AVERAGE(OFFSET($DS$3,0,0,'Données projet'!$E$14+1,1))-AVERAGE(OFFSET($H$3,0,0,'Données projet'!$E$14+1,1))</f>
        <v>347.17417070871716</v>
      </c>
      <c r="DU64" s="59">
        <f t="shared" si="44"/>
        <v>339.56378046986441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11.461051637691908</v>
      </c>
      <c r="EB64" s="21">
        <f>EXP(-LN(2)/25)*EB63+(1-EXP(-LN(2)/25))/(LN(2)/25)*Calculateur!DW64*Calculateur!DY64*VLOOKUP('Données projet'!$B$14,Paramètres!$A$1:$I$89,3,0)*0.475*44/12</f>
        <v>13.021296916563943</v>
      </c>
      <c r="EC64" s="21">
        <f>EXP(-LN(2)/2)*EC63+(1-EXP(-LN(2)/2))/(LN(2)/2)*DW64*DZ64*VLOOKUP('Données projet'!$B$14,Paramètres!$A$1:$I$89,3,0)*0.475*44/12</f>
        <v>2.289257796532036</v>
      </c>
      <c r="ED64" s="22">
        <f t="shared" si="18"/>
        <v>26.771606350787884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5.2</v>
      </c>
      <c r="EJ64" s="12">
        <f>IF('Données projet'!$A$192&gt;35,EJ63+EI64-ER63,IF(A64&lt;'Données projet'!$A$192,$EG$205^A64,IF(A64='Données projet'!$A$192,'Données projet'!$B$192,EJ63+EI64-ER63)))</f>
        <v>285.19999999999987</v>
      </c>
      <c r="EK64" s="17">
        <f>EJ64*VLOOKUP('Données projet'!$B$15,Paramètres!$A$1:$I$89,3,0)*VLOOKUP('Données projet'!$B$15,Paramètres!$A$1:$I$89,5,0)</f>
        <v>249.15071999999989</v>
      </c>
      <c r="EL64" s="13">
        <f t="shared" si="45"/>
        <v>60.404044320946248</v>
      </c>
      <c r="EM64" s="20">
        <f t="shared" si="19"/>
        <v>539.1412145256478</v>
      </c>
      <c r="EN64" s="59">
        <f t="shared" si="20"/>
        <v>832.47454785898117</v>
      </c>
      <c r="EO64" s="59">
        <f ca="1">AVERAGE(OFFSET($EN$3,0,0,'Données projet'!$E$15+1,1))-AVERAGE(OFFSET($H$3,0,0,'Données projet'!$E$15+1,1))</f>
        <v>384.34044781465661</v>
      </c>
      <c r="EP64" s="59">
        <f t="shared" si="46"/>
        <v>374.99493809709708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12.836377834214936</v>
      </c>
      <c r="EW64" s="21">
        <f>EXP(-LN(2)/25)*EW63+(1-EXP(-LN(2)/25))/(LN(2)/25)*Calculateur!ER64*Calculateur!ET64*VLOOKUP('Données projet'!$B$15,Paramètres!$A$1:$I$89,3,0)*0.475*44/12</f>
        <v>14.58385254655162</v>
      </c>
      <c r="EX64" s="21">
        <f>EXP(-LN(2)/2)*EX63+(1-EXP(-LN(2)/2))/(LN(2)/2)*ER64*EU64*VLOOKUP('Données projet'!$B$15,Paramètres!$A$1:$I$89,3,0)*0.475*44/12</f>
        <v>2.5639687321158808</v>
      </c>
      <c r="EY64" s="22">
        <f t="shared" si="21"/>
        <v>29.984199112882436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5.2</v>
      </c>
      <c r="FE64" s="12">
        <f>IF('Données projet'!$A$218&gt;35,FE63+FD64-FM63,IF(A64&lt;'Données projet'!$A$218,$FB$205^A64,IF(A64='Données projet'!$A$218,'Données projet'!$B$218,FE63+FD64-FM63)))</f>
        <v>285.19999999999987</v>
      </c>
      <c r="FF64" s="17">
        <f>FE64*VLOOKUP('Données projet'!$B$16,Paramètres!$A$1:$I$89,3,0)*VLOOKUP('Données projet'!$B$16,Paramètres!$A$1:$I$89,5,0)</f>
        <v>231.35423999999992</v>
      </c>
      <c r="FG64" s="13">
        <f t="shared" si="47"/>
        <v>56.575399756999062</v>
      </c>
      <c r="FH64" s="20">
        <f t="shared" si="22"/>
        <v>501.47745591010658</v>
      </c>
      <c r="FI64" s="59">
        <f t="shared" si="23"/>
        <v>794.8107892434399</v>
      </c>
      <c r="FJ64" s="59">
        <f ca="1">AVERAGE(OFFSET($FI$3,0,0,'Données projet'!$E$16+1,1))-AVERAGE(OFFSET($H$3,0,0,'Données projet'!$E$16+1,1))</f>
        <v>359.57284550600366</v>
      </c>
      <c r="FK64" s="59">
        <f t="shared" si="48"/>
        <v>351.38386928091433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11.919493703199585</v>
      </c>
      <c r="FR64" s="21">
        <f>EXP(-LN(2)/25)*FR63+(1-EXP(-LN(2)/25))/(LN(2)/25)*Calculateur!FM64*Calculateur!FO64*VLOOKUP('Données projet'!$B$16,Paramètres!$A$1:$I$89,3,0)*0.475*44/12</f>
        <v>13.542148793226504</v>
      </c>
      <c r="FS64" s="21">
        <f>EXP(-LN(2)/2)*FS63+(1-EXP(-LN(2)/2))/(LN(2)/2)*FM64*FP64*VLOOKUP('Données projet'!$B$16,Paramètres!$A$1:$I$89,3,0)*0.475*44/12</f>
        <v>2.3808281083933172</v>
      </c>
      <c r="FT64" s="22">
        <f t="shared" si="24"/>
        <v>27.842470604819404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6">
        <f t="shared" si="1"/>
        <v>256.66666666666669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13.520000000000003</v>
      </c>
      <c r="N65" s="13">
        <f>IF('Données projet'!$A$36&gt;35,N64+M65-V64,IF(A65&lt;'Données projet'!$A$36,$K$205^A65,IF(A65='Données projet'!$A$36,'Données projet'!$B$36,N64+M65-V64)))</f>
        <v>334.84000000000009</v>
      </c>
      <c r="O65" s="13">
        <f>N65*VLOOKUP('Données projet'!$B$9,Paramètres!$A$1:$I$89,3,0)*VLOOKUP('Données projet'!$B$9,Paramètres!$A$1:$I$89,5,0)</f>
        <v>302.96323200000006</v>
      </c>
      <c r="P65" s="13">
        <f t="shared" si="33"/>
        <v>71.797314916159678</v>
      </c>
      <c r="Q65" s="20">
        <f t="shared" si="53"/>
        <v>652.70795254564484</v>
      </c>
      <c r="R65" s="59">
        <f t="shared" si="0"/>
        <v>946.04128587897821</v>
      </c>
      <c r="S65" s="59">
        <f ca="1">AVERAGE(OFFSET($R$3,0,0,'Données projet'!$E$9+1,1))-AVERAGE(OFFSET($H$3,0,0,'Données projet'!$E$9+1,1))</f>
        <v>695.0879239758051</v>
      </c>
      <c r="T65" s="59">
        <f t="shared" si="34"/>
        <v>226.22150997227476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9.1535730573511866</v>
      </c>
      <c r="AA65" s="21">
        <f>EXP(-LN(2)/25)*AA64+(1-EXP(-LN(2)/25))/(LN(2)/25)*Calculateur!V65*Calculateur!X65*VLOOKUP('Données projet'!$B$9,Paramètres!$A$1:$I$89,3,0)*0.475*44/12</f>
        <v>39.648185381863946</v>
      </c>
      <c r="AB65" s="21">
        <f>EXP(-LN(2)/2)*AB64+(1-EXP(-LN(2)/2))/(LN(2)/2)*V65*Y65*VLOOKUP('Données projet'!$B$9,Paramètres!$A$1:$I$89,3,0)*0.475*44/12</f>
        <v>1.6035333908901794</v>
      </c>
      <c r="AC65" s="22">
        <f t="shared" si="3"/>
        <v>50.405291830105313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1.1368683772161603E-13</v>
      </c>
      <c r="AJ65" s="13">
        <f>AI65*VLOOKUP('Données projet'!$B$10,Paramètres!$A$1:$I$89,3,0)*VLOOKUP('Données projet'!$B$10,Paramètres!$A$1:$I$89,5,0)</f>
        <v>6.7984728957526396E-14</v>
      </c>
      <c r="AK65" s="13">
        <f t="shared" si="35"/>
        <v>1.0682447123141398E-12</v>
      </c>
      <c r="AL65" s="20">
        <f t="shared" si="4"/>
        <v>1.978932943548152E-12</v>
      </c>
      <c r="AM65" s="59">
        <f t="shared" si="5"/>
        <v>293.3333333333353</v>
      </c>
      <c r="AN65" s="59">
        <f ca="1">AVERAGE(OFFSET($AM$3,0,0,'Données projet'!$E$10+1,1))-AVERAGE(OFFSET($H$3,0,0,'Données projet'!$E$10+1,1))</f>
        <v>388.12151914648013</v>
      </c>
      <c r="AO65" s="59">
        <f t="shared" si="36"/>
        <v>481.43684454382793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158.07591812290812</v>
      </c>
      <c r="AV65" s="21">
        <f>EXP(-LN(2)/25)*AV64+(1-EXP(-LN(2)/25))/(LN(2)/25)*Calculateur!AQ65*Calculateur!AS65*VLOOKUP('Données projet'!$B$10,Paramètres!$A$1:$I$89,3,0)*0.475*44/12</f>
        <v>52.21792965843737</v>
      </c>
      <c r="AW65" s="21">
        <f>EXP(-LN(2)/2)*AW64+(1-EXP(-LN(2)/2))/(LN(2)/2)*AQ65*AT65*VLOOKUP('Données projet'!$B$10,Paramètres!$A$1:$I$89,3,0)*0.475*44/12</f>
        <v>9.6630390052549799</v>
      </c>
      <c r="AX65" s="21">
        <f t="shared" si="6"/>
        <v>219.95688678660048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5.2</v>
      </c>
      <c r="BD65" s="12">
        <f>IF('Données projet'!$A$88&gt;35,BD64+BC65-BL64,IF(A65&lt;'Données projet'!$A$88,$BA$205^A65,IF(A65='Données projet'!$A$88,'Données projet'!$B$88,BD64+BC65-BL64)))</f>
        <v>290.39999999999986</v>
      </c>
      <c r="BE65" s="13">
        <f>BD65*VLOOKUP('Données projet'!$B$11,Paramètres!$A$1:$I$89,3,0)*VLOOKUP('Données projet'!$B$11,Paramètres!$A$1:$I$89,5,0)</f>
        <v>276.34463999999991</v>
      </c>
      <c r="BF65" s="13">
        <f t="shared" si="37"/>
        <v>66.193936436046187</v>
      </c>
      <c r="BG65" s="20">
        <f t="shared" si="7"/>
        <v>596.58802062611369</v>
      </c>
      <c r="BH65" s="59">
        <f t="shared" si="8"/>
        <v>889.92135395944706</v>
      </c>
      <c r="BI65" s="59">
        <f ca="1">AVERAGE(OFFSET($BH$3,0,0,'Données projet'!$E$11+1,1))-AVERAGE(OFFSET($H$3,0,0,'Données projet'!$E$11+1,1))</f>
        <v>415.24818074059294</v>
      </c>
      <c r="BJ65" s="59">
        <f t="shared" si="38"/>
        <v>404.45811532046872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13.70829503486617</v>
      </c>
      <c r="BQ65" s="21">
        <f>EXP(-LN(2)/25)*BQ64+(1-EXP(-LN(2)/25))/(LN(2)/25)*Calculateur!BL65*Calculateur!BN65*VLOOKUP('Données projet'!$B$11,Paramètres!$A$1:$I$89,3,0)*0.475*44/12</f>
        <v>15.451579218496716</v>
      </c>
      <c r="BR65" s="21">
        <f>EXP(-LN(2)/2)*BR64+(1-EXP(-LN(2)/2))/(LN(2)/2)*BL65*BO65*VLOOKUP('Données projet'!$B$11,Paramètres!$A$1:$I$89,3,0)*0.475*44/12</f>
        <v>1.9748746484106112</v>
      </c>
      <c r="BS65" s="22">
        <f t="shared" si="9"/>
        <v>31.134748901773499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5.2</v>
      </c>
      <c r="BY65" s="12">
        <f>IF('Données projet'!$A$114&gt;35,BY64+BX65-CG64,IF(A65&lt;'Données projet'!$A$114,$BV$205^A65,IF(A65='Données projet'!$A$114,'Données projet'!$B$114,BY64+BX65-CG64)))</f>
        <v>290.39999999999986</v>
      </c>
      <c r="BZ65" s="13">
        <f>BY65*VLOOKUP('Données projet'!$B$12,Paramètres!$A$1:$I$89,3,0)*VLOOKUP('Données projet'!$B$12,Paramètres!$A$1:$I$89,5,0)</f>
        <v>253.69343999999992</v>
      </c>
      <c r="CA65" s="13">
        <f t="shared" si="39"/>
        <v>61.376159112289358</v>
      </c>
      <c r="CB65" s="20">
        <f t="shared" si="10"/>
        <v>548.74621845390379</v>
      </c>
      <c r="CC65" s="59">
        <f t="shared" si="11"/>
        <v>842.07955178723705</v>
      </c>
      <c r="CD65" s="59">
        <f ca="1">AVERAGE(OFFSET($CC$3,0,0,'Données projet'!$E$12+1,1))-AVERAGE(OFFSET($H$3,0,0,'Données projet'!$E$12+1,1))</f>
        <v>384.34044781465661</v>
      </c>
      <c r="CE65" s="59">
        <f t="shared" si="40"/>
        <v>374.99493809709708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15.511330409257646</v>
      </c>
      <c r="CL65" s="21">
        <f>EXP(-LN(2)/25)*CL64+(1-EXP(-LN(2)/25))/(LN(2)/25)*Calculateur!CG65*Calculateur!CI65*VLOOKUP('Données projet'!$B$12,Paramètres!$A$1:$I$89,3,0)*0.475*44/12</f>
        <v>17.483906641440427</v>
      </c>
      <c r="CM65" s="21">
        <f>EXP(-LN(2)/2)*CM64+(1-EXP(-LN(2)/2))/(LN(2)/2)*CG65*CJ65*VLOOKUP('Données projet'!$B$12,Paramètres!$A$1:$I$89,3,0)*0.475*44/12</f>
        <v>1.8129996772294139</v>
      </c>
      <c r="CN65" s="22">
        <f t="shared" si="12"/>
        <v>34.808236727927486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18.617142857142849</v>
      </c>
      <c r="CT65" s="12">
        <f>IF('Données projet'!$A$140&gt;35,CT64+CS65-DB64,IF(A65&lt;'Données projet'!$A$140,$CQ$205^A65,IF(A65='Données projet'!$A$140,'Données projet'!$B$140,CT64+CS65-DB64)))</f>
        <v>551.06285714285741</v>
      </c>
      <c r="CU65" s="17">
        <f>CT65*VLOOKUP('Données projet'!$B$13,Paramètres!$A$1:$I$89,3,0)*VLOOKUP('Données projet'!$B$13,Paramètres!$A$1:$I$89,5,0)</f>
        <v>308.04413714285727</v>
      </c>
      <c r="CV65" s="13">
        <f t="shared" si="41"/>
        <v>72.860217822174434</v>
      </c>
      <c r="CW65" s="20">
        <f t="shared" si="13"/>
        <v>663.40841823076346</v>
      </c>
      <c r="CX65" s="59">
        <f t="shared" si="14"/>
        <v>956.74175156409683</v>
      </c>
      <c r="CY65" s="59">
        <f ca="1">AVERAGE(OFFSET($CX$3,0,0,'Données projet'!$E$13+1,1))-AVERAGE(OFFSET($H$3,0,0,'Données projet'!$E$13+1,1))</f>
        <v>386.66324266750968</v>
      </c>
      <c r="CZ65" s="59">
        <f t="shared" si="42"/>
        <v>356.22149461585769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77.235907500334903</v>
      </c>
      <c r="DG65" s="21">
        <f>EXP(-LN(2)/25)*DG64+(1-EXP(-LN(2)/25))/(LN(2)/25)*Calculateur!DB65*Calculateur!DD65*VLOOKUP('Données projet'!$B$13,Paramètres!$A$1:$I$89,3,0)*0.475*44/12</f>
        <v>27.975768252014561</v>
      </c>
      <c r="DH65" s="21">
        <f>EXP(-LN(2)/2)*DH64+(1-EXP(-LN(2)/2))/(LN(2)/2)*DB65*DE65*VLOOKUP('Données projet'!$B$13,Paramètres!$A$1:$I$89,3,0)*0.475*44/12</f>
        <v>1.6690250264488731</v>
      </c>
      <c r="DI65" s="22">
        <f t="shared" si="15"/>
        <v>106.88070077879834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5.2</v>
      </c>
      <c r="DO65" s="12">
        <f>IF('Données projet'!$A$166&gt;35,DO64+DN65-DW64,IF(A65&lt;'Données projet'!$A$166,$DL$205^A65,IF(A65='Données projet'!$A$166,'Données projet'!$B$166,DO64+DN65-DW64)))</f>
        <v>290.39999999999986</v>
      </c>
      <c r="DP65" s="17">
        <f>DO65*VLOOKUP('Données projet'!$B$14,Paramètres!$A$1:$I$89,3,0)*VLOOKUP('Données projet'!$B$14,Paramètres!$A$1:$I$89,5,0)</f>
        <v>226.51199999999992</v>
      </c>
      <c r="DQ65" s="13">
        <f t="shared" si="43"/>
        <v>55.527824937247495</v>
      </c>
      <c r="DR65" s="20">
        <f t="shared" si="16"/>
        <v>491.21936176570597</v>
      </c>
      <c r="DS65" s="59">
        <f t="shared" si="17"/>
        <v>784.55269509903928</v>
      </c>
      <c r="DT65" s="59">
        <f ca="1">AVERAGE(OFFSET($DS$3,0,0,'Données projet'!$E$14+1,1))-AVERAGE(OFFSET($H$3,0,0,'Données projet'!$E$14+1,1))</f>
        <v>347.17417070871716</v>
      </c>
      <c r="DU65" s="59">
        <f t="shared" si="44"/>
        <v>339.56378046986441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11.236307405628009</v>
      </c>
      <c r="EB65" s="21">
        <f>EXP(-LN(2)/25)*EB64+(1-EXP(-LN(2)/25))/(LN(2)/25)*Calculateur!DW65*Calculateur!DY65*VLOOKUP('Données projet'!$B$14,Paramètres!$A$1:$I$89,3,0)*0.475*44/12</f>
        <v>12.665228867620257</v>
      </c>
      <c r="EC65" s="21">
        <f>EXP(-LN(2)/2)*EC64+(1-EXP(-LN(2)/2))/(LN(2)/2)*DW65*DZ65*VLOOKUP('Données projet'!$B$14,Paramètres!$A$1:$I$89,3,0)*0.475*44/12</f>
        <v>1.6187497118119765</v>
      </c>
      <c r="ED65" s="22">
        <f t="shared" si="18"/>
        <v>25.520285985060244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5.2</v>
      </c>
      <c r="EJ65" s="12">
        <f>IF('Données projet'!$A$192&gt;35,EJ64+EI65-ER64,IF(A65&lt;'Données projet'!$A$192,$EG$205^A65,IF(A65='Données projet'!$A$192,'Données projet'!$B$192,EJ64+EI65-ER64)))</f>
        <v>290.39999999999986</v>
      </c>
      <c r="EK65" s="17">
        <f>EJ65*VLOOKUP('Données projet'!$B$15,Paramètres!$A$1:$I$89,3,0)*VLOOKUP('Données projet'!$B$15,Paramètres!$A$1:$I$89,5,0)</f>
        <v>253.69343999999992</v>
      </c>
      <c r="EL65" s="13">
        <f t="shared" si="45"/>
        <v>61.376159112289358</v>
      </c>
      <c r="EM65" s="20">
        <f t="shared" si="19"/>
        <v>548.74621845390379</v>
      </c>
      <c r="EN65" s="59">
        <f t="shared" si="20"/>
        <v>842.07955178723705</v>
      </c>
      <c r="EO65" s="59">
        <f ca="1">AVERAGE(OFFSET($EN$3,0,0,'Données projet'!$E$15+1,1))-AVERAGE(OFFSET($H$3,0,0,'Données projet'!$E$15+1,1))</f>
        <v>384.34044781465661</v>
      </c>
      <c r="EP65" s="59">
        <f t="shared" si="46"/>
        <v>374.99493809709708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12.584664294303369</v>
      </c>
      <c r="EW65" s="21">
        <f>EXP(-LN(2)/25)*EW64+(1-EXP(-LN(2)/25))/(LN(2)/25)*Calculateur!ER65*Calculateur!ET65*VLOOKUP('Données projet'!$B$15,Paramètres!$A$1:$I$89,3,0)*0.475*44/12</f>
        <v>14.185056331734692</v>
      </c>
      <c r="EX65" s="21">
        <f>EXP(-LN(2)/2)*EX64+(1-EXP(-LN(2)/2))/(LN(2)/2)*ER65*EU65*VLOOKUP('Données projet'!$B$15,Paramètres!$A$1:$I$89,3,0)*0.475*44/12</f>
        <v>1.8129996772294139</v>
      </c>
      <c r="EY65" s="22">
        <f t="shared" si="21"/>
        <v>28.582720303267475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5.2</v>
      </c>
      <c r="FE65" s="12">
        <f>IF('Données projet'!$A$218&gt;35,FE64+FD65-FM64,IF(A65&lt;'Données projet'!$A$218,$FB$205^A65,IF(A65='Données projet'!$A$218,'Données projet'!$B$218,FE64+FD65-FM64)))</f>
        <v>290.39999999999986</v>
      </c>
      <c r="FF65" s="17">
        <f>FE65*VLOOKUP('Données projet'!$B$16,Paramètres!$A$1:$I$89,3,0)*VLOOKUP('Données projet'!$B$16,Paramètres!$A$1:$I$89,5,0)</f>
        <v>235.5724799999999</v>
      </c>
      <c r="FG65" s="13">
        <f t="shared" si="47"/>
        <v>57.485898111011707</v>
      </c>
      <c r="FH65" s="20">
        <f t="shared" si="22"/>
        <v>510.41000854334516</v>
      </c>
      <c r="FI65" s="59">
        <f t="shared" si="23"/>
        <v>803.74334187667841</v>
      </c>
      <c r="FJ65" s="59">
        <f ca="1">AVERAGE(OFFSET($FI$3,0,0,'Données projet'!$E$16+1,1))-AVERAGE(OFFSET($H$3,0,0,'Données projet'!$E$16+1,1))</f>
        <v>359.57284550600366</v>
      </c>
      <c r="FK65" s="59">
        <f t="shared" si="48"/>
        <v>351.38386928091433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11.685759701853129</v>
      </c>
      <c r="FR65" s="21">
        <f>EXP(-LN(2)/25)*FR64+(1-EXP(-LN(2)/25))/(LN(2)/25)*Calculateur!FM65*Calculateur!FO65*VLOOKUP('Données projet'!$B$16,Paramètres!$A$1:$I$89,3,0)*0.475*44/12</f>
        <v>13.171838022325071</v>
      </c>
      <c r="FS65" s="21">
        <f>EXP(-LN(2)/2)*FS64+(1-EXP(-LN(2)/2))/(LN(2)/2)*FM65*FP65*VLOOKUP('Données projet'!$B$16,Paramètres!$A$1:$I$89,3,0)*0.475*44/12</f>
        <v>1.6834997002844552</v>
      </c>
      <c r="FT65" s="22">
        <f t="shared" si="24"/>
        <v>26.541097424462652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6">
        <f t="shared" si="1"/>
        <v>256.66666666666669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13.520000000000003</v>
      </c>
      <c r="N66" s="13">
        <f>IF('Données projet'!$A$36&gt;35,N65+M66-V65,IF(A66&lt;'Données projet'!$A$36,$K$205^A66,IF(A66='Données projet'!$A$36,'Données projet'!$B$36,N65+M66-V65)))</f>
        <v>348.36000000000007</v>
      </c>
      <c r="O66" s="13">
        <f>N66*VLOOKUP('Données projet'!$B$9,Paramètres!$A$1:$I$89,3,0)*VLOOKUP('Données projet'!$B$9,Paramètres!$A$1:$I$89,5,0)</f>
        <v>315.19612800000004</v>
      </c>
      <c r="P66" s="13">
        <f t="shared" si="33"/>
        <v>74.352936449224345</v>
      </c>
      <c r="Q66" s="20">
        <f t="shared" si="53"/>
        <v>678.46462058239911</v>
      </c>
      <c r="R66" s="59">
        <f t="shared" si="0"/>
        <v>971.79795391573248</v>
      </c>
      <c r="S66" s="59">
        <f ca="1">AVERAGE(OFFSET($R$3,0,0,'Données projet'!$E$9+1,1))-AVERAGE(OFFSET($H$3,0,0,'Données projet'!$E$9+1,1))</f>
        <v>695.0879239758051</v>
      </c>
      <c r="T66" s="59">
        <f t="shared" si="34"/>
        <v>226.22150997227476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8.9740770728248069</v>
      </c>
      <c r="AA66" s="21">
        <f>EXP(-LN(2)/25)*AA65+(1-EXP(-LN(2)/25))/(LN(2)/25)*Calculateur!V66*Calculateur!X66*VLOOKUP('Données projet'!$B$9,Paramètres!$A$1:$I$89,3,0)*0.475*44/12</f>
        <v>38.564003667589425</v>
      </c>
      <c r="AB66" s="21">
        <f>EXP(-LN(2)/2)*AB65+(1-EXP(-LN(2)/2))/(LN(2)/2)*V66*Y66*VLOOKUP('Données projet'!$B$9,Paramètres!$A$1:$I$89,3,0)*0.475*44/12</f>
        <v>1.1338693345575048</v>
      </c>
      <c r="AC66" s="22">
        <f t="shared" si="3"/>
        <v>48.671950074971733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1.1368683772161603E-13</v>
      </c>
      <c r="AJ66" s="13">
        <f>AI66*VLOOKUP('Données projet'!$B$10,Paramètres!$A$1:$I$89,3,0)*VLOOKUP('Données projet'!$B$10,Paramètres!$A$1:$I$89,5,0)</f>
        <v>6.7984728957526396E-14</v>
      </c>
      <c r="AK66" s="13">
        <f t="shared" si="35"/>
        <v>1.0682447123141398E-12</v>
      </c>
      <c r="AL66" s="20">
        <f t="shared" si="4"/>
        <v>1.978932943548152E-12</v>
      </c>
      <c r="AM66" s="59">
        <f t="shared" si="5"/>
        <v>293.3333333333353</v>
      </c>
      <c r="AN66" s="59">
        <f ca="1">AVERAGE(OFFSET($AM$3,0,0,'Données projet'!$E$10+1,1))-AVERAGE(OFFSET($H$3,0,0,'Données projet'!$E$10+1,1))</f>
        <v>388.12151914648013</v>
      </c>
      <c r="AO66" s="59">
        <f t="shared" si="36"/>
        <v>481.43684454382793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154.97614578530758</v>
      </c>
      <c r="AV66" s="21">
        <f>EXP(-LN(2)/25)*AV65+(1-EXP(-LN(2)/25))/(LN(2)/25)*Calculateur!AQ66*Calculateur!AS66*VLOOKUP('Données projet'!$B$10,Paramètres!$A$1:$I$89,3,0)*0.475*44/12</f>
        <v>50.790027625905829</v>
      </c>
      <c r="AW66" s="21">
        <f>EXP(-LN(2)/2)*AW65+(1-EXP(-LN(2)/2))/(LN(2)/2)*AQ66*AT66*VLOOKUP('Données projet'!$B$10,Paramètres!$A$1:$I$89,3,0)*0.475*44/12</f>
        <v>6.832800407485907</v>
      </c>
      <c r="AX66" s="21">
        <f t="shared" si="6"/>
        <v>212.59897381869931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5.2</v>
      </c>
      <c r="BD66" s="12">
        <f>IF('Données projet'!$A$88&gt;35,BD65+BC66-BL65,IF(A66&lt;'Données projet'!$A$88,$BA$205^A66,IF(A66='Données projet'!$A$88,'Données projet'!$B$88,BD65+BC66-BL65)))</f>
        <v>295.59999999999985</v>
      </c>
      <c r="BE66" s="13">
        <f>BD66*VLOOKUP('Données projet'!$B$11,Paramètres!$A$1:$I$89,3,0)*VLOOKUP('Données projet'!$B$11,Paramètres!$A$1:$I$89,5,0)</f>
        <v>281.29295999999988</v>
      </c>
      <c r="BF66" s="13">
        <f t="shared" si="37"/>
        <v>67.240175189777545</v>
      </c>
      <c r="BG66" s="20">
        <f t="shared" si="7"/>
        <v>607.02854378886241</v>
      </c>
      <c r="BH66" s="59">
        <f t="shared" si="8"/>
        <v>900.36187712219566</v>
      </c>
      <c r="BI66" s="59">
        <f ca="1">AVERAGE(OFFSET($BH$3,0,0,'Données projet'!$E$11+1,1))-AVERAGE(OFFSET($H$3,0,0,'Données projet'!$E$11+1,1))</f>
        <v>415.24818074059294</v>
      </c>
      <c r="BJ66" s="59">
        <f t="shared" si="38"/>
        <v>404.45811532046872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13.439483730466812</v>
      </c>
      <c r="BQ66" s="21">
        <f>EXP(-LN(2)/25)*BQ65+(1-EXP(-LN(2)/25))/(LN(2)/25)*Calculateur!BL66*Calculateur!BN66*VLOOKUP('Données projet'!$B$11,Paramètres!$A$1:$I$89,3,0)*0.475*44/12</f>
        <v>15.029054972203689</v>
      </c>
      <c r="BR66" s="21">
        <f>EXP(-LN(2)/2)*BR65+(1-EXP(-LN(2)/2))/(LN(2)/2)*BL66*BO66*VLOOKUP('Données projet'!$B$11,Paramètres!$A$1:$I$89,3,0)*0.475*44/12</f>
        <v>1.3964472558845422</v>
      </c>
      <c r="BS66" s="22">
        <f t="shared" si="9"/>
        <v>29.864985958555042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5.2</v>
      </c>
      <c r="BY66" s="12">
        <f>IF('Données projet'!$A$114&gt;35,BY65+BX66-CG65,IF(A66&lt;'Données projet'!$A$114,$BV$205^A66,IF(A66='Données projet'!$A$114,'Données projet'!$B$114,BY65+BX66-CG65)))</f>
        <v>295.59999999999985</v>
      </c>
      <c r="BZ66" s="13">
        <f>BY66*VLOOKUP('Données projet'!$B$12,Paramètres!$A$1:$I$89,3,0)*VLOOKUP('Données projet'!$B$12,Paramètres!$A$1:$I$89,5,0)</f>
        <v>258.23615999999993</v>
      </c>
      <c r="CA66" s="13">
        <f t="shared" si="39"/>
        <v>62.346249722937728</v>
      </c>
      <c r="CB66" s="20">
        <f t="shared" si="10"/>
        <v>558.34769693411636</v>
      </c>
      <c r="CC66" s="59">
        <f t="shared" si="11"/>
        <v>851.68103026744961</v>
      </c>
      <c r="CD66" s="59">
        <f ca="1">AVERAGE(OFFSET($CC$3,0,0,'Données projet'!$E$12+1,1))-AVERAGE(OFFSET($H$3,0,0,'Données projet'!$E$12+1,1))</f>
        <v>384.34044781465661</v>
      </c>
      <c r="CE66" s="59">
        <f t="shared" si="40"/>
        <v>374.99493809709708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15.207162680909459</v>
      </c>
      <c r="CL66" s="21">
        <f>EXP(-LN(2)/25)*CL65+(1-EXP(-LN(2)/25))/(LN(2)/25)*Calculateur!CG66*Calculateur!CI66*VLOOKUP('Données projet'!$B$12,Paramètres!$A$1:$I$89,3,0)*0.475*44/12</f>
        <v>17.005808294891548</v>
      </c>
      <c r="CM66" s="21">
        <f>EXP(-LN(2)/2)*CM65+(1-EXP(-LN(2)/2))/(LN(2)/2)*CG66*CJ66*VLOOKUP('Données projet'!$B$12,Paramètres!$A$1:$I$89,3,0)*0.475*44/12</f>
        <v>1.2819843660579406</v>
      </c>
      <c r="CN66" s="22">
        <f t="shared" si="12"/>
        <v>33.494955341858947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>
        <f>VLOOKUP(A66,'Données projet'!$A$139:$I$159,2,0)</f>
        <v>569.67999999999995</v>
      </c>
      <c r="CR66" s="12">
        <f>VLOOKUP(A66,'Données projet'!$A$139:$I$159,9,0)</f>
        <v>18.617142857142849</v>
      </c>
      <c r="CS66" s="12">
        <f t="array" ref="CS66">INDEX(CR:CR,MIN(IF(ISNUMBER(CR66:CR262),ROW(CR66:CR262),"")))</f>
        <v>18.617142857142849</v>
      </c>
      <c r="CT66" s="12">
        <f>IF('Données projet'!$A$140&gt;35,CT65+CS66-DB65,IF(A66&lt;'Données projet'!$A$140,$CQ$205^A66,IF(A66='Données projet'!$A$140,'Données projet'!$B$140,CT65+CS66-DB65)))</f>
        <v>569.68000000000029</v>
      </c>
      <c r="CU66" s="17">
        <f>CT66*VLOOKUP('Données projet'!$B$13,Paramètres!$A$1:$I$89,3,0)*VLOOKUP('Données projet'!$B$13,Paramètres!$A$1:$I$89,5,0)</f>
        <v>318.45112000000017</v>
      </c>
      <c r="CV66" s="13">
        <f t="shared" si="41"/>
        <v>75.030988106995281</v>
      </c>
      <c r="CW66" s="20">
        <f t="shared" si="13"/>
        <v>685.31467161968374</v>
      </c>
      <c r="CX66" s="59">
        <f t="shared" si="14"/>
        <v>978.64800495301711</v>
      </c>
      <c r="CY66" s="59">
        <f ca="1">AVERAGE(OFFSET($CX$3,0,0,'Données projet'!$E$13+1,1))-AVERAGE(OFFSET($H$3,0,0,'Données projet'!$E$13+1,1))</f>
        <v>386.66324266750968</v>
      </c>
      <c r="CZ66" s="59">
        <f t="shared" si="42"/>
        <v>356.22149461585769</v>
      </c>
      <c r="DA66" s="15">
        <f>IF(ISNA(VLOOKUP(A66,'Données projet'!$A$139:$I$159,3,0)),0,VLOOKUP(A66,'Données projet'!$A$139:$I$159,3,0))</f>
        <v>7</v>
      </c>
      <c r="DB66" s="15">
        <f>IF(ISNA(VLOOKUP(A66,'Données projet'!$A$139:$I$159,4,0)),0,VLOOKUP(A66,'Données projet'!$A$139:$I$159,4,0))</f>
        <v>99.599999999999966</v>
      </c>
      <c r="DC66" s="16">
        <f>IF(ISNA(VLOOKUP(A66,'Données projet'!$A$139:$I$159,5,0)),0%,VLOOKUP(A66,'Données projet'!$A$139:$I$159,5,0)*VLOOKUP('Données projet'!$B$13,Paramètres!$A$1:$I$89,7,0))</f>
        <v>0.33</v>
      </c>
      <c r="DD66" s="16">
        <f>IF(ISNA(VLOOKUP(A66,'Données projet'!$A$139:$I$159,6,0)),0%,VLOOKUP(A66,'Données projet'!$A$139:$I$159,6,0)*VLOOKUP('Données projet'!$B$13,Paramètres!$A$1:$I$89,7,0))</f>
        <v>0.11000000000000001</v>
      </c>
      <c r="DE66" s="16">
        <f>IF(ISNA(VLOOKUP(A66,'Données projet'!$A$139:$I$159,7,0)),0%,VLOOKUP(A66,'Données projet'!$A$139:$I$159,7,0))</f>
        <v>0.2</v>
      </c>
      <c r="DF66" s="21">
        <f>EXP(-LN(2)/35)*DF65+(1-EXP(-LN(2)/35))/(LN(2)/35)*DB66*DC66*VLOOKUP('Données projet'!$B$13,Paramètres!$A$1:$I$89,3,0)*0.475*44/12</f>
        <v>100.09460843496048</v>
      </c>
      <c r="DG66" s="21">
        <f>EXP(-LN(2)/25)*DG65+(1-EXP(-LN(2)/25))/(LN(2)/25)*Calculateur!DB66*Calculateur!DD66*VLOOKUP('Données projet'!$B$13,Paramètres!$A$1:$I$89,3,0)*0.475*44/12</f>
        <v>35.303197131108604</v>
      </c>
      <c r="DH66" s="21">
        <f>EXP(-LN(2)/2)*DH65+(1-EXP(-LN(2)/2))/(LN(2)/2)*DB66*DE66*VLOOKUP('Données projet'!$B$13,Paramètres!$A$1:$I$89,3,0)*0.475*44/12</f>
        <v>13.787902572172555</v>
      </c>
      <c r="DI66" s="22">
        <f t="shared" si="15"/>
        <v>149.18570813824164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5.2</v>
      </c>
      <c r="DO66" s="12">
        <f>IF('Données projet'!$A$166&gt;35,DO65+DN66-DW65,IF(A66&lt;'Données projet'!$A$166,$DL$205^A66,IF(A66='Données projet'!$A$166,'Données projet'!$B$166,DO65+DN66-DW65)))</f>
        <v>295.59999999999985</v>
      </c>
      <c r="DP66" s="17">
        <f>DO66*VLOOKUP('Données projet'!$B$14,Paramètres!$A$1:$I$89,3,0)*VLOOKUP('Données projet'!$B$14,Paramètres!$A$1:$I$89,5,0)</f>
        <v>230.5679999999999</v>
      </c>
      <c r="DQ66" s="13">
        <f t="shared" si="43"/>
        <v>56.405478775161924</v>
      </c>
      <c r="DR66" s="20">
        <f t="shared" si="16"/>
        <v>499.81214220007342</v>
      </c>
      <c r="DS66" s="59">
        <f t="shared" si="17"/>
        <v>793.14547553340674</v>
      </c>
      <c r="DT66" s="59">
        <f ca="1">AVERAGE(OFFSET($DS$3,0,0,'Données projet'!$E$14+1,1))-AVERAGE(OFFSET($H$3,0,0,'Données projet'!$E$14+1,1))</f>
        <v>347.17417070871716</v>
      </c>
      <c r="DU66" s="59">
        <f t="shared" si="44"/>
        <v>339.56378046986441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11.015970270874437</v>
      </c>
      <c r="EB66" s="21">
        <f>EXP(-LN(2)/25)*EB65+(1-EXP(-LN(2)/25))/(LN(2)/25)*Calculateur!DW66*Calculateur!DY66*VLOOKUP('Données projet'!$B$14,Paramètres!$A$1:$I$89,3,0)*0.475*44/12</f>
        <v>12.318897518199742</v>
      </c>
      <c r="EC66" s="21">
        <f>EXP(-LN(2)/2)*EC65+(1-EXP(-LN(2)/2))/(LN(2)/2)*DW66*DZ66*VLOOKUP('Données projet'!$B$14,Paramètres!$A$1:$I$89,3,0)*0.475*44/12</f>
        <v>1.1446288982660182</v>
      </c>
      <c r="ED66" s="22">
        <f t="shared" si="18"/>
        <v>24.479496687340198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5.2</v>
      </c>
      <c r="EJ66" s="12">
        <f>IF('Données projet'!$A$192&gt;35,EJ65+EI66-ER65,IF(A66&lt;'Données projet'!$A$192,$EG$205^A66,IF(A66='Données projet'!$A$192,'Données projet'!$B$192,EJ65+EI66-ER65)))</f>
        <v>295.59999999999985</v>
      </c>
      <c r="EK66" s="17">
        <f>EJ66*VLOOKUP('Données projet'!$B$15,Paramètres!$A$1:$I$89,3,0)*VLOOKUP('Données projet'!$B$15,Paramètres!$A$1:$I$89,5,0)</f>
        <v>258.23615999999993</v>
      </c>
      <c r="EL66" s="13">
        <f t="shared" si="45"/>
        <v>62.346249722937728</v>
      </c>
      <c r="EM66" s="20">
        <f t="shared" si="19"/>
        <v>558.34769693411636</v>
      </c>
      <c r="EN66" s="59">
        <f t="shared" si="20"/>
        <v>851.68103026744961</v>
      </c>
      <c r="EO66" s="59">
        <f ca="1">AVERAGE(OFFSET($EN$3,0,0,'Données projet'!$E$15+1,1))-AVERAGE(OFFSET($H$3,0,0,'Données projet'!$E$15+1,1))</f>
        <v>384.34044781465661</v>
      </c>
      <c r="EP66" s="59">
        <f t="shared" si="46"/>
        <v>374.99493809709708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12.337886703379368</v>
      </c>
      <c r="EW66" s="21">
        <f>EXP(-LN(2)/25)*EW65+(1-EXP(-LN(2)/25))/(LN(2)/25)*Calculateur!ER66*Calculateur!ET66*VLOOKUP('Données projet'!$B$15,Paramètres!$A$1:$I$89,3,0)*0.475*44/12</f>
        <v>13.797165220383715</v>
      </c>
      <c r="EX66" s="21">
        <f>EXP(-LN(2)/2)*EX65+(1-EXP(-LN(2)/2))/(LN(2)/2)*ER66*EU66*VLOOKUP('Données projet'!$B$15,Paramètres!$A$1:$I$89,3,0)*0.475*44/12</f>
        <v>1.2819843660579406</v>
      </c>
      <c r="EY66" s="22">
        <f t="shared" si="21"/>
        <v>27.417036289821024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5.2</v>
      </c>
      <c r="FE66" s="12">
        <f>IF('Données projet'!$A$218&gt;35,FE65+FD66-FM65,IF(A66&lt;'Données projet'!$A$218,$FB$205^A66,IF(A66='Données projet'!$A$218,'Données projet'!$B$218,FE65+FD66-FM65)))</f>
        <v>295.59999999999985</v>
      </c>
      <c r="FF66" s="17">
        <f>FE66*VLOOKUP('Données projet'!$B$16,Paramètres!$A$1:$I$89,3,0)*VLOOKUP('Données projet'!$B$16,Paramètres!$A$1:$I$89,5,0)</f>
        <v>239.79071999999991</v>
      </c>
      <c r="FG66" s="13">
        <f t="shared" si="47"/>
        <v>58.394500584818381</v>
      </c>
      <c r="FH66" s="20">
        <f t="shared" si="22"/>
        <v>519.33925918522516</v>
      </c>
      <c r="FI66" s="59">
        <f t="shared" si="23"/>
        <v>812.67259251855853</v>
      </c>
      <c r="FJ66" s="59">
        <f ca="1">AVERAGE(OFFSET($FI$3,0,0,'Données projet'!$E$16+1,1))-AVERAGE(OFFSET($H$3,0,0,'Données projet'!$E$16+1,1))</f>
        <v>359.57284550600366</v>
      </c>
      <c r="FK66" s="59">
        <f t="shared" si="48"/>
        <v>351.38386928091433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11.456609081709415</v>
      </c>
      <c r="FR66" s="21">
        <f>EXP(-LN(2)/25)*FR65+(1-EXP(-LN(2)/25))/(LN(2)/25)*Calculateur!FM66*Calculateur!FO66*VLOOKUP('Données projet'!$B$16,Paramètres!$A$1:$I$89,3,0)*0.475*44/12</f>
        <v>12.811653418927735</v>
      </c>
      <c r="FS66" s="21">
        <f>EXP(-LN(2)/2)*FS65+(1-EXP(-LN(2)/2))/(LN(2)/2)*FM66*FP66*VLOOKUP('Données projet'!$B$16,Paramètres!$A$1:$I$89,3,0)*0.475*44/12</f>
        <v>1.1904140541966586</v>
      </c>
      <c r="FT66" s="22">
        <f t="shared" si="24"/>
        <v>25.458676554833808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6">
        <f t="shared" si="1"/>
        <v>256.66666666666669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13.520000000000003</v>
      </c>
      <c r="N67" s="13">
        <f>IF('Données projet'!$A$36&gt;35,N66+M67-V66,IF(A67&lt;'Données projet'!$A$36,$K$205^A67,IF(A67='Données projet'!$A$36,'Données projet'!$B$36,N66+M67-V66)))</f>
        <v>361.88000000000005</v>
      </c>
      <c r="O67" s="13">
        <f>N67*VLOOKUP('Données projet'!$B$9,Paramètres!$A$1:$I$89,3,0)*VLOOKUP('Données projet'!$B$9,Paramètres!$A$1:$I$89,5,0)</f>
        <v>327.42902400000003</v>
      </c>
      <c r="P67" s="13">
        <f t="shared" si="33"/>
        <v>76.897035859574302</v>
      </c>
      <c r="Q67" s="20">
        <f t="shared" ref="Q67:Q98" si="54">(O67+P67)*0.475*44/12</f>
        <v>704.20122092209192</v>
      </c>
      <c r="R67" s="59">
        <f t="shared" ref="R67:R130" si="55">Q67+(I67+J67)*44/12</f>
        <v>997.53455425542529</v>
      </c>
      <c r="S67" s="59">
        <f ca="1">AVERAGE(OFFSET($R$3,0,0,'Données projet'!$E$9+1,1))-AVERAGE(OFFSET($H$3,0,0,'Données projet'!$E$9+1,1))</f>
        <v>695.0879239758051</v>
      </c>
      <c r="T67" s="59">
        <f t="shared" si="34"/>
        <v>226.22150997227476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8.7981008950732491</v>
      </c>
      <c r="AA67" s="21">
        <f>EXP(-LN(2)/25)*AA66+(1-EXP(-LN(2)/25))/(LN(2)/25)*Calculateur!V67*Calculateur!X67*VLOOKUP('Données projet'!$B$9,Paramètres!$A$1:$I$89,3,0)*0.475*44/12</f>
        <v>37.509468959306382</v>
      </c>
      <c r="AB67" s="21">
        <f>EXP(-LN(2)/2)*AB66+(1-EXP(-LN(2)/2))/(LN(2)/2)*V67*Y67*VLOOKUP('Données projet'!$B$9,Paramètres!$A$1:$I$89,3,0)*0.475*44/12</f>
        <v>0.80176669544508983</v>
      </c>
      <c r="AC67" s="22">
        <f t="shared" si="3"/>
        <v>47.109336549824718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1.1368683772161603E-13</v>
      </c>
      <c r="AJ67" s="13">
        <f>AI67*VLOOKUP('Données projet'!$B$10,Paramètres!$A$1:$I$89,3,0)*VLOOKUP('Données projet'!$B$10,Paramètres!$A$1:$I$89,5,0)</f>
        <v>6.7984728957526396E-14</v>
      </c>
      <c r="AK67" s="13">
        <f t="shared" si="35"/>
        <v>1.0682447123141398E-12</v>
      </c>
      <c r="AL67" s="20">
        <f t="shared" si="4"/>
        <v>1.978932943548152E-12</v>
      </c>
      <c r="AM67" s="59">
        <f t="shared" si="5"/>
        <v>293.3333333333353</v>
      </c>
      <c r="AN67" s="59">
        <f ca="1">AVERAGE(OFFSET($AM$3,0,0,'Données projet'!$E$10+1,1))-AVERAGE(OFFSET($H$3,0,0,'Données projet'!$E$10+1,1))</f>
        <v>388.12151914648013</v>
      </c>
      <c r="AO67" s="59">
        <f t="shared" si="36"/>
        <v>481.43684454382793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151.93715809257296</v>
      </c>
      <c r="AV67" s="21">
        <f>EXP(-LN(2)/25)*AV66+(1-EXP(-LN(2)/25))/(LN(2)/25)*Calculateur!AQ67*Calculateur!AS67*VLOOKUP('Données projet'!$B$10,Paramètres!$A$1:$I$89,3,0)*0.475*44/12</f>
        <v>49.401171649543961</v>
      </c>
      <c r="AW67" s="21">
        <f>EXP(-LN(2)/2)*AW66+(1-EXP(-LN(2)/2))/(LN(2)/2)*AQ67*AT67*VLOOKUP('Données projet'!$B$10,Paramètres!$A$1:$I$89,3,0)*0.475*44/12</f>
        <v>4.83151950262749</v>
      </c>
      <c r="AX67" s="21">
        <f t="shared" si="6"/>
        <v>206.1698492447444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5.2</v>
      </c>
      <c r="BD67" s="12">
        <f>IF('Données projet'!$A$88&gt;35,BD66+BC67-BL66,IF(A67&lt;'Données projet'!$A$88,$BA$205^A67,IF(A67='Données projet'!$A$88,'Données projet'!$B$88,BD66+BC67-BL66)))</f>
        <v>300.79999999999984</v>
      </c>
      <c r="BE67" s="13">
        <f>BD67*VLOOKUP('Données projet'!$B$11,Paramètres!$A$1:$I$89,3,0)*VLOOKUP('Données projet'!$B$11,Paramètres!$A$1:$I$89,5,0)</f>
        <v>286.24127999999985</v>
      </c>
      <c r="BF67" s="13">
        <f t="shared" si="37"/>
        <v>68.284273706763784</v>
      </c>
      <c r="BG67" s="20">
        <f t="shared" si="7"/>
        <v>617.46533937261336</v>
      </c>
      <c r="BH67" s="59">
        <f t="shared" si="8"/>
        <v>910.79867270594673</v>
      </c>
      <c r="BI67" s="59">
        <f ca="1">AVERAGE(OFFSET($BH$3,0,0,'Données projet'!$E$11+1,1))-AVERAGE(OFFSET($H$3,0,0,'Données projet'!$E$11+1,1))</f>
        <v>415.24818074059294</v>
      </c>
      <c r="BJ67" s="59">
        <f t="shared" si="38"/>
        <v>404.45811532046872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13.175943651788019</v>
      </c>
      <c r="BQ67" s="21">
        <f>EXP(-LN(2)/25)*BQ66+(1-EXP(-LN(2)/25))/(LN(2)/25)*Calculateur!BL67*Calculateur!BN67*VLOOKUP('Données projet'!$B$11,Paramètres!$A$1:$I$89,3,0)*0.475*44/12</f>
        <v>14.618084673645127</v>
      </c>
      <c r="BR67" s="21">
        <f>EXP(-LN(2)/2)*BR66+(1-EXP(-LN(2)/2))/(LN(2)/2)*BL67*BO67*VLOOKUP('Données projet'!$B$11,Paramètres!$A$1:$I$89,3,0)*0.475*44/12</f>
        <v>0.98743732420530583</v>
      </c>
      <c r="BS67" s="22">
        <f t="shared" si="9"/>
        <v>28.781465649638452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5.2</v>
      </c>
      <c r="BY67" s="12">
        <f>IF('Données projet'!$A$114&gt;35,BY66+BX67-CG66,IF(A67&lt;'Données projet'!$A$114,$BV$205^A67,IF(A67='Données projet'!$A$114,'Données projet'!$B$114,BY66+BX67-CG66)))</f>
        <v>300.79999999999984</v>
      </c>
      <c r="BZ67" s="13">
        <f>BY67*VLOOKUP('Données projet'!$B$12,Paramètres!$A$1:$I$89,3,0)*VLOOKUP('Données projet'!$B$12,Paramètres!$A$1:$I$89,5,0)</f>
        <v>262.7788799999999</v>
      </c>
      <c r="CA67" s="13">
        <f t="shared" si="39"/>
        <v>63.314355869176104</v>
      </c>
      <c r="CB67" s="20">
        <f t="shared" si="10"/>
        <v>567.94571913881475</v>
      </c>
      <c r="CC67" s="59">
        <f t="shared" si="11"/>
        <v>861.27905247214812</v>
      </c>
      <c r="CD67" s="59">
        <f ca="1">AVERAGE(OFFSET($CC$3,0,0,'Données projet'!$E$12+1,1))-AVERAGE(OFFSET($H$3,0,0,'Données projet'!$E$12+1,1))</f>
        <v>384.34044781465661</v>
      </c>
      <c r="CE67" s="59">
        <f t="shared" si="40"/>
        <v>374.99493809709708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14.908959496190185</v>
      </c>
      <c r="CL67" s="21">
        <f>EXP(-LN(2)/25)*CL66+(1-EXP(-LN(2)/25))/(LN(2)/25)*Calculateur!CG67*Calculateur!CI67*VLOOKUP('Données projet'!$B$12,Paramètres!$A$1:$I$89,3,0)*0.475*44/12</f>
        <v>16.540783572771147</v>
      </c>
      <c r="CM67" s="21">
        <f>EXP(-LN(2)/2)*CM66+(1-EXP(-LN(2)/2))/(LN(2)/2)*CG67*CJ67*VLOOKUP('Données projet'!$B$12,Paramètres!$A$1:$I$89,3,0)*0.475*44/12</f>
        <v>0.90649983861470718</v>
      </c>
      <c r="CN67" s="22">
        <f t="shared" si="12"/>
        <v>32.356242907576039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16.682857142857149</v>
      </c>
      <c r="CT67" s="12">
        <f>IF('Données projet'!$A$140&gt;35,CT66+CS67-DB66,IF(A67&lt;'Données projet'!$A$140,$CQ$205^A67,IF(A67='Données projet'!$A$140,'Données projet'!$B$140,CT66+CS67-DB66)))</f>
        <v>486.76285714285751</v>
      </c>
      <c r="CU67" s="17">
        <f>CT67*VLOOKUP('Données projet'!$B$13,Paramètres!$A$1:$I$89,3,0)*VLOOKUP('Données projet'!$B$13,Paramètres!$A$1:$I$89,5,0)</f>
        <v>272.10043714285734</v>
      </c>
      <c r="CV67" s="13">
        <f t="shared" si="41"/>
        <v>65.294833817604186</v>
      </c>
      <c r="CW67" s="20">
        <f t="shared" si="13"/>
        <v>587.63009692280377</v>
      </c>
      <c r="CX67" s="59">
        <f t="shared" si="14"/>
        <v>880.96343025613714</v>
      </c>
      <c r="CY67" s="59">
        <f ca="1">AVERAGE(OFFSET($CX$3,0,0,'Données projet'!$E$13+1,1))-AVERAGE(OFFSET($H$3,0,0,'Données projet'!$E$13+1,1))</f>
        <v>386.66324266750968</v>
      </c>
      <c r="CZ67" s="59">
        <f t="shared" si="42"/>
        <v>356.22149461585769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98.131814215233689</v>
      </c>
      <c r="DG67" s="21">
        <f>EXP(-LN(2)/25)*DG66+(1-EXP(-LN(2)/25))/(LN(2)/25)*Calculateur!DB67*Calculateur!DD67*VLOOKUP('Données projet'!$B$13,Paramètres!$A$1:$I$89,3,0)*0.475*44/12</f>
        <v>34.337829349043986</v>
      </c>
      <c r="DH67" s="21">
        <f>EXP(-LN(2)/2)*DH66+(1-EXP(-LN(2)/2))/(LN(2)/2)*DB67*DE67*VLOOKUP('Données projet'!$B$13,Paramètres!$A$1:$I$89,3,0)*0.475*44/12</f>
        <v>9.749519407122655</v>
      </c>
      <c r="DI67" s="22">
        <f t="shared" si="15"/>
        <v>142.21916297140032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5.2</v>
      </c>
      <c r="DO67" s="12">
        <f>IF('Données projet'!$A$166&gt;35,DO66+DN67-DW66,IF(A67&lt;'Données projet'!$A$166,$DL$205^A67,IF(A67='Données projet'!$A$166,'Données projet'!$B$166,DO66+DN67-DW66)))</f>
        <v>300.79999999999984</v>
      </c>
      <c r="DP67" s="17">
        <f>DO67*VLOOKUP('Données projet'!$B$14,Paramètres!$A$1:$I$89,3,0)*VLOOKUP('Données projet'!$B$14,Paramètres!$A$1:$I$89,5,0)</f>
        <v>234.62399999999988</v>
      </c>
      <c r="DQ67" s="13">
        <f t="shared" si="43"/>
        <v>57.281337241812707</v>
      </c>
      <c r="DR67" s="20">
        <f t="shared" si="16"/>
        <v>508.40179569615702</v>
      </c>
      <c r="DS67" s="59">
        <f t="shared" si="17"/>
        <v>801.73512902949028</v>
      </c>
      <c r="DT67" s="59">
        <f ca="1">AVERAGE(OFFSET($DS$3,0,0,'Données projet'!$E$14+1,1))-AVERAGE(OFFSET($H$3,0,0,'Données projet'!$E$14+1,1))</f>
        <v>347.17417070871716</v>
      </c>
      <c r="DU67" s="59">
        <f t="shared" si="44"/>
        <v>339.56378046986441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10.799953812941</v>
      </c>
      <c r="EB67" s="21">
        <f>EXP(-LN(2)/25)*EB66+(1-EXP(-LN(2)/25))/(LN(2)/25)*Calculateur!DW67*Calculateur!DY67*VLOOKUP('Données projet'!$B$14,Paramètres!$A$1:$I$89,3,0)*0.475*44/12</f>
        <v>11.982036617741905</v>
      </c>
      <c r="EC67" s="21">
        <f>EXP(-LN(2)/2)*EC66+(1-EXP(-LN(2)/2))/(LN(2)/2)*DW67*DZ67*VLOOKUP('Données projet'!$B$14,Paramètres!$A$1:$I$89,3,0)*0.475*44/12</f>
        <v>0.80937485590598834</v>
      </c>
      <c r="ED67" s="22">
        <f t="shared" si="18"/>
        <v>23.591365286588893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5.2</v>
      </c>
      <c r="EJ67" s="12">
        <f>IF('Données projet'!$A$192&gt;35,EJ66+EI67-ER66,IF(A67&lt;'Données projet'!$A$192,$EG$205^A67,IF(A67='Données projet'!$A$192,'Données projet'!$B$192,EJ66+EI67-ER66)))</f>
        <v>300.79999999999984</v>
      </c>
      <c r="EK67" s="17">
        <f>EJ67*VLOOKUP('Données projet'!$B$15,Paramètres!$A$1:$I$89,3,0)*VLOOKUP('Données projet'!$B$15,Paramètres!$A$1:$I$89,5,0)</f>
        <v>262.7788799999999</v>
      </c>
      <c r="EL67" s="13">
        <f t="shared" si="45"/>
        <v>63.314355869176104</v>
      </c>
      <c r="EM67" s="20">
        <f t="shared" si="19"/>
        <v>567.94571913881475</v>
      </c>
      <c r="EN67" s="59">
        <f t="shared" si="20"/>
        <v>861.27905247214812</v>
      </c>
      <c r="EO67" s="59">
        <f ca="1">AVERAGE(OFFSET($EN$3,0,0,'Données projet'!$E$15+1,1))-AVERAGE(OFFSET($H$3,0,0,'Données projet'!$E$15+1,1))</f>
        <v>384.34044781465661</v>
      </c>
      <c r="EP67" s="59">
        <f t="shared" si="46"/>
        <v>374.99493809709708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12.095948270493919</v>
      </c>
      <c r="EW67" s="21">
        <f>EXP(-LN(2)/25)*EW66+(1-EXP(-LN(2)/25))/(LN(2)/25)*Calculateur!ER67*Calculateur!ET67*VLOOKUP('Données projet'!$B$15,Paramètres!$A$1:$I$89,3,0)*0.475*44/12</f>
        <v>13.419881011870936</v>
      </c>
      <c r="EX67" s="21">
        <f>EXP(-LN(2)/2)*EX66+(1-EXP(-LN(2)/2))/(LN(2)/2)*ER67*EU67*VLOOKUP('Données projet'!$B$15,Paramètres!$A$1:$I$89,3,0)*0.475*44/12</f>
        <v>0.90649983861470718</v>
      </c>
      <c r="EY67" s="22">
        <f t="shared" si="21"/>
        <v>26.422329120979562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5.2</v>
      </c>
      <c r="FE67" s="12">
        <f>IF('Données projet'!$A$218&gt;35,FE66+FD67-FM66,IF(A67&lt;'Données projet'!$A$218,$FB$205^A67,IF(A67='Données projet'!$A$218,'Données projet'!$B$218,FE66+FD67-FM66)))</f>
        <v>300.79999999999984</v>
      </c>
      <c r="FF67" s="17">
        <f>FE67*VLOOKUP('Données projet'!$B$16,Paramètres!$A$1:$I$89,3,0)*VLOOKUP('Données projet'!$B$16,Paramètres!$A$1:$I$89,5,0)</f>
        <v>244.00895999999986</v>
      </c>
      <c r="FG67" s="13">
        <f t="shared" si="47"/>
        <v>59.301244377330541</v>
      </c>
      <c r="FH67" s="20">
        <f t="shared" si="22"/>
        <v>528.26527262385048</v>
      </c>
      <c r="FI67" s="59">
        <f t="shared" si="23"/>
        <v>821.59860595718374</v>
      </c>
      <c r="FJ67" s="59">
        <f ca="1">AVERAGE(OFFSET($FI$3,0,0,'Données projet'!$E$16+1,1))-AVERAGE(OFFSET($H$3,0,0,'Données projet'!$E$16+1,1))</f>
        <v>359.57284550600366</v>
      </c>
      <c r="FK67" s="59">
        <f t="shared" si="48"/>
        <v>351.38386928091433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11.231951965458641</v>
      </c>
      <c r="FR67" s="21">
        <f>EXP(-LN(2)/25)*FR66+(1-EXP(-LN(2)/25))/(LN(2)/25)*Calculateur!FM67*Calculateur!FO67*VLOOKUP('Données projet'!$B$16,Paramètres!$A$1:$I$89,3,0)*0.475*44/12</f>
        <v>12.461318082451584</v>
      </c>
      <c r="FS67" s="21">
        <f>EXP(-LN(2)/2)*FS66+(1-EXP(-LN(2)/2))/(LN(2)/2)*FM67*FP67*VLOOKUP('Données projet'!$B$16,Paramètres!$A$1:$I$89,3,0)*0.475*44/12</f>
        <v>0.84174985014222758</v>
      </c>
      <c r="FT67" s="22">
        <f t="shared" si="24"/>
        <v>24.535019898052454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6">
        <f t="shared" ref="H68:H131" si="56">(B68+E68+F68)*44/12+(C68+D68)*0.475*44/12</f>
        <v>256.66666666666669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13.520000000000003</v>
      </c>
      <c r="N68" s="13">
        <f>IF('Données projet'!$A$36&gt;35,N67+M68-V67,IF(A68&lt;'Données projet'!$A$36,$K$205^A68,IF(A68='Données projet'!$A$36,'Données projet'!$B$36,N67+M68-V67)))</f>
        <v>375.40000000000003</v>
      </c>
      <c r="O68" s="13">
        <f>N68*VLOOKUP('Données projet'!$B$9,Paramètres!$A$1:$I$89,3,0)*VLOOKUP('Données projet'!$B$9,Paramètres!$A$1:$I$89,5,0)</f>
        <v>339.66192000000001</v>
      </c>
      <c r="P68" s="13">
        <f t="shared" si="33"/>
        <v>79.430092909514357</v>
      </c>
      <c r="Q68" s="20">
        <f t="shared" si="54"/>
        <v>729.91858915073738</v>
      </c>
      <c r="R68" s="59">
        <f t="shared" si="55"/>
        <v>1023.2519224840707</v>
      </c>
      <c r="S68" s="59">
        <f ca="1">AVERAGE(OFFSET($R$3,0,0,'Données projet'!$E$9+1,1))-AVERAGE(OFFSET($H$3,0,0,'Données projet'!$E$9+1,1))</f>
        <v>695.0879239758051</v>
      </c>
      <c r="T68" s="59">
        <f t="shared" si="34"/>
        <v>226.22150997227476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8.6255755028325289</v>
      </c>
      <c r="AA68" s="21">
        <f>EXP(-LN(2)/25)*AA67+(1-EXP(-LN(2)/25))/(LN(2)/25)*Calculateur!V68*Calculateur!X68*VLOOKUP('Données projet'!$B$9,Paramètres!$A$1:$I$89,3,0)*0.475*44/12</f>
        <v>36.483770558076905</v>
      </c>
      <c r="AB68" s="21">
        <f>EXP(-LN(2)/2)*AB67+(1-EXP(-LN(2)/2))/(LN(2)/2)*V68*Y68*VLOOKUP('Données projet'!$B$9,Paramètres!$A$1:$I$89,3,0)*0.475*44/12</f>
        <v>0.56693466727875241</v>
      </c>
      <c r="AC68" s="22">
        <f t="shared" ref="AC68:AC131" si="57">SUM(Z68:AB68)</f>
        <v>45.676280728188182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1.1368683772161603E-13</v>
      </c>
      <c r="AJ68" s="13">
        <f>AI68*VLOOKUP('Données projet'!$B$10,Paramètres!$A$1:$I$89,3,0)*VLOOKUP('Données projet'!$B$10,Paramètres!$A$1:$I$89,5,0)</f>
        <v>6.7984728957526396E-14</v>
      </c>
      <c r="AK68" s="13">
        <f t="shared" si="35"/>
        <v>1.0682447123141398E-12</v>
      </c>
      <c r="AL68" s="20">
        <f t="shared" ref="AL68:AL131" si="58">(AJ68+AK68)*0.475*44/12</f>
        <v>1.978932943548152E-12</v>
      </c>
      <c r="AM68" s="59">
        <f t="shared" ref="AM68:AM131" si="59">AL68+(AD68+AE68)*44/12</f>
        <v>293.3333333333353</v>
      </c>
      <c r="AN68" s="59">
        <f ca="1">AVERAGE(OFFSET($AM$3,0,0,'Données projet'!$E$10+1,1))-AVERAGE(OFFSET($H$3,0,0,'Données projet'!$E$10+1,1))</f>
        <v>388.12151914648013</v>
      </c>
      <c r="AO68" s="59">
        <f t="shared" si="36"/>
        <v>481.43684454382793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148.95776309489338</v>
      </c>
      <c r="AV68" s="21">
        <f>EXP(-LN(2)/25)*AV67+(1-EXP(-LN(2)/25))/(LN(2)/25)*Calculateur!AQ68*Calculateur!AS68*VLOOKUP('Données projet'!$B$10,Paramètres!$A$1:$I$89,3,0)*0.475*44/12</f>
        <v>48.050294012892472</v>
      </c>
      <c r="AW68" s="21">
        <f>EXP(-LN(2)/2)*AW67+(1-EXP(-LN(2)/2))/(LN(2)/2)*AQ68*AT68*VLOOKUP('Données projet'!$B$10,Paramètres!$A$1:$I$89,3,0)*0.475*44/12</f>
        <v>3.4164002037429535</v>
      </c>
      <c r="AX68" s="21">
        <f t="shared" ref="AX68:AX131" si="60">SUM(AU68:AW68)</f>
        <v>200.42445731152881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306</v>
      </c>
      <c r="BB68" s="12">
        <f>VLOOKUP(A68,'Données projet'!$A$87:$I$107,9,0)</f>
        <v>5.2</v>
      </c>
      <c r="BC68" s="12">
        <f t="array" ref="BC68">INDEX(BB:BB,MIN(IF(ISNUMBER(BB68:BB264),ROW(BB68:BB264),"")))</f>
        <v>5.2</v>
      </c>
      <c r="BD68" s="12">
        <f>IF('Données projet'!$A$88&gt;35,BD67+BC68-BL67,IF(A68&lt;'Données projet'!$A$88,$BA$205^A68,IF(A68='Données projet'!$A$88,'Données projet'!$B$88,BD67+BC68-BL67)))</f>
        <v>305.99999999999983</v>
      </c>
      <c r="BE68" s="13">
        <f>BD68*VLOOKUP('Données projet'!$B$11,Paramètres!$A$1:$I$89,3,0)*VLOOKUP('Données projet'!$B$11,Paramètres!$A$1:$I$89,5,0)</f>
        <v>291.18959999999981</v>
      </c>
      <c r="BF68" s="13">
        <f t="shared" si="37"/>
        <v>69.326273255048633</v>
      </c>
      <c r="BG68" s="20">
        <f t="shared" ref="BG68:BG131" si="61">(BE68+BF68)*0.475*44/12</f>
        <v>627.89847925254264</v>
      </c>
      <c r="BH68" s="59">
        <f t="shared" ref="BH68:BH131" si="62">BG68+(AY68+AZ68)*44/12</f>
        <v>921.23181258587601</v>
      </c>
      <c r="BI68" s="59">
        <f ca="1">AVERAGE(OFFSET($BH$3,0,0,'Données projet'!$E$11+1,1))-AVERAGE(OFFSET($H$3,0,0,'Données projet'!$E$11+1,1))</f>
        <v>415.24818074059294</v>
      </c>
      <c r="BJ68" s="59">
        <f t="shared" si="38"/>
        <v>404.45811532046872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13</v>
      </c>
      <c r="BM68" s="16">
        <f>IF(ISNA(VLOOKUP(A68,'Données projet'!$A$87:$I$107,5,0)),0%,VLOOKUP(A68,'Données projet'!$A$87:$I$107,5,0)*VLOOKUP('Données projet'!$B$11,Paramètres!$A$1:$I$89,7,0))</f>
        <v>0.1075</v>
      </c>
      <c r="BN68" s="16">
        <f>IF(ISNA(VLOOKUP(A68,'Données projet'!$A$87:$I$107,6,0)),0%,VLOOKUP(A68,'Données projet'!$A$87:$I$107,6,0)*VLOOKUP('Données projet'!$B$11,Paramètres!$A$1:$I$89,7,0))</f>
        <v>0.1075</v>
      </c>
      <c r="BO68" s="16">
        <f>IF(ISNA(VLOOKUP(A68,'Données projet'!$A$87:$I$107,7,0)),0%,VLOOKUP(A68,'Données projet'!$A$87:$I$107,7,0))</f>
        <v>0.25</v>
      </c>
      <c r="BP68" s="21">
        <f>EXP(-LN(2)/35)*BP67+(1-EXP(-LN(2)/35))/(LN(2)/35)*BL68*BM68*VLOOKUP('Données projet'!$B$11,Paramètres!$A$1:$I$89,3,0)*0.475*44/12</f>
        <v>14.387693377704611</v>
      </c>
      <c r="BQ68" s="21">
        <f>EXP(-LN(2)/25)*BQ67+(1-EXP(-LN(2)/25))/(LN(2)/25)*Calculateur!BL68*Calculateur!BN68*VLOOKUP('Données projet'!$B$11,Paramètres!$A$1:$I$89,3,0)*0.475*44/12</f>
        <v>15.682685893653241</v>
      </c>
      <c r="BR68" s="21">
        <f>EXP(-LN(2)/2)*BR67+(1-EXP(-LN(2)/2))/(LN(2)/2)*BL68*BO68*VLOOKUP('Données projet'!$B$11,Paramètres!$A$1:$I$89,3,0)*0.475*44/12</f>
        <v>3.6162693167423554</v>
      </c>
      <c r="BS68" s="22">
        <f t="shared" ref="BS68:BS131" si="63">SUM(BP68:BR68)</f>
        <v>33.686648588100205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306</v>
      </c>
      <c r="BW68" s="12">
        <f>VLOOKUP(A68,'Données projet'!$A$113:$I$133,9,0)</f>
        <v>5.2</v>
      </c>
      <c r="BX68" s="12">
        <f t="array" ref="BX68">INDEX(BW:BW,MIN(IF(ISNUMBER(BW68:BW264),ROW(BW68:BW264),"")))</f>
        <v>5.2</v>
      </c>
      <c r="BY68" s="12">
        <f>IF('Données projet'!$A$114&gt;35,BY67+BX68-CG67,IF(A68&lt;'Données projet'!$A$114,$BV$205^A68,IF(A68='Données projet'!$A$114,'Données projet'!$B$114,BY67+BX68-CG67)))</f>
        <v>305.99999999999983</v>
      </c>
      <c r="BZ68" s="13">
        <f>BY68*VLOOKUP('Données projet'!$B$12,Paramètres!$A$1:$I$89,3,0)*VLOOKUP('Données projet'!$B$12,Paramètres!$A$1:$I$89,5,0)</f>
        <v>267.32159999999988</v>
      </c>
      <c r="CA68" s="13">
        <f t="shared" si="39"/>
        <v>64.280515815446321</v>
      </c>
      <c r="CB68" s="20">
        <f t="shared" ref="CB68:CB131" si="64">(BZ68+CA68)*0.475*44/12</f>
        <v>577.54035171190208</v>
      </c>
      <c r="CC68" s="59">
        <f t="shared" ref="CC68:CC131" si="65">CB68+(BT68+BU68)*44/12</f>
        <v>870.87368504523533</v>
      </c>
      <c r="CD68" s="59">
        <f ca="1">AVERAGE(OFFSET($CC$3,0,0,'Données projet'!$E$12+1,1))-AVERAGE(OFFSET($H$3,0,0,'Données projet'!$E$12+1,1))</f>
        <v>384.34044781465661</v>
      </c>
      <c r="CE68" s="59">
        <f t="shared" si="40"/>
        <v>374.99493809709708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13</v>
      </c>
      <c r="CH68" s="16">
        <f>IF(ISNA(VLOOKUP(A68,'Données projet'!$A$113:$I$133,5,0)),0%,VLOOKUP(A68,'Données projet'!$A$113:$I$133,5,0)*VLOOKUP('Données projet'!$B$12,Paramètres!$A$1:$I$89,7,0))</f>
        <v>0.13250000000000001</v>
      </c>
      <c r="CI68" s="16">
        <f>IF(ISNA(VLOOKUP(A68,'Données projet'!$A$113:$I$133,6,0)),0%,VLOOKUP(A68,'Données projet'!$A$113:$I$133,6,0)*VLOOKUP('Données projet'!$B$12,Paramètres!$A$1:$I$89,7,0))</f>
        <v>0.13250000000000001</v>
      </c>
      <c r="CJ68" s="16">
        <f>IF(ISNA(VLOOKUP(A68,'Données projet'!$A$113:$I$133,7,0)),0%,VLOOKUP(A68,'Données projet'!$A$113:$I$133,7,0))</f>
        <v>0.25</v>
      </c>
      <c r="CK68" s="21">
        <f>EXP(-LN(2)/35)*CK67+(1-EXP(-LN(2)/35))/(LN(2)/35)*CG68*CH68*VLOOKUP('Données projet'!$B$12,Paramètres!$A$1:$I$89,3,0)*0.475*44/12</f>
        <v>16.280089189869351</v>
      </c>
      <c r="CL68" s="21">
        <f>EXP(-LN(2)/25)*CL67+(1-EXP(-LN(2)/25))/(LN(2)/25)*Calculateur!CG68*Calculateur!CI68*VLOOKUP('Données projet'!$B$12,Paramètres!$A$1:$I$89,3,0)*0.475*44/12</f>
        <v>17.745410496516513</v>
      </c>
      <c r="CM68" s="21">
        <f>EXP(-LN(2)/2)*CM67+(1-EXP(-LN(2)/2))/(LN(2)/2)*CG68*CJ68*VLOOKUP('Données projet'!$B$12,Paramètres!$A$1:$I$89,3,0)*0.475*44/12</f>
        <v>3.3198537989765886</v>
      </c>
      <c r="CN68" s="22">
        <f t="shared" ref="CN68:CN131" si="66">SUM(CK68:CM68)</f>
        <v>37.345353485362452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16.682857142857149</v>
      </c>
      <c r="CT68" s="12">
        <f>IF('Données projet'!$A$140&gt;35,CT67+CS68-DB67,IF(A68&lt;'Données projet'!$A$140,$CQ$205^A68,IF(A68='Données projet'!$A$140,'Données projet'!$B$140,CT67+CS68-DB67)))</f>
        <v>503.44571428571464</v>
      </c>
      <c r="CU68" s="17">
        <f>CT68*VLOOKUP('Données projet'!$B$13,Paramètres!$A$1:$I$89,3,0)*VLOOKUP('Données projet'!$B$13,Paramètres!$A$1:$I$89,5,0)</f>
        <v>281.42615428571452</v>
      </c>
      <c r="CV68" s="13">
        <f t="shared" si="41"/>
        <v>67.268307105467983</v>
      </c>
      <c r="CW68" s="20">
        <f t="shared" ref="CW68:CW131" si="67">(CU68+CV68)*0.475*44/12</f>
        <v>607.30952025630938</v>
      </c>
      <c r="CX68" s="59">
        <f t="shared" ref="CX68:CX131" si="68">CW68+(CO68+CP68)*44/12</f>
        <v>900.64285358964275</v>
      </c>
      <c r="CY68" s="59">
        <f ca="1">AVERAGE(OFFSET($CX$3,0,0,'Données projet'!$E$13+1,1))-AVERAGE(OFFSET($H$3,0,0,'Données projet'!$E$13+1,1))</f>
        <v>386.66324266750968</v>
      </c>
      <c r="CZ68" s="59">
        <f t="shared" si="42"/>
        <v>356.22149461585769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96.207509192969482</v>
      </c>
      <c r="DG68" s="21">
        <f>EXP(-LN(2)/25)*DG67+(1-EXP(-LN(2)/25))/(LN(2)/25)*Calculateur!DB68*Calculateur!DD68*VLOOKUP('Données projet'!$B$13,Paramètres!$A$1:$I$89,3,0)*0.475*44/12</f>
        <v>33.398859599746416</v>
      </c>
      <c r="DH68" s="21">
        <f>EXP(-LN(2)/2)*DH67+(1-EXP(-LN(2)/2))/(LN(2)/2)*DB68*DE68*VLOOKUP('Données projet'!$B$13,Paramètres!$A$1:$I$89,3,0)*0.475*44/12</f>
        <v>6.8939512860862786</v>
      </c>
      <c r="DI68" s="22">
        <f t="shared" ref="DI68:DI131" si="69">SUM(DF68:DH68)</f>
        <v>136.50032007880219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306</v>
      </c>
      <c r="DM68" s="12">
        <f>VLOOKUP(A68,'Données projet'!$A$165:$I$185,9,0)</f>
        <v>5.2</v>
      </c>
      <c r="DN68" s="12">
        <f t="array" ref="DN68">INDEX(DM:DM,MIN(IF(ISNUMBER(DM68:DM264),ROW(DM68:DM264),"")))</f>
        <v>5.2</v>
      </c>
      <c r="DO68" s="12">
        <f>IF('Données projet'!$A$166&gt;35,DO67+DN68-DW67,IF(A68&lt;'Données projet'!$A$166,$DL$205^A68,IF(A68='Données projet'!$A$166,'Données projet'!$B$166,DO67+DN68-DW67)))</f>
        <v>305.99999999999983</v>
      </c>
      <c r="DP68" s="17">
        <f>DO68*VLOOKUP('Données projet'!$B$14,Paramètres!$A$1:$I$89,3,0)*VLOOKUP('Données projet'!$B$14,Paramètres!$A$1:$I$89,5,0)</f>
        <v>238.67999999999986</v>
      </c>
      <c r="DQ68" s="13">
        <f t="shared" si="43"/>
        <v>58.155434955547413</v>
      </c>
      <c r="DR68" s="20">
        <f t="shared" ref="DR68:DR131" si="70">(DP68+DQ68)*0.475*44/12</f>
        <v>516.98838254757811</v>
      </c>
      <c r="DS68" s="59">
        <f t="shared" ref="DS68:DS131" si="71">DR68+(DJ68+DK68)*44/12</f>
        <v>810.32171588091137</v>
      </c>
      <c r="DT68" s="59">
        <f ca="1">AVERAGE(OFFSET($DS$3,0,0,'Données projet'!$E$14+1,1))-AVERAGE(OFFSET($H$3,0,0,'Données projet'!$E$14+1,1))</f>
        <v>347.17417070871716</v>
      </c>
      <c r="DU68" s="59">
        <f t="shared" si="44"/>
        <v>339.56378046986441</v>
      </c>
      <c r="DV68" s="15">
        <f>IF(ISNA(VLOOKUP(A68,'Données projet'!$A$165:$I$185,3,0)),0,VLOOKUP(A68,'Données projet'!$A$165:$I$185,3,0))</f>
        <v>11</v>
      </c>
      <c r="DW68" s="15">
        <f>IF(ISNA(VLOOKUP(A68,'Données projet'!$A$165:$I$185,4,0)),0,VLOOKUP(A68,'Données projet'!$A$165:$I$185,4,0))</f>
        <v>13</v>
      </c>
      <c r="DX68" s="16">
        <f>IF(ISNA(VLOOKUP(A68,'Données projet'!$A$165:$I$185,5,0)),0%,VLOOKUP(A68,'Données projet'!$A$165:$I$185,5,0)*VLOOKUP('Données projet'!$B$14,Paramètres!$A$1:$I$89,7,0))</f>
        <v>0.1075</v>
      </c>
      <c r="DY68" s="16">
        <f>IF(ISNA(VLOOKUP(A68,'Données projet'!$A$165:$I$185,6,0)),0%,VLOOKUP(A68,'Données projet'!$A$165:$I$185,6,0)*VLOOKUP('Données projet'!$B$14,Paramètres!$A$1:$I$89,7,0))</f>
        <v>0.1075</v>
      </c>
      <c r="DZ68" s="16">
        <f>IF(ISNA(VLOOKUP(A68,'Données projet'!$A$165:$I$185,7,0)),0%,VLOOKUP(A68,'Données projet'!$A$165:$I$185,7,0))</f>
        <v>0.25</v>
      </c>
      <c r="EA68" s="21">
        <f>EXP(-LN(2)/35)*EA67+(1-EXP(-LN(2)/35))/(LN(2)/35)*DW68*DX68*VLOOKUP('Données projet'!$B$14,Paramètres!$A$1:$I$89,3,0)*0.475*44/12</f>
        <v>11.793191293200501</v>
      </c>
      <c r="EB68" s="21">
        <f>EXP(-LN(2)/25)*EB67+(1-EXP(-LN(2)/25))/(LN(2)/25)*Calculateur!DW68*Calculateur!DY68*VLOOKUP('Données projet'!$B$14,Paramètres!$A$1:$I$89,3,0)*0.475*44/12</f>
        <v>12.854660568568228</v>
      </c>
      <c r="EC68" s="21">
        <f>EXP(-LN(2)/2)*EC67+(1-EXP(-LN(2)/2))/(LN(2)/2)*DW68*DZ68*VLOOKUP('Données projet'!$B$14,Paramètres!$A$1:$I$89,3,0)*0.475*44/12</f>
        <v>2.964155177657668</v>
      </c>
      <c r="ED68" s="22">
        <f t="shared" ref="ED68:ED131" si="72">SUM(EA68:EC68)</f>
        <v>27.612007039426395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306</v>
      </c>
      <c r="EH68" s="12">
        <f>VLOOKUP(A68,'Données projet'!$A$191:$I$211,9,0)</f>
        <v>5.2</v>
      </c>
      <c r="EI68" s="12">
        <f t="array" ref="EI68">INDEX(EH:EH,MIN(IF(ISNUMBER(EH68:EH264),ROW(EH68:EH264),"")))</f>
        <v>5.2</v>
      </c>
      <c r="EJ68" s="12">
        <f>IF('Données projet'!$A$192&gt;35,EJ67+EI68-ER67,IF(A68&lt;'Données projet'!$A$192,$EG$205^A68,IF(A68='Données projet'!$A$192,'Données projet'!$B$192,EJ67+EI68-ER67)))</f>
        <v>305.99999999999983</v>
      </c>
      <c r="EK68" s="17">
        <f>EJ68*VLOOKUP('Données projet'!$B$15,Paramètres!$A$1:$I$89,3,0)*VLOOKUP('Données projet'!$B$15,Paramètres!$A$1:$I$89,5,0)</f>
        <v>267.32159999999988</v>
      </c>
      <c r="EL68" s="13">
        <f t="shared" si="45"/>
        <v>64.280515815446321</v>
      </c>
      <c r="EM68" s="20">
        <f t="shared" ref="EM68:EM131" si="73">(EK68+EL68)*0.475*44/12</f>
        <v>577.54035171190208</v>
      </c>
      <c r="EN68" s="59">
        <f t="shared" ref="EN68:EN131" si="74">EM68+(EE68+EF68)*44/12</f>
        <v>870.87368504523533</v>
      </c>
      <c r="EO68" s="59">
        <f ca="1">AVERAGE(OFFSET($EN$3,0,0,'Données projet'!$E$15+1,1))-AVERAGE(OFFSET($H$3,0,0,'Données projet'!$E$15+1,1))</f>
        <v>384.34044781465661</v>
      </c>
      <c r="EP68" s="59">
        <f t="shared" si="46"/>
        <v>374.99493809709708</v>
      </c>
      <c r="EQ68" s="15">
        <f>IF(ISNA(VLOOKUP(A68,'Données projet'!$A$191:$I$211,3,0)),0,VLOOKUP(A68,'Données projet'!$A$191:$I$211,3,0))</f>
        <v>11</v>
      </c>
      <c r="ER68" s="15">
        <f>IF(ISNA(VLOOKUP(A68,'Données projet'!$A$191:$I$211,4,0)),0,VLOOKUP(A68,'Données projet'!$A$191:$I$211,4,0))</f>
        <v>13</v>
      </c>
      <c r="ES68" s="16">
        <f>IF(ISNA(VLOOKUP(A68,'Données projet'!$A$191:$I$211,5,0)),0%,VLOOKUP(A68,'Données projet'!$A$191:$I$211,5,0)*VLOOKUP('Données projet'!$B$15,Paramètres!$A$1:$I$89,7,0))</f>
        <v>0.1075</v>
      </c>
      <c r="ET68" s="16">
        <f>IF(ISNA(VLOOKUP(A68,'Données projet'!$A$191:$I$211,6,0)),0%,VLOOKUP(A68,'Données projet'!$A$191:$I$211,6,0)*VLOOKUP('Données projet'!$B$15,Paramètres!$A$1:$I$89,7,0))</f>
        <v>0.1075</v>
      </c>
      <c r="EU68" s="16">
        <f>IF(ISNA(VLOOKUP(A68,'Données projet'!$A$191:$I$211,7,0)),0%,VLOOKUP(A68,'Données projet'!$A$191:$I$211,7,0))</f>
        <v>0.25</v>
      </c>
      <c r="EV68" s="21">
        <f>EXP(-LN(2)/35)*EV67+(1-EXP(-LN(2)/35))/(LN(2)/35)*ER68*ES68*VLOOKUP('Données projet'!$B$15,Paramètres!$A$1:$I$89,3,0)*0.475*44/12</f>
        <v>13.20837424838456</v>
      </c>
      <c r="EW68" s="21">
        <f>EXP(-LN(2)/25)*EW67+(1-EXP(-LN(2)/25))/(LN(2)/25)*Calculateur!ER68*Calculateur!ET68*VLOOKUP('Données projet'!$B$15,Paramètres!$A$1:$I$89,3,0)*0.475*44/12</f>
        <v>14.39721983679642</v>
      </c>
      <c r="EX68" s="21">
        <f>EXP(-LN(2)/2)*EX67+(1-EXP(-LN(2)/2))/(LN(2)/2)*ER68*EU68*VLOOKUP('Données projet'!$B$15,Paramètres!$A$1:$I$89,3,0)*0.475*44/12</f>
        <v>3.3198537989765886</v>
      </c>
      <c r="EY68" s="22">
        <f t="shared" ref="EY68:EY131" si="75">SUM(EV68:EX68)</f>
        <v>30.92544788415757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306</v>
      </c>
      <c r="FC68" s="12">
        <f>VLOOKUP(A68,'Données projet'!$A$217:$I$237,9,0)</f>
        <v>5.2</v>
      </c>
      <c r="FD68" s="12">
        <f t="array" ref="FD68">INDEX(FC:FC,MIN(IF(ISNUMBER(FC68:FC264),ROW(FC68:FC264),"")))</f>
        <v>5.2</v>
      </c>
      <c r="FE68" s="12">
        <f>IF('Données projet'!$A$218&gt;35,FE67+FD68-FM67,IF(A68&lt;'Données projet'!$A$218,$FB$205^A68,IF(A68='Données projet'!$A$218,'Données projet'!$B$218,FE67+FD68-FM67)))</f>
        <v>305.99999999999983</v>
      </c>
      <c r="FF68" s="17">
        <f>FE68*VLOOKUP('Données projet'!$B$16,Paramètres!$A$1:$I$89,3,0)*VLOOKUP('Données projet'!$B$16,Paramètres!$A$1:$I$89,5,0)</f>
        <v>248.22719999999987</v>
      </c>
      <c r="FG68" s="13">
        <f t="shared" si="47"/>
        <v>60.20616532763993</v>
      </c>
      <c r="FH68" s="20">
        <f t="shared" ref="FH68:FH131" si="76">(FF68+FG68)*0.475*44/12</f>
        <v>537.18811127897254</v>
      </c>
      <c r="FI68" s="59">
        <f t="shared" ref="FI68:FI131" si="77">FH68+(EZ68+FA68)*44/12</f>
        <v>830.52144461230591</v>
      </c>
      <c r="FJ68" s="59">
        <f ca="1">AVERAGE(OFFSET($FI$3,0,0,'Données projet'!$E$16+1,1))-AVERAGE(OFFSET($H$3,0,0,'Données projet'!$E$16+1,1))</f>
        <v>359.57284550600366</v>
      </c>
      <c r="FK68" s="59">
        <f t="shared" si="48"/>
        <v>351.38386928091433</v>
      </c>
      <c r="FL68" s="15">
        <f>IF(ISNA(VLOOKUP(A68,'Données projet'!$A$217:$I$237,3,0)),0,VLOOKUP(A68,'Données projet'!$A$217:$I$237,3,0))</f>
        <v>11</v>
      </c>
      <c r="FM68" s="15">
        <f>IF(ISNA(VLOOKUP(A68,'Données projet'!$A$217:$I$237,4,0)),0,VLOOKUP(A68,'Données projet'!$A$217:$I$237,4,0))</f>
        <v>13</v>
      </c>
      <c r="FN68" s="16">
        <f>IF(ISNA(VLOOKUP(A68,'Données projet'!$A$217:$I$237,5,0)),0%,VLOOKUP(A68,'Données projet'!$A$217:$I$237,5,0)*VLOOKUP('Données projet'!$B$16,Paramètres!$A$1:$I$89,7,0))</f>
        <v>0.1075</v>
      </c>
      <c r="FO68" s="16">
        <f>IF(ISNA(VLOOKUP(A68,'Données projet'!$A$217:$I$237,6,0)),0%,VLOOKUP(A68,'Données projet'!$A$217:$I$237,6,0)*VLOOKUP('Données projet'!$B$16,Paramètres!$A$1:$I$89,7,0))</f>
        <v>0.1075</v>
      </c>
      <c r="FP68" s="16">
        <f>IF(ISNA(VLOOKUP(A68,'Données projet'!$A$217:$I$237,7,0)),0%,VLOOKUP(A68,'Données projet'!$A$217:$I$237,7,0))</f>
        <v>0.25</v>
      </c>
      <c r="FQ68" s="21">
        <f>EXP(-LN(2)/35)*FQ67+(1-EXP(-LN(2)/35))/(LN(2)/35)*FM68*FN68*VLOOKUP('Données projet'!$B$16,Paramètres!$A$1:$I$89,3,0)*0.475*44/12</f>
        <v>12.264918944928523</v>
      </c>
      <c r="FR68" s="21">
        <f>EXP(-LN(2)/25)*FR67+(1-EXP(-LN(2)/25))/(LN(2)/25)*Calculateur!FM68*Calculateur!FO68*VLOOKUP('Données projet'!$B$16,Paramètres!$A$1:$I$89,3,0)*0.475*44/12</f>
        <v>13.36884699131096</v>
      </c>
      <c r="FS68" s="21">
        <f>EXP(-LN(2)/2)*FS67+(1-EXP(-LN(2)/2))/(LN(2)/2)*FM68*FP68*VLOOKUP('Données projet'!$B$16,Paramètres!$A$1:$I$89,3,0)*0.475*44/12</f>
        <v>3.0827213847639743</v>
      </c>
      <c r="FT68" s="22">
        <f t="shared" ref="FT68:FT131" si="78">SUM(FQ68:FS68)</f>
        <v>28.716487321003459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6">
        <f t="shared" si="56"/>
        <v>256.66666666666669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388.92</v>
      </c>
      <c r="L69" s="12">
        <f>VLOOKUP(A69,'Données projet'!$A$35:$I$55,9,0)</f>
        <v>13.520000000000003</v>
      </c>
      <c r="M69" s="12">
        <f t="array" ref="M69">INDEX(L:L,MIN(IF(ISNUMBER(L69:L265),ROW(L69:L265),"")))</f>
        <v>13.520000000000003</v>
      </c>
      <c r="N69" s="13">
        <f>IF('Données projet'!$A$36&gt;35,N68+M69-V68,IF(A69&lt;'Données projet'!$A$36,$K$205^A69,IF(A69='Données projet'!$A$36,'Données projet'!$B$36,N68+M69-V68)))</f>
        <v>388.92</v>
      </c>
      <c r="O69" s="13">
        <f>N69*VLOOKUP('Données projet'!$B$9,Paramètres!$A$1:$I$89,3,0)*VLOOKUP('Données projet'!$B$9,Paramètres!$A$1:$I$89,5,0)</f>
        <v>351.89481599999999</v>
      </c>
      <c r="P69" s="13">
        <f t="shared" ref="P69:P132" si="87">EXP(-1.0587+0.8836*LN(O69)+0.284)</f>
        <v>81.952550845391471</v>
      </c>
      <c r="Q69" s="20">
        <f t="shared" si="54"/>
        <v>755.61749725572326</v>
      </c>
      <c r="R69" s="59">
        <f t="shared" si="55"/>
        <v>1048.9508305890565</v>
      </c>
      <c r="S69" s="59">
        <f ca="1">AVERAGE(OFFSET($R$3,0,0,'Données projet'!$E$9+1,1))-AVERAGE(OFFSET($H$3,0,0,'Données projet'!$E$9+1,1))</f>
        <v>695.0879239758051</v>
      </c>
      <c r="T69" s="59">
        <f t="shared" ref="T69:T132" si="88">$T$3</f>
        <v>226.22150997227476</v>
      </c>
      <c r="U69" s="15">
        <f>IF(ISNA(VLOOKUP(A69,'Données projet'!$A$35:$I$55,3,0)),0,VLOOKUP(A69,'Données projet'!$A$35:$I$55,3,0))</f>
        <v>5</v>
      </c>
      <c r="V69" s="15">
        <f>IF(ISNA(VLOOKUP(A69,'Données projet'!$A$35:$I$55,4,0)),0,VLOOKUP(A69,'Données projet'!$A$35:$I$55,4,0))</f>
        <v>76.480000000000018</v>
      </c>
      <c r="W69" s="16">
        <f>IF(ISNA(VLOOKUP(A69,'Données projet'!$A$35:$I$55,5,0)),0%,VLOOKUP(A69,'Données projet'!$A$35:$I$55,5,0)*VLOOKUP('Données projet'!$B$9,Paramètres!$A$1:$I$89,7,0))</f>
        <v>0.15049999999999999</v>
      </c>
      <c r="X69" s="16">
        <f>IF(ISNA(VLOOKUP(A69,'Données projet'!$A$35:$I$55,6,0)),0%,VLOOKUP(A69,'Données projet'!$A$35:$I$55,6,0)*VLOOKUP('Données projet'!$B$9,Paramètres!$A$1:$I$89,7,0))</f>
        <v>8.6000000000000007E-2</v>
      </c>
      <c r="Y69" s="16">
        <f>IF(ISNA(VLOOKUP(A69,'Données projet'!$A$35:$I$55,7,0)),0%,VLOOKUP(A69,'Données projet'!$A$35:$I$55,7,0))</f>
        <v>0.1</v>
      </c>
      <c r="Z69" s="21">
        <f>EXP(-LN(2)/35)*Z68+(1-EXP(-LN(2)/35))/(LN(2)/35)*V69*W69*VLOOKUP('Données projet'!$B$9,Paramètres!$A$1:$I$89,3,0)*0.475*44/12</f>
        <v>19.969315972517677</v>
      </c>
      <c r="AA69" s="21">
        <f>EXP(-LN(2)/25)*AA68+(1-EXP(-LN(2)/25))/(LN(2)/25)*Calculateur!V69*Calculateur!X69*VLOOKUP('Données projet'!$B$9,Paramètres!$A$1:$I$89,3,0)*0.475*44/12</f>
        <v>42.039006869624131</v>
      </c>
      <c r="AB69" s="21">
        <f>EXP(-LN(2)/2)*AB68+(1-EXP(-LN(2)/2))/(LN(2)/2)*V69*Y69*VLOOKUP('Données projet'!$B$9,Paramètres!$A$1:$I$89,3,0)*0.475*44/12</f>
        <v>6.9300050567802831</v>
      </c>
      <c r="AC69" s="22">
        <f t="shared" si="57"/>
        <v>68.938327898922097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1.1368683772161603E-13</v>
      </c>
      <c r="AJ69" s="13">
        <f>AI69*VLOOKUP('Données projet'!$B$10,Paramètres!$A$1:$I$89,3,0)*VLOOKUP('Données projet'!$B$10,Paramètres!$A$1:$I$89,5,0)</f>
        <v>6.7984728957526396E-14</v>
      </c>
      <c r="AK69" s="13">
        <f t="shared" ref="AK69:AK132" si="89">EXP(-1.0587+0.8836*LN(AJ69)+0.284)</f>
        <v>1.0682447123141398E-12</v>
      </c>
      <c r="AL69" s="20">
        <f t="shared" si="58"/>
        <v>1.978932943548152E-12</v>
      </c>
      <c r="AM69" s="59">
        <f t="shared" si="59"/>
        <v>293.3333333333353</v>
      </c>
      <c r="AN69" s="59">
        <f ca="1">AVERAGE(OFFSET($AM$3,0,0,'Données projet'!$E$10+1,1))-AVERAGE(OFFSET($H$3,0,0,'Données projet'!$E$10+1,1))</f>
        <v>388.12151914648013</v>
      </c>
      <c r="AO69" s="59">
        <f t="shared" ref="AO69:AO132" si="90">$AO$3</f>
        <v>481.43684454382793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146.0367922158668</v>
      </c>
      <c r="AV69" s="21">
        <f>EXP(-LN(2)/25)*AV68+(1-EXP(-LN(2)/25))/(LN(2)/25)*Calculateur!AQ69*Calculateur!AS69*VLOOKUP('Données projet'!$B$10,Paramètres!$A$1:$I$89,3,0)*0.475*44/12</f>
        <v>46.736356196254789</v>
      </c>
      <c r="AW69" s="21">
        <f>EXP(-LN(2)/2)*AW68+(1-EXP(-LN(2)/2))/(LN(2)/2)*AQ69*AT69*VLOOKUP('Données projet'!$B$10,Paramètres!$A$1:$I$89,3,0)*0.475*44/12</f>
        <v>2.415759751313745</v>
      </c>
      <c r="AX69" s="21">
        <f t="shared" si="60"/>
        <v>195.18890816343534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4.5999999999999996</v>
      </c>
      <c r="BD69" s="12">
        <f>IF('Données projet'!$A$88&gt;35,BD68+BC69-BL68,IF(A69&lt;'Données projet'!$A$88,$BA$205^A69,IF(A69='Données projet'!$A$88,'Données projet'!$B$88,BD68+BC69-BL68)))</f>
        <v>297.59999999999985</v>
      </c>
      <c r="BE69" s="13">
        <f>BD69*VLOOKUP('Données projet'!$B$11,Paramètres!$A$1:$I$89,3,0)*VLOOKUP('Données projet'!$B$11,Paramètres!$A$1:$I$89,5,0)</f>
        <v>283.19615999999991</v>
      </c>
      <c r="BF69" s="13">
        <f t="shared" ref="BF69:BF132" si="91">EXP(-1.0587+0.8836*LN(BE69)+0.284)</f>
        <v>67.642002537222012</v>
      </c>
      <c r="BG69" s="20">
        <f t="shared" si="61"/>
        <v>611.04313308566145</v>
      </c>
      <c r="BH69" s="59">
        <f t="shared" si="62"/>
        <v>904.37646641899482</v>
      </c>
      <c r="BI69" s="59">
        <f ca="1">AVERAGE(OFFSET($BH$3,0,0,'Données projet'!$E$11+1,1))-AVERAGE(OFFSET($H$3,0,0,'Données projet'!$E$11+1,1))</f>
        <v>415.24818074059294</v>
      </c>
      <c r="BJ69" s="59">
        <f t="shared" ref="BJ69:BJ132" si="92">$BJ$3</f>
        <v>404.45811532046872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14.105559486194263</v>
      </c>
      <c r="BQ69" s="21">
        <f>EXP(-LN(2)/25)*BQ68+(1-EXP(-LN(2)/25))/(LN(2)/25)*Calculateur!BL69*Calculateur!BN69*VLOOKUP('Données projet'!$B$11,Paramètres!$A$1:$I$89,3,0)*0.475*44/12</f>
        <v>15.253842023174686</v>
      </c>
      <c r="BR69" s="21">
        <f>EXP(-LN(2)/2)*BR68+(1-EXP(-LN(2)/2))/(LN(2)/2)*BL69*BO69*VLOOKUP('Données projet'!$B$11,Paramètres!$A$1:$I$89,3,0)*0.475*44/12</f>
        <v>2.5570885564653625</v>
      </c>
      <c r="BS69" s="22">
        <f t="shared" si="63"/>
        <v>31.916490065834314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4.5999999999999996</v>
      </c>
      <c r="BY69" s="12">
        <f>IF('Données projet'!$A$114&gt;35,BY68+BX69-CG68,IF(A69&lt;'Données projet'!$A$114,$BV$205^A69,IF(A69='Données projet'!$A$114,'Données projet'!$B$114,BY68+BX69-CG68)))</f>
        <v>297.59999999999985</v>
      </c>
      <c r="BZ69" s="13">
        <f>BY69*VLOOKUP('Données projet'!$B$12,Paramètres!$A$1:$I$89,3,0)*VLOOKUP('Données projet'!$B$12,Paramètres!$A$1:$I$89,5,0)</f>
        <v>259.98335999999989</v>
      </c>
      <c r="CA69" s="13">
        <f t="shared" ref="CA69:CA132" si="93">EXP(-1.0587+0.8836*LN(BZ69)+0.284)</f>
        <v>62.718830967388186</v>
      </c>
      <c r="CB69" s="20">
        <f t="shared" si="64"/>
        <v>562.03964926820083</v>
      </c>
      <c r="CC69" s="59">
        <f t="shared" si="65"/>
        <v>855.3729826015342</v>
      </c>
      <c r="CD69" s="59">
        <f ca="1">AVERAGE(OFFSET($CC$3,0,0,'Données projet'!$E$12+1,1))-AVERAGE(OFFSET($H$3,0,0,'Données projet'!$E$12+1,1))</f>
        <v>384.34044781465661</v>
      </c>
      <c r="CE69" s="59">
        <f t="shared" ref="CE69:CE132" si="94">$CE$3</f>
        <v>374.99493809709708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15.960846570729926</v>
      </c>
      <c r="CL69" s="21">
        <f>EXP(-LN(2)/25)*CL68+(1-EXP(-LN(2)/25))/(LN(2)/25)*Calculateur!CG69*Calculateur!CI69*VLOOKUP('Données projet'!$B$12,Paramètres!$A$1:$I$89,3,0)*0.475*44/12</f>
        <v>17.260161313298688</v>
      </c>
      <c r="CM69" s="21">
        <f>EXP(-LN(2)/2)*CM68+(1-EXP(-LN(2)/2))/(LN(2)/2)*CG69*CJ69*VLOOKUP('Données projet'!$B$12,Paramètres!$A$1:$I$89,3,0)*0.475*44/12</f>
        <v>2.3474911338042674</v>
      </c>
      <c r="CN69" s="22">
        <f t="shared" si="66"/>
        <v>35.568499017832885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16.682857142857149</v>
      </c>
      <c r="CT69" s="12">
        <f>IF('Données projet'!$A$140&gt;35,CT68+CS69-DB68,IF(A69&lt;'Données projet'!$A$140,$CQ$205^A69,IF(A69='Données projet'!$A$140,'Données projet'!$B$140,CT68+CS69-DB68)))</f>
        <v>520.12857142857183</v>
      </c>
      <c r="CU69" s="17">
        <f>CT69*VLOOKUP('Données projet'!$B$13,Paramètres!$A$1:$I$89,3,0)*VLOOKUP('Données projet'!$B$13,Paramètres!$A$1:$I$89,5,0)</f>
        <v>290.75187142857169</v>
      </c>
      <c r="CV69" s="13">
        <f t="shared" ref="CV69:CV132" si="95">EXP(-1.0587+0.8836*LN(CU69)+0.284)</f>
        <v>69.23418152913365</v>
      </c>
      <c r="CW69" s="20">
        <f t="shared" si="67"/>
        <v>626.97570890133682</v>
      </c>
      <c r="CX69" s="59">
        <f t="shared" si="68"/>
        <v>920.30904223467019</v>
      </c>
      <c r="CY69" s="59">
        <f ca="1">AVERAGE(OFFSET($CX$3,0,0,'Données projet'!$E$13+1,1))-AVERAGE(OFFSET($H$3,0,0,'Données projet'!$E$13+1,1))</f>
        <v>386.66324266750968</v>
      </c>
      <c r="CZ69" s="59">
        <f t="shared" ref="CZ69:CZ132" si="96">$CZ$3</f>
        <v>356.22149461585769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94.320938618481705</v>
      </c>
      <c r="DG69" s="21">
        <f>EXP(-LN(2)/25)*DG68+(1-EXP(-LN(2)/25))/(LN(2)/25)*Calculateur!DB69*Calculateur!DD69*VLOOKUP('Données projet'!$B$13,Paramètres!$A$1:$I$89,3,0)*0.475*44/12</f>
        <v>32.485566027621658</v>
      </c>
      <c r="DH69" s="21">
        <f>EXP(-LN(2)/2)*DH68+(1-EXP(-LN(2)/2))/(LN(2)/2)*DB69*DE69*VLOOKUP('Données projet'!$B$13,Paramètres!$A$1:$I$89,3,0)*0.475*44/12</f>
        <v>4.8747597035613284</v>
      </c>
      <c r="DI69" s="22">
        <f t="shared" si="69"/>
        <v>131.6812643496647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4.5999999999999996</v>
      </c>
      <c r="DO69" s="12">
        <f>IF('Données projet'!$A$166&gt;35,DO68+DN69-DW68,IF(A69&lt;'Données projet'!$A$166,$DL$205^A69,IF(A69='Données projet'!$A$166,'Données projet'!$B$166,DO68+DN69-DW68)))</f>
        <v>297.59999999999985</v>
      </c>
      <c r="DP69" s="17">
        <f>DO69*VLOOKUP('Données projet'!$B$14,Paramètres!$A$1:$I$89,3,0)*VLOOKUP('Données projet'!$B$14,Paramètres!$A$1:$I$89,5,0)</f>
        <v>232.1279999999999</v>
      </c>
      <c r="DQ69" s="13">
        <f t="shared" ref="DQ69:DQ132" si="97">EXP(-1.0587+0.8836*LN(DP69)+0.284)</f>
        <v>56.742557967082348</v>
      </c>
      <c r="DR69" s="20">
        <f t="shared" si="70"/>
        <v>503.11622179266823</v>
      </c>
      <c r="DS69" s="59">
        <f t="shared" si="71"/>
        <v>796.44955512600154</v>
      </c>
      <c r="DT69" s="59">
        <f ca="1">AVERAGE(OFFSET($DS$3,0,0,'Données projet'!$E$14+1,1))-AVERAGE(OFFSET($H$3,0,0,'Données projet'!$E$14+1,1))</f>
        <v>347.17417070871716</v>
      </c>
      <c r="DU69" s="59">
        <f t="shared" ref="DU69:DU132" si="98">$DU$3</f>
        <v>339.56378046986441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11.561934005077264</v>
      </c>
      <c r="EB69" s="21">
        <f>EXP(-LN(2)/25)*EB68+(1-EXP(-LN(2)/25))/(LN(2)/25)*Calculateur!DW69*Calculateur!DY69*VLOOKUP('Données projet'!$B$14,Paramètres!$A$1:$I$89,3,0)*0.475*44/12</f>
        <v>12.503149199323511</v>
      </c>
      <c r="EC69" s="21">
        <f>EXP(-LN(2)/2)*EC68+(1-EXP(-LN(2)/2))/(LN(2)/2)*DW69*DZ69*VLOOKUP('Données projet'!$B$14,Paramètres!$A$1:$I$89,3,0)*0.475*44/12</f>
        <v>2.0959742266109527</v>
      </c>
      <c r="ED69" s="22">
        <f t="shared" si="72"/>
        <v>26.161057431011727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4.5999999999999996</v>
      </c>
      <c r="EJ69" s="12">
        <f>IF('Données projet'!$A$192&gt;35,EJ68+EI69-ER68,IF(A69&lt;'Données projet'!$A$192,$EG$205^A69,IF(A69='Données projet'!$A$192,'Données projet'!$B$192,EJ68+EI69-ER68)))</f>
        <v>297.59999999999985</v>
      </c>
      <c r="EK69" s="17">
        <f>EJ69*VLOOKUP('Données projet'!$B$15,Paramètres!$A$1:$I$89,3,0)*VLOOKUP('Données projet'!$B$15,Paramètres!$A$1:$I$89,5,0)</f>
        <v>259.98335999999989</v>
      </c>
      <c r="EL69" s="13">
        <f t="shared" ref="EL69:EL132" si="99">EXP(-1.0587+0.8836*LN(EK69)+0.284)</f>
        <v>62.718830967388186</v>
      </c>
      <c r="EM69" s="20">
        <f t="shared" si="73"/>
        <v>562.03964926820083</v>
      </c>
      <c r="EN69" s="59">
        <f t="shared" si="74"/>
        <v>855.3729826015342</v>
      </c>
      <c r="EO69" s="59">
        <f ca="1">AVERAGE(OFFSET($EN$3,0,0,'Données projet'!$E$15+1,1))-AVERAGE(OFFSET($H$3,0,0,'Données projet'!$E$15+1,1))</f>
        <v>384.34044781465661</v>
      </c>
      <c r="EP69" s="59">
        <f t="shared" ref="EP69:EP132" si="100">$EP$3</f>
        <v>374.99493809709708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12.949366085686535</v>
      </c>
      <c r="EW69" s="21">
        <f>EXP(-LN(2)/25)*EW68+(1-EXP(-LN(2)/25))/(LN(2)/25)*Calculateur!ER69*Calculateur!ET69*VLOOKUP('Données projet'!$B$15,Paramètres!$A$1:$I$89,3,0)*0.475*44/12</f>
        <v>14.003527103242336</v>
      </c>
      <c r="EX69" s="21">
        <f>EXP(-LN(2)/2)*EX68+(1-EXP(-LN(2)/2))/(LN(2)/2)*ER69*EU69*VLOOKUP('Données projet'!$B$15,Paramètres!$A$1:$I$89,3,0)*0.475*44/12</f>
        <v>2.3474911338042674</v>
      </c>
      <c r="EY69" s="22">
        <f t="shared" si="75"/>
        <v>29.300384322733137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4.5999999999999996</v>
      </c>
      <c r="FE69" s="12">
        <f>IF('Données projet'!$A$218&gt;35,FE68+FD69-FM68,IF(A69&lt;'Données projet'!$A$218,$FB$205^A69,IF(A69='Données projet'!$A$218,'Données projet'!$B$218,FE68+FD69-FM68)))</f>
        <v>297.59999999999985</v>
      </c>
      <c r="FF69" s="17">
        <f>FE69*VLOOKUP('Données projet'!$B$16,Paramètres!$A$1:$I$89,3,0)*VLOOKUP('Données projet'!$B$16,Paramètres!$A$1:$I$89,5,0)</f>
        <v>241.41311999999988</v>
      </c>
      <c r="FG69" s="13">
        <f t="shared" ref="FG69:FG132" si="101">EXP(-1.0587+0.8836*LN(FF69)+0.284)</f>
        <v>58.743466172863258</v>
      </c>
      <c r="FH69" s="20">
        <f t="shared" si="76"/>
        <v>522.77272091773659</v>
      </c>
      <c r="FI69" s="59">
        <f t="shared" si="77"/>
        <v>816.10605425106996</v>
      </c>
      <c r="FJ69" s="59">
        <f ca="1">AVERAGE(OFFSET($FI$3,0,0,'Données projet'!$E$16+1,1))-AVERAGE(OFFSET($H$3,0,0,'Données projet'!$E$16+1,1))</f>
        <v>359.57284550600366</v>
      </c>
      <c r="FK69" s="59">
        <f t="shared" ref="FK69:FK132" si="102">$FK$3</f>
        <v>351.38386928091433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12.024411365280358</v>
      </c>
      <c r="FR69" s="21">
        <f>EXP(-LN(2)/25)*FR68+(1-EXP(-LN(2)/25))/(LN(2)/25)*Calculateur!FM69*Calculateur!FO69*VLOOKUP('Données projet'!$B$16,Paramètres!$A$1:$I$89,3,0)*0.475*44/12</f>
        <v>13.003275167296453</v>
      </c>
      <c r="FS69" s="21">
        <f>EXP(-LN(2)/2)*FS68+(1-EXP(-LN(2)/2))/(LN(2)/2)*FM69*FP69*VLOOKUP('Données projet'!$B$16,Paramètres!$A$1:$I$89,3,0)*0.475*44/12</f>
        <v>2.1798131956753903</v>
      </c>
      <c r="FT69" s="22">
        <f t="shared" si="78"/>
        <v>27.207499728252198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6">
        <f t="shared" si="56"/>
        <v>256.66666666666669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12.795000000000002</v>
      </c>
      <c r="N70" s="13">
        <f>IF('Données projet'!$A$36&gt;35,N69+M70-V69,IF(A70&lt;'Données projet'!$A$36,$K$205^A70,IF(A70='Données projet'!$A$36,'Données projet'!$B$36,N69+M70-V69)))</f>
        <v>325.23500000000001</v>
      </c>
      <c r="O70" s="13">
        <f>N70*VLOOKUP('Données projet'!$B$9,Paramètres!$A$1:$I$89,3,0)*VLOOKUP('Données projet'!$B$9,Paramètres!$A$1:$I$89,5,0)</f>
        <v>294.272628</v>
      </c>
      <c r="P70" s="13">
        <f t="shared" si="87"/>
        <v>69.974442654220198</v>
      </c>
      <c r="Q70" s="20">
        <f t="shared" si="54"/>
        <v>634.39698138943356</v>
      </c>
      <c r="R70" s="59">
        <f t="shared" si="55"/>
        <v>927.73031472276693</v>
      </c>
      <c r="S70" s="59">
        <f ca="1">AVERAGE(OFFSET($R$3,0,0,'Données projet'!$E$9+1,1))-AVERAGE(OFFSET($H$3,0,0,'Données projet'!$E$9+1,1))</f>
        <v>695.0879239758051</v>
      </c>
      <c r="T70" s="59">
        <f t="shared" si="88"/>
        <v>226.22150997227476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19.577729866376664</v>
      </c>
      <c r="AA70" s="21">
        <f>EXP(-LN(2)/25)*AA69+(1-EXP(-LN(2)/25))/(LN(2)/25)*Calculateur!V70*Calculateur!X70*VLOOKUP('Données projet'!$B$9,Paramètres!$A$1:$I$89,3,0)*0.475*44/12</f>
        <v>40.889448016038969</v>
      </c>
      <c r="AB70" s="21">
        <f>EXP(-LN(2)/2)*AB69+(1-EXP(-LN(2)/2))/(LN(2)/2)*V70*Y70*VLOOKUP('Données projet'!$B$9,Paramètres!$A$1:$I$89,3,0)*0.475*44/12</f>
        <v>4.900253569306404</v>
      </c>
      <c r="AC70" s="22">
        <f t="shared" si="57"/>
        <v>65.367431451722041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1.1368683772161603E-13</v>
      </c>
      <c r="AJ70" s="13">
        <f>AI70*VLOOKUP('Données projet'!$B$10,Paramètres!$A$1:$I$89,3,0)*VLOOKUP('Données projet'!$B$10,Paramètres!$A$1:$I$89,5,0)</f>
        <v>6.7984728957526396E-14</v>
      </c>
      <c r="AK70" s="13">
        <f t="shared" si="89"/>
        <v>1.0682447123141398E-12</v>
      </c>
      <c r="AL70" s="20">
        <f t="shared" si="58"/>
        <v>1.978932943548152E-12</v>
      </c>
      <c r="AM70" s="59">
        <f t="shared" si="59"/>
        <v>293.3333333333353</v>
      </c>
      <c r="AN70" s="59">
        <f ca="1">AVERAGE(OFFSET($AM$3,0,0,'Données projet'!$E$10+1,1))-AVERAGE(OFFSET($H$3,0,0,'Données projet'!$E$10+1,1))</f>
        <v>388.12151914648013</v>
      </c>
      <c r="AO70" s="59">
        <f t="shared" si="90"/>
        <v>481.43684454382793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143.1730997941616</v>
      </c>
      <c r="AV70" s="21">
        <f>EXP(-LN(2)/25)*AV69+(1-EXP(-LN(2)/25))/(LN(2)/25)*Calculateur!AQ70*Calculateur!AS70*VLOOKUP('Données projet'!$B$10,Paramètres!$A$1:$I$89,3,0)*0.475*44/12</f>
        <v>45.458348078310046</v>
      </c>
      <c r="AW70" s="21">
        <f>EXP(-LN(2)/2)*AW69+(1-EXP(-LN(2)/2))/(LN(2)/2)*AQ70*AT70*VLOOKUP('Données projet'!$B$10,Paramètres!$A$1:$I$89,3,0)*0.475*44/12</f>
        <v>1.7082001018714768</v>
      </c>
      <c r="AX70" s="21">
        <f t="shared" si="60"/>
        <v>190.33964797434314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4.5999999999999996</v>
      </c>
      <c r="BD70" s="12">
        <f>IF('Données projet'!$A$88&gt;35,BD69+BC70-BL69,IF(A70&lt;'Données projet'!$A$88,$BA$205^A70,IF(A70='Données projet'!$A$88,'Données projet'!$B$88,BD69+BC70-BL69)))</f>
        <v>302.19999999999987</v>
      </c>
      <c r="BE70" s="13">
        <f>BD70*VLOOKUP('Données projet'!$B$11,Paramètres!$A$1:$I$89,3,0)*VLOOKUP('Données projet'!$B$11,Paramètres!$A$1:$I$89,5,0)</f>
        <v>287.57351999999992</v>
      </c>
      <c r="BF70" s="13">
        <f t="shared" si="91"/>
        <v>68.565016846194737</v>
      </c>
      <c r="BG70" s="20">
        <f t="shared" si="61"/>
        <v>620.27461834045573</v>
      </c>
      <c r="BH70" s="59">
        <f t="shared" si="62"/>
        <v>913.6079516737891</v>
      </c>
      <c r="BI70" s="59">
        <f ca="1">AVERAGE(OFFSET($BH$3,0,0,'Données projet'!$E$11+1,1))-AVERAGE(OFFSET($H$3,0,0,'Données projet'!$E$11+1,1))</f>
        <v>415.24818074059294</v>
      </c>
      <c r="BJ70" s="59">
        <f t="shared" si="92"/>
        <v>404.45811532046872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13.828958068211751</v>
      </c>
      <c r="BQ70" s="21">
        <f>EXP(-LN(2)/25)*BQ69+(1-EXP(-LN(2)/25))/(LN(2)/25)*Calculateur!BL70*Calculateur!BN70*VLOOKUP('Données projet'!$B$11,Paramètres!$A$1:$I$89,3,0)*0.475*44/12</f>
        <v>14.836724910886286</v>
      </c>
      <c r="BR70" s="21">
        <f>EXP(-LN(2)/2)*BR69+(1-EXP(-LN(2)/2))/(LN(2)/2)*BL70*BO70*VLOOKUP('Données projet'!$B$11,Paramètres!$A$1:$I$89,3,0)*0.475*44/12</f>
        <v>1.8081346583711779</v>
      </c>
      <c r="BS70" s="22">
        <f t="shared" si="63"/>
        <v>30.473817637469214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4.5999999999999996</v>
      </c>
      <c r="BY70" s="12">
        <f>IF('Données projet'!$A$114&gt;35,BY69+BX70-CG69,IF(A70&lt;'Données projet'!$A$114,$BV$205^A70,IF(A70='Données projet'!$A$114,'Données projet'!$B$114,BY69+BX70-CG69)))</f>
        <v>302.19999999999987</v>
      </c>
      <c r="BZ70" s="13">
        <f>BY70*VLOOKUP('Données projet'!$B$12,Paramètres!$A$1:$I$89,3,0)*VLOOKUP('Données projet'!$B$12,Paramètres!$A$1:$I$89,5,0)</f>
        <v>264.00191999999993</v>
      </c>
      <c r="CA70" s="13">
        <f t="shared" si="93"/>
        <v>63.574665748345318</v>
      </c>
      <c r="CB70" s="20">
        <f t="shared" si="64"/>
        <v>570.52922017836795</v>
      </c>
      <c r="CC70" s="59">
        <f t="shared" si="65"/>
        <v>863.86255351170121</v>
      </c>
      <c r="CD70" s="59">
        <f ca="1">AVERAGE(OFFSET($CC$3,0,0,'Données projet'!$E$12+1,1))-AVERAGE(OFFSET($H$3,0,0,'Données projet'!$E$12+1,1))</f>
        <v>384.34044781465661</v>
      </c>
      <c r="CE70" s="59">
        <f t="shared" si="94"/>
        <v>374.99493809709708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15.647864104633053</v>
      </c>
      <c r="CL70" s="21">
        <f>EXP(-LN(2)/25)*CL69+(1-EXP(-LN(2)/25))/(LN(2)/25)*Calculateur!CG70*Calculateur!CI70*VLOOKUP('Données projet'!$B$12,Paramètres!$A$1:$I$89,3,0)*0.475*44/12</f>
        <v>16.7881812945141</v>
      </c>
      <c r="CM70" s="21">
        <f>EXP(-LN(2)/2)*CM69+(1-EXP(-LN(2)/2))/(LN(2)/2)*CG70*CJ70*VLOOKUP('Données projet'!$B$12,Paramètres!$A$1:$I$89,3,0)*0.475*44/12</f>
        <v>1.6599268994882945</v>
      </c>
      <c r="CN70" s="22">
        <f t="shared" si="66"/>
        <v>34.095972298635452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16.682857142857149</v>
      </c>
      <c r="CT70" s="12">
        <f>IF('Données projet'!$A$140&gt;35,CT69+CS70-DB69,IF(A70&lt;'Données projet'!$A$140,$CQ$205^A70,IF(A70='Données projet'!$A$140,'Données projet'!$B$140,CT69+CS70-DB69)))</f>
        <v>536.81142857142902</v>
      </c>
      <c r="CU70" s="17">
        <f>CT70*VLOOKUP('Données projet'!$B$13,Paramètres!$A$1:$I$89,3,0)*VLOOKUP('Données projet'!$B$13,Paramètres!$A$1:$I$89,5,0)</f>
        <v>300.07758857142881</v>
      </c>
      <c r="CV70" s="13">
        <f t="shared" si="95"/>
        <v>71.19272877566128</v>
      </c>
      <c r="CW70" s="20">
        <f t="shared" si="67"/>
        <v>646.62913604618188</v>
      </c>
      <c r="CX70" s="59">
        <f t="shared" si="68"/>
        <v>939.96246937951514</v>
      </c>
      <c r="CY70" s="59">
        <f ca="1">AVERAGE(OFFSET($CX$3,0,0,'Données projet'!$E$13+1,1))-AVERAGE(OFFSET($H$3,0,0,'Données projet'!$E$13+1,1))</f>
        <v>386.66324266750968</v>
      </c>
      <c r="CZ70" s="59">
        <f t="shared" si="96"/>
        <v>356.22149461585769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92.471362542265211</v>
      </c>
      <c r="DG70" s="21">
        <f>EXP(-LN(2)/25)*DG69+(1-EXP(-LN(2)/25))/(LN(2)/25)*Calculateur!DB70*Calculateur!DD70*VLOOKUP('Données projet'!$B$13,Paramètres!$A$1:$I$89,3,0)*0.475*44/12</f>
        <v>31.597246516254675</v>
      </c>
      <c r="DH70" s="21">
        <f>EXP(-LN(2)/2)*DH69+(1-EXP(-LN(2)/2))/(LN(2)/2)*DB70*DE70*VLOOKUP('Données projet'!$B$13,Paramètres!$A$1:$I$89,3,0)*0.475*44/12</f>
        <v>3.4469756430431397</v>
      </c>
      <c r="DI70" s="22">
        <f t="shared" si="69"/>
        <v>127.51558470156303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4.5999999999999996</v>
      </c>
      <c r="DO70" s="12">
        <f>IF('Données projet'!$A$166&gt;35,DO69+DN70-DW69,IF(A70&lt;'Données projet'!$A$166,$DL$205^A70,IF(A70='Données projet'!$A$166,'Données projet'!$B$166,DO69+DN70-DW69)))</f>
        <v>302.19999999999987</v>
      </c>
      <c r="DP70" s="17">
        <f>DO70*VLOOKUP('Données projet'!$B$14,Paramètres!$A$1:$I$89,3,0)*VLOOKUP('Données projet'!$B$14,Paramètres!$A$1:$I$89,5,0)</f>
        <v>235.71599999999992</v>
      </c>
      <c r="DQ70" s="13">
        <f t="shared" si="97"/>
        <v>57.516843040953638</v>
      </c>
      <c r="DR70" s="20">
        <f t="shared" si="70"/>
        <v>510.71386829632746</v>
      </c>
      <c r="DS70" s="59">
        <f t="shared" si="71"/>
        <v>804.04720162966078</v>
      </c>
      <c r="DT70" s="59">
        <f ca="1">AVERAGE(OFFSET($DS$3,0,0,'Données projet'!$E$14+1,1))-AVERAGE(OFFSET($H$3,0,0,'Données projet'!$E$14+1,1))</f>
        <v>347.17417070871716</v>
      </c>
      <c r="DU70" s="59">
        <f t="shared" si="98"/>
        <v>339.56378046986441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11.335211531321107</v>
      </c>
      <c r="EB70" s="21">
        <f>EXP(-LN(2)/25)*EB69+(1-EXP(-LN(2)/25))/(LN(2)/25)*Calculateur!DW70*Calculateur!DY70*VLOOKUP('Données projet'!$B$14,Paramètres!$A$1:$I$89,3,0)*0.475*44/12</f>
        <v>12.16124992695597</v>
      </c>
      <c r="EC70" s="21">
        <f>EXP(-LN(2)/2)*EC69+(1-EXP(-LN(2)/2))/(LN(2)/2)*DW70*DZ70*VLOOKUP('Données projet'!$B$14,Paramètres!$A$1:$I$89,3,0)*0.475*44/12</f>
        <v>1.4820775888288342</v>
      </c>
      <c r="ED70" s="22">
        <f t="shared" si="72"/>
        <v>24.978539047105908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4.5999999999999996</v>
      </c>
      <c r="EJ70" s="12">
        <f>IF('Données projet'!$A$192&gt;35,EJ69+EI70-ER69,IF(A70&lt;'Données projet'!$A$192,$EG$205^A70,IF(A70='Données projet'!$A$192,'Données projet'!$B$192,EJ69+EI70-ER69)))</f>
        <v>302.19999999999987</v>
      </c>
      <c r="EK70" s="17">
        <f>EJ70*VLOOKUP('Données projet'!$B$15,Paramètres!$A$1:$I$89,3,0)*VLOOKUP('Données projet'!$B$15,Paramètres!$A$1:$I$89,5,0)</f>
        <v>264.00191999999993</v>
      </c>
      <c r="EL70" s="13">
        <f t="shared" si="99"/>
        <v>63.574665748345318</v>
      </c>
      <c r="EM70" s="20">
        <f t="shared" si="73"/>
        <v>570.52922017836795</v>
      </c>
      <c r="EN70" s="59">
        <f t="shared" si="74"/>
        <v>863.86255351170121</v>
      </c>
      <c r="EO70" s="59">
        <f ca="1">AVERAGE(OFFSET($EN$3,0,0,'Données projet'!$E$15+1,1))-AVERAGE(OFFSET($H$3,0,0,'Données projet'!$E$15+1,1))</f>
        <v>384.34044781465661</v>
      </c>
      <c r="EP70" s="59">
        <f t="shared" si="100"/>
        <v>374.99493809709708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12.695436915079638</v>
      </c>
      <c r="EW70" s="21">
        <f>EXP(-LN(2)/25)*EW69+(1-EXP(-LN(2)/25))/(LN(2)/25)*Calculateur!ER70*Calculateur!ET70*VLOOKUP('Données projet'!$B$15,Paramètres!$A$1:$I$89,3,0)*0.475*44/12</f>
        <v>13.620599918190688</v>
      </c>
      <c r="EX70" s="21">
        <f>EXP(-LN(2)/2)*EX69+(1-EXP(-LN(2)/2))/(LN(2)/2)*ER70*EU70*VLOOKUP('Données projet'!$B$15,Paramètres!$A$1:$I$89,3,0)*0.475*44/12</f>
        <v>1.6599268994882945</v>
      </c>
      <c r="EY70" s="22">
        <f t="shared" si="75"/>
        <v>27.975963732758618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4.5999999999999996</v>
      </c>
      <c r="FE70" s="12">
        <f>IF('Données projet'!$A$218&gt;35,FE69+FD70-FM69,IF(A70&lt;'Données projet'!$A$218,$FB$205^A70,IF(A70='Données projet'!$A$218,'Données projet'!$B$218,FE69+FD70-FM69)))</f>
        <v>302.19999999999987</v>
      </c>
      <c r="FF70" s="17">
        <f>FE70*VLOOKUP('Données projet'!$B$16,Paramètres!$A$1:$I$89,3,0)*VLOOKUP('Données projet'!$B$16,Paramètres!$A$1:$I$89,5,0)</f>
        <v>245.14463999999992</v>
      </c>
      <c r="FG70" s="13">
        <f t="shared" si="101"/>
        <v>59.545054798309039</v>
      </c>
      <c r="FH70" s="20">
        <f t="shared" si="76"/>
        <v>530.66788510705476</v>
      </c>
      <c r="FI70" s="59">
        <f t="shared" si="77"/>
        <v>824.00121844038813</v>
      </c>
      <c r="FJ70" s="59">
        <f ca="1">AVERAGE(OFFSET($FI$3,0,0,'Données projet'!$E$16+1,1))-AVERAGE(OFFSET($H$3,0,0,'Données projet'!$E$16+1,1))</f>
        <v>359.57284550600366</v>
      </c>
      <c r="FK70" s="59">
        <f t="shared" si="102"/>
        <v>351.38386928091433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11.788619992573954</v>
      </c>
      <c r="FR70" s="21">
        <f>EXP(-LN(2)/25)*FR69+(1-EXP(-LN(2)/25))/(LN(2)/25)*Calculateur!FM70*Calculateur!FO70*VLOOKUP('Données projet'!$B$16,Paramètres!$A$1:$I$89,3,0)*0.475*44/12</f>
        <v>12.64769992403421</v>
      </c>
      <c r="FS70" s="21">
        <f>EXP(-LN(2)/2)*FS69+(1-EXP(-LN(2)/2))/(LN(2)/2)*FM70*FP70*VLOOKUP('Données projet'!$B$16,Paramètres!$A$1:$I$89,3,0)*0.475*44/12</f>
        <v>1.5413606923819871</v>
      </c>
      <c r="FT70" s="22">
        <f t="shared" si="78"/>
        <v>25.977680608990148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6">
        <f t="shared" si="56"/>
        <v>256.66666666666669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12.795000000000002</v>
      </c>
      <c r="N71" s="13">
        <f>IF('Données projet'!$A$36&gt;35,N70+M71-V70,IF(A71&lt;'Données projet'!$A$36,$K$205^A71,IF(A71='Données projet'!$A$36,'Données projet'!$B$36,N70+M71-V70)))</f>
        <v>338.03000000000003</v>
      </c>
      <c r="O71" s="13">
        <f>N71*VLOOKUP('Données projet'!$B$9,Paramètres!$A$1:$I$89,3,0)*VLOOKUP('Données projet'!$B$9,Paramètres!$A$1:$I$89,5,0)</f>
        <v>305.84954400000004</v>
      </c>
      <c r="P71" s="13">
        <f t="shared" si="87"/>
        <v>72.401370969152978</v>
      </c>
      <c r="Q71" s="20">
        <f t="shared" si="54"/>
        <v>658.78701023794144</v>
      </c>
      <c r="R71" s="59">
        <f t="shared" si="55"/>
        <v>952.12034357127482</v>
      </c>
      <c r="S71" s="59">
        <f ca="1">AVERAGE(OFFSET($R$3,0,0,'Données projet'!$E$9+1,1))-AVERAGE(OFFSET($H$3,0,0,'Données projet'!$E$9+1,1))</f>
        <v>695.0879239758051</v>
      </c>
      <c r="T71" s="59">
        <f t="shared" si="88"/>
        <v>226.22150997227476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19.193822524933136</v>
      </c>
      <c r="AA71" s="21">
        <f>EXP(-LN(2)/25)*AA70+(1-EXP(-LN(2)/25))/(LN(2)/25)*Calculateur!V71*Calculateur!X71*VLOOKUP('Données projet'!$B$9,Paramètres!$A$1:$I$89,3,0)*0.475*44/12</f>
        <v>39.771323909757768</v>
      </c>
      <c r="AB71" s="21">
        <f>EXP(-LN(2)/2)*AB70+(1-EXP(-LN(2)/2))/(LN(2)/2)*V71*Y71*VLOOKUP('Données projet'!$B$9,Paramètres!$A$1:$I$89,3,0)*0.475*44/12</f>
        <v>3.465002528390142</v>
      </c>
      <c r="AC71" s="22">
        <f t="shared" si="57"/>
        <v>62.430148963081052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1.1368683772161603E-13</v>
      </c>
      <c r="AJ71" s="13">
        <f>AI71*VLOOKUP('Données projet'!$B$10,Paramètres!$A$1:$I$89,3,0)*VLOOKUP('Données projet'!$B$10,Paramètres!$A$1:$I$89,5,0)</f>
        <v>6.7984728957526396E-14</v>
      </c>
      <c r="AK71" s="13">
        <f t="shared" si="89"/>
        <v>1.0682447123141398E-12</v>
      </c>
      <c r="AL71" s="20">
        <f t="shared" si="58"/>
        <v>1.978932943548152E-12</v>
      </c>
      <c r="AM71" s="59">
        <f t="shared" si="59"/>
        <v>293.3333333333353</v>
      </c>
      <c r="AN71" s="59">
        <f ca="1">AVERAGE(OFFSET($AM$3,0,0,'Données projet'!$E$10+1,1))-AVERAGE(OFFSET($H$3,0,0,'Données projet'!$E$10+1,1))</f>
        <v>388.12151914648013</v>
      </c>
      <c r="AO71" s="59">
        <f t="shared" si="90"/>
        <v>481.43684454382793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140.36556263416614</v>
      </c>
      <c r="AV71" s="21">
        <f>EXP(-LN(2)/25)*AV70+(1-EXP(-LN(2)/25))/(LN(2)/25)*Calculateur!AQ71*Calculateur!AS71*VLOOKUP('Données projet'!$B$10,Paramètres!$A$1:$I$89,3,0)*0.475*44/12</f>
        <v>44.215287159558031</v>
      </c>
      <c r="AW71" s="21">
        <f>EXP(-LN(2)/2)*AW70+(1-EXP(-LN(2)/2))/(LN(2)/2)*AQ71*AT71*VLOOKUP('Données projet'!$B$10,Paramètres!$A$1:$I$89,3,0)*0.475*44/12</f>
        <v>1.2078798756568725</v>
      </c>
      <c r="AX71" s="21">
        <f t="shared" si="60"/>
        <v>185.78872966938104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4.5999999999999996</v>
      </c>
      <c r="BD71" s="12">
        <f>IF('Données projet'!$A$88&gt;35,BD70+BC71-BL70,IF(A71&lt;'Données projet'!$A$88,$BA$205^A71,IF(A71='Données projet'!$A$88,'Données projet'!$B$88,BD70+BC71-BL70)))</f>
        <v>306.7999999999999</v>
      </c>
      <c r="BE71" s="13">
        <f>BD71*VLOOKUP('Données projet'!$B$11,Paramètres!$A$1:$I$89,3,0)*VLOOKUP('Données projet'!$B$11,Paramètres!$A$1:$I$89,5,0)</f>
        <v>291.95087999999993</v>
      </c>
      <c r="BF71" s="13">
        <f t="shared" si="91"/>
        <v>69.486397133420212</v>
      </c>
      <c r="BG71" s="20">
        <f t="shared" si="61"/>
        <v>629.50325767404001</v>
      </c>
      <c r="BH71" s="59">
        <f t="shared" si="62"/>
        <v>922.83659100737327</v>
      </c>
      <c r="BI71" s="59">
        <f ca="1">AVERAGE(OFFSET($BH$3,0,0,'Données projet'!$E$11+1,1))-AVERAGE(OFFSET($H$3,0,0,'Données projet'!$E$11+1,1))</f>
        <v>415.24818074059294</v>
      </c>
      <c r="BJ71" s="59">
        <f t="shared" si="92"/>
        <v>404.45811532046872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13.55778063532567</v>
      </c>
      <c r="BQ71" s="21">
        <f>EXP(-LN(2)/25)*BQ70+(1-EXP(-LN(2)/25))/(LN(2)/25)*Calculateur!BL71*Calculateur!BN71*VLOOKUP('Données projet'!$B$11,Paramètres!$A$1:$I$89,3,0)*0.475*44/12</f>
        <v>14.431013887968646</v>
      </c>
      <c r="BR71" s="21">
        <f>EXP(-LN(2)/2)*BR70+(1-EXP(-LN(2)/2))/(LN(2)/2)*BL71*BO71*VLOOKUP('Données projet'!$B$11,Paramètres!$A$1:$I$89,3,0)*0.475*44/12</f>
        <v>1.2785442782326815</v>
      </c>
      <c r="BS71" s="22">
        <f t="shared" si="63"/>
        <v>29.267338801526996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4.5999999999999996</v>
      </c>
      <c r="BY71" s="12">
        <f>IF('Données projet'!$A$114&gt;35,BY70+BX71-CG70,IF(A71&lt;'Données projet'!$A$114,$BV$205^A71,IF(A71='Données projet'!$A$114,'Données projet'!$B$114,BY70+BX71-CG70)))</f>
        <v>306.7999999999999</v>
      </c>
      <c r="BZ71" s="13">
        <f>BY71*VLOOKUP('Données projet'!$B$12,Paramètres!$A$1:$I$89,3,0)*VLOOKUP('Données projet'!$B$12,Paramètres!$A$1:$I$89,5,0)</f>
        <v>268.02047999999996</v>
      </c>
      <c r="CA71" s="13">
        <f t="shared" si="93"/>
        <v>64.42898543616613</v>
      </c>
      <c r="CB71" s="20">
        <f t="shared" si="64"/>
        <v>579.01615230132256</v>
      </c>
      <c r="CC71" s="59">
        <f t="shared" si="65"/>
        <v>872.34948563465582</v>
      </c>
      <c r="CD71" s="59">
        <f ca="1">AVERAGE(OFFSET($CC$3,0,0,'Données projet'!$E$12+1,1))-AVERAGE(OFFSET($H$3,0,0,'Données projet'!$E$12+1,1))</f>
        <v>384.34044781465661</v>
      </c>
      <c r="CE71" s="59">
        <f t="shared" si="94"/>
        <v>374.99493809709708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15.341019033795886</v>
      </c>
      <c r="CL71" s="21">
        <f>EXP(-LN(2)/25)*CL70+(1-EXP(-LN(2)/25))/(LN(2)/25)*Calculateur!CG71*Calculateur!CI71*VLOOKUP('Données projet'!$B$12,Paramètres!$A$1:$I$89,3,0)*0.475*44/12</f>
        <v>16.329107594163528</v>
      </c>
      <c r="CM71" s="21">
        <f>EXP(-LN(2)/2)*CM70+(1-EXP(-LN(2)/2))/(LN(2)/2)*CG71*CJ71*VLOOKUP('Données projet'!$B$12,Paramètres!$A$1:$I$89,3,0)*0.475*44/12</f>
        <v>1.1737455669021337</v>
      </c>
      <c r="CN71" s="22">
        <f t="shared" si="66"/>
        <v>32.843872194861547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16.682857142857149</v>
      </c>
      <c r="CT71" s="12">
        <f>IF('Données projet'!$A$140&gt;35,CT70+CS71-DB70,IF(A71&lt;'Données projet'!$A$140,$CQ$205^A71,IF(A71='Données projet'!$A$140,'Données projet'!$B$140,CT70+CS71-DB70)))</f>
        <v>553.49428571428621</v>
      </c>
      <c r="CU71" s="17">
        <f>CT71*VLOOKUP('Données projet'!$B$13,Paramètres!$A$1:$I$89,3,0)*VLOOKUP('Données projet'!$B$13,Paramètres!$A$1:$I$89,5,0)</f>
        <v>309.40330571428598</v>
      </c>
      <c r="CV71" s="13">
        <f t="shared" si="95"/>
        <v>73.144202686055834</v>
      </c>
      <c r="CW71" s="20">
        <f t="shared" si="67"/>
        <v>666.27024379726197</v>
      </c>
      <c r="CX71" s="59">
        <f t="shared" si="68"/>
        <v>959.60357713059534</v>
      </c>
      <c r="CY71" s="59">
        <f ca="1">AVERAGE(OFFSET($CX$3,0,0,'Données projet'!$E$13+1,1))-AVERAGE(OFFSET($H$3,0,0,'Données projet'!$E$13+1,1))</f>
        <v>386.66324266750968</v>
      </c>
      <c r="CZ71" s="59">
        <f t="shared" si="96"/>
        <v>356.22149461585769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90.658055524773317</v>
      </c>
      <c r="DG71" s="21">
        <f>EXP(-LN(2)/25)*DG70+(1-EXP(-LN(2)/25))/(LN(2)/25)*Calculateur!DB71*Calculateur!DD71*VLOOKUP('Données projet'!$B$13,Paramètres!$A$1:$I$89,3,0)*0.475*44/12</f>
        <v>30.733218148640713</v>
      </c>
      <c r="DH71" s="21">
        <f>EXP(-LN(2)/2)*DH70+(1-EXP(-LN(2)/2))/(LN(2)/2)*DB71*DE71*VLOOKUP('Données projet'!$B$13,Paramètres!$A$1:$I$89,3,0)*0.475*44/12</f>
        <v>2.4373798517806646</v>
      </c>
      <c r="DI71" s="22">
        <f t="shared" si="69"/>
        <v>123.8286535251947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4.5999999999999996</v>
      </c>
      <c r="DO71" s="12">
        <f>IF('Données projet'!$A$166&gt;35,DO70+DN71-DW70,IF(A71&lt;'Données projet'!$A$166,$DL$205^A71,IF(A71='Données projet'!$A$166,'Données projet'!$B$166,DO70+DN71-DW70)))</f>
        <v>306.7999999999999</v>
      </c>
      <c r="DP71" s="17">
        <f>DO71*VLOOKUP('Données projet'!$B$14,Paramètres!$A$1:$I$89,3,0)*VLOOKUP('Données projet'!$B$14,Paramètres!$A$1:$I$89,5,0)</f>
        <v>239.30399999999992</v>
      </c>
      <c r="DQ71" s="13">
        <f t="shared" si="97"/>
        <v>58.289757389975783</v>
      </c>
      <c r="DR71" s="20">
        <f t="shared" si="70"/>
        <v>518.30912745420756</v>
      </c>
      <c r="DS71" s="59">
        <f t="shared" si="71"/>
        <v>811.64246078754081</v>
      </c>
      <c r="DT71" s="59">
        <f ca="1">AVERAGE(OFFSET($DS$3,0,0,'Données projet'!$E$14+1,1))-AVERAGE(OFFSET($H$3,0,0,'Données projet'!$E$14+1,1))</f>
        <v>347.17417070871716</v>
      </c>
      <c r="DU71" s="59">
        <f t="shared" si="98"/>
        <v>339.56378046986441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11.112934946988254</v>
      </c>
      <c r="EB71" s="21">
        <f>EXP(-LN(2)/25)*EB70+(1-EXP(-LN(2)/25))/(LN(2)/25)*Calculateur!DW71*Calculateur!DY71*VLOOKUP('Données projet'!$B$14,Paramètres!$A$1:$I$89,3,0)*0.475*44/12</f>
        <v>11.82869990817102</v>
      </c>
      <c r="EC71" s="21">
        <f>EXP(-LN(2)/2)*EC70+(1-EXP(-LN(2)/2))/(LN(2)/2)*DW71*DZ71*VLOOKUP('Données projet'!$B$14,Paramètres!$A$1:$I$89,3,0)*0.475*44/12</f>
        <v>1.0479871133054766</v>
      </c>
      <c r="ED71" s="22">
        <f t="shared" si="72"/>
        <v>23.98962196846475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4.5999999999999996</v>
      </c>
      <c r="EJ71" s="12">
        <f>IF('Données projet'!$A$192&gt;35,EJ70+EI71-ER70,IF(A71&lt;'Données projet'!$A$192,$EG$205^A71,IF(A71='Données projet'!$A$192,'Données projet'!$B$192,EJ70+EI71-ER70)))</f>
        <v>306.7999999999999</v>
      </c>
      <c r="EK71" s="17">
        <f>EJ71*VLOOKUP('Données projet'!$B$15,Paramètres!$A$1:$I$89,3,0)*VLOOKUP('Données projet'!$B$15,Paramètres!$A$1:$I$89,5,0)</f>
        <v>268.02047999999996</v>
      </c>
      <c r="EL71" s="13">
        <f t="shared" si="99"/>
        <v>64.42898543616613</v>
      </c>
      <c r="EM71" s="20">
        <f t="shared" si="73"/>
        <v>579.01615230132256</v>
      </c>
      <c r="EN71" s="59">
        <f t="shared" si="74"/>
        <v>872.34948563465582</v>
      </c>
      <c r="EO71" s="59">
        <f ca="1">AVERAGE(OFFSET($EN$3,0,0,'Données projet'!$E$15+1,1))-AVERAGE(OFFSET($H$3,0,0,'Données projet'!$E$15+1,1))</f>
        <v>384.34044781465661</v>
      </c>
      <c r="EP71" s="59">
        <f t="shared" si="100"/>
        <v>374.99493809709708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12.446487140626841</v>
      </c>
      <c r="EW71" s="21">
        <f>EXP(-LN(2)/25)*EW70+(1-EXP(-LN(2)/25))/(LN(2)/25)*Calculateur!ER71*Calculateur!ET71*VLOOKUP('Données projet'!$B$15,Paramètres!$A$1:$I$89,3,0)*0.475*44/12</f>
        <v>13.248143897151545</v>
      </c>
      <c r="EX71" s="21">
        <f>EXP(-LN(2)/2)*EX70+(1-EXP(-LN(2)/2))/(LN(2)/2)*ER71*EU71*VLOOKUP('Données projet'!$B$15,Paramètres!$A$1:$I$89,3,0)*0.475*44/12</f>
        <v>1.1737455669021337</v>
      </c>
      <c r="EY71" s="22">
        <f t="shared" si="75"/>
        <v>26.86837660468052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4.5999999999999996</v>
      </c>
      <c r="FE71" s="12">
        <f>IF('Données projet'!$A$218&gt;35,FE70+FD71-FM70,IF(A71&lt;'Données projet'!$A$218,$FB$205^A71,IF(A71='Données projet'!$A$218,'Données projet'!$B$218,FE70+FD71-FM70)))</f>
        <v>306.7999999999999</v>
      </c>
      <c r="FF71" s="17">
        <f>FE71*VLOOKUP('Données projet'!$B$16,Paramètres!$A$1:$I$89,3,0)*VLOOKUP('Données projet'!$B$16,Paramètres!$A$1:$I$89,5,0)</f>
        <v>248.87615999999991</v>
      </c>
      <c r="FG71" s="13">
        <f t="shared" si="101"/>
        <v>60.345224363146883</v>
      </c>
      <c r="FH71" s="20">
        <f t="shared" si="76"/>
        <v>538.56057776581395</v>
      </c>
      <c r="FI71" s="59">
        <f t="shared" si="77"/>
        <v>831.89391109914732</v>
      </c>
      <c r="FJ71" s="59">
        <f ca="1">AVERAGE(OFFSET($FI$3,0,0,'Données projet'!$E$16+1,1))-AVERAGE(OFFSET($H$3,0,0,'Données projet'!$E$16+1,1))</f>
        <v>359.57284550600366</v>
      </c>
      <c r="FK71" s="59">
        <f t="shared" si="102"/>
        <v>351.38386928091433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11.557452344867787</v>
      </c>
      <c r="FR71" s="21">
        <f>EXP(-LN(2)/25)*FR70+(1-EXP(-LN(2)/25))/(LN(2)/25)*Calculateur!FM71*Calculateur!FO71*VLOOKUP('Données projet'!$B$16,Paramètres!$A$1:$I$89,3,0)*0.475*44/12</f>
        <v>12.301847904497862</v>
      </c>
      <c r="FS71" s="21">
        <f>EXP(-LN(2)/2)*FS70+(1-EXP(-LN(2)/2))/(LN(2)/2)*FM71*FP71*VLOOKUP('Données projet'!$B$16,Paramètres!$A$1:$I$89,3,0)*0.475*44/12</f>
        <v>1.0899065978376952</v>
      </c>
      <c r="FT71" s="22">
        <f t="shared" si="78"/>
        <v>24.949206847203346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6">
        <f t="shared" si="56"/>
        <v>256.66666666666669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12.795000000000002</v>
      </c>
      <c r="N72" s="13">
        <f>IF('Données projet'!$A$36&gt;35,N71+M72-V71,IF(A72&lt;'Données projet'!$A$36,$K$205^A72,IF(A72='Données projet'!$A$36,'Données projet'!$B$36,N71+M72-V71)))</f>
        <v>350.82500000000005</v>
      </c>
      <c r="O72" s="13">
        <f>N72*VLOOKUP('Données projet'!$B$9,Paramètres!$A$1:$I$89,3,0)*VLOOKUP('Données projet'!$B$9,Paramètres!$A$1:$I$89,5,0)</f>
        <v>317.42646000000008</v>
      </c>
      <c r="P72" s="13">
        <f t="shared" si="87"/>
        <v>74.817627226984229</v>
      </c>
      <c r="Q72" s="20">
        <f t="shared" si="54"/>
        <v>683.158451920331</v>
      </c>
      <c r="R72" s="59">
        <f t="shared" si="55"/>
        <v>976.49178525366437</v>
      </c>
      <c r="S72" s="59">
        <f ca="1">AVERAGE(OFFSET($R$3,0,0,'Données projet'!$E$9+1,1))-AVERAGE(OFFSET($H$3,0,0,'Données projet'!$E$9+1,1))</f>
        <v>695.0879239758051</v>
      </c>
      <c r="T72" s="59">
        <f t="shared" si="88"/>
        <v>226.22150997227476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18.81744337229496</v>
      </c>
      <c r="AA72" s="21">
        <f>EXP(-LN(2)/25)*AA71+(1-EXP(-LN(2)/25))/(LN(2)/25)*Calculateur!V72*Calculateur!X72*VLOOKUP('Données projet'!$B$9,Paramètres!$A$1:$I$89,3,0)*0.475*44/12</f>
        <v>38.683774965962414</v>
      </c>
      <c r="AB72" s="21">
        <f>EXP(-LN(2)/2)*AB71+(1-EXP(-LN(2)/2))/(LN(2)/2)*V72*Y72*VLOOKUP('Données projet'!$B$9,Paramètres!$A$1:$I$89,3,0)*0.475*44/12</f>
        <v>2.4501267846532024</v>
      </c>
      <c r="AC72" s="22">
        <f t="shared" si="57"/>
        <v>59.951345122910574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1.1368683772161603E-13</v>
      </c>
      <c r="AJ72" s="13">
        <f>AI72*VLOOKUP('Données projet'!$B$10,Paramètres!$A$1:$I$89,3,0)*VLOOKUP('Données projet'!$B$10,Paramètres!$A$1:$I$89,5,0)</f>
        <v>6.7984728957526396E-14</v>
      </c>
      <c r="AK72" s="13">
        <f t="shared" si="89"/>
        <v>1.0682447123141398E-12</v>
      </c>
      <c r="AL72" s="20">
        <f t="shared" si="58"/>
        <v>1.978932943548152E-12</v>
      </c>
      <c r="AM72" s="59">
        <f t="shared" si="59"/>
        <v>293.3333333333353</v>
      </c>
      <c r="AN72" s="59">
        <f ca="1">AVERAGE(OFFSET($AM$3,0,0,'Données projet'!$E$10+1,1))-AVERAGE(OFFSET($H$3,0,0,'Données projet'!$E$10+1,1))</f>
        <v>388.12151914648013</v>
      </c>
      <c r="AO72" s="59">
        <f t="shared" si="90"/>
        <v>481.43684454382793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137.61307956544962</v>
      </c>
      <c r="AV72" s="21">
        <f>EXP(-LN(2)/25)*AV71+(1-EXP(-LN(2)/25))/(LN(2)/25)*Calculateur!AQ72*Calculateur!AS72*VLOOKUP('Données projet'!$B$10,Paramètres!$A$1:$I$89,3,0)*0.475*44/12</f>
        <v>43.006217806999018</v>
      </c>
      <c r="AW72" s="21">
        <f>EXP(-LN(2)/2)*AW71+(1-EXP(-LN(2)/2))/(LN(2)/2)*AQ72*AT72*VLOOKUP('Données projet'!$B$10,Paramètres!$A$1:$I$89,3,0)*0.475*44/12</f>
        <v>0.85410005093573838</v>
      </c>
      <c r="AX72" s="21">
        <f t="shared" si="60"/>
        <v>181.47339742338437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4.5999999999999996</v>
      </c>
      <c r="BD72" s="12">
        <f>IF('Données projet'!$A$88&gt;35,BD71+BC72-BL71,IF(A72&lt;'Données projet'!$A$88,$BA$205^A72,IF(A72='Données projet'!$A$88,'Données projet'!$B$88,BD71+BC72-BL71)))</f>
        <v>311.39999999999992</v>
      </c>
      <c r="BE72" s="13">
        <f>BD72*VLOOKUP('Données projet'!$B$11,Paramètres!$A$1:$I$89,3,0)*VLOOKUP('Données projet'!$B$11,Paramètres!$A$1:$I$89,5,0)</f>
        <v>296.32823999999994</v>
      </c>
      <c r="BF72" s="13">
        <f t="shared" si="91"/>
        <v>70.406170728542762</v>
      </c>
      <c r="BG72" s="20">
        <f t="shared" si="61"/>
        <v>638.72909868554518</v>
      </c>
      <c r="BH72" s="59">
        <f t="shared" si="62"/>
        <v>932.06243201887855</v>
      </c>
      <c r="BI72" s="59">
        <f ca="1">AVERAGE(OFFSET($BH$3,0,0,'Données projet'!$E$11+1,1))-AVERAGE(OFFSET($H$3,0,0,'Données projet'!$E$11+1,1))</f>
        <v>415.24818074059294</v>
      </c>
      <c r="BJ72" s="59">
        <f t="shared" si="92"/>
        <v>404.45811532046872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13.291920826496582</v>
      </c>
      <c r="BQ72" s="21">
        <f>EXP(-LN(2)/25)*BQ71+(1-EXP(-LN(2)/25))/(LN(2)/25)*Calculateur!BL72*Calculateur!BN72*VLOOKUP('Données projet'!$B$11,Paramètres!$A$1:$I$89,3,0)*0.475*44/12</f>
        <v>14.036397054308106</v>
      </c>
      <c r="BR72" s="21">
        <f>EXP(-LN(2)/2)*BR71+(1-EXP(-LN(2)/2))/(LN(2)/2)*BL72*BO72*VLOOKUP('Données projet'!$B$11,Paramètres!$A$1:$I$89,3,0)*0.475*44/12</f>
        <v>0.90406732918558907</v>
      </c>
      <c r="BS72" s="22">
        <f t="shared" si="63"/>
        <v>28.23238520999028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4.5999999999999996</v>
      </c>
      <c r="BY72" s="12">
        <f>IF('Données projet'!$A$114&gt;35,BY71+BX72-CG71,IF(A72&lt;'Données projet'!$A$114,$BV$205^A72,IF(A72='Données projet'!$A$114,'Données projet'!$B$114,BY71+BX72-CG71)))</f>
        <v>311.39999999999992</v>
      </c>
      <c r="BZ72" s="13">
        <f>BY72*VLOOKUP('Données projet'!$B$12,Paramètres!$A$1:$I$89,3,0)*VLOOKUP('Données projet'!$B$12,Paramètres!$A$1:$I$89,5,0)</f>
        <v>272.03904</v>
      </c>
      <c r="CA72" s="13">
        <f t="shared" si="93"/>
        <v>65.281815371368268</v>
      </c>
      <c r="CB72" s="20">
        <f t="shared" si="64"/>
        <v>587.50048977179972</v>
      </c>
      <c r="CC72" s="59">
        <f t="shared" si="65"/>
        <v>880.83382310513298</v>
      </c>
      <c r="CD72" s="59">
        <f ca="1">AVERAGE(OFFSET($CC$3,0,0,'Données projet'!$E$12+1,1))-AVERAGE(OFFSET($H$3,0,0,'Données projet'!$E$12+1,1))</f>
        <v>384.34044781465661</v>
      </c>
      <c r="CE72" s="59">
        <f t="shared" si="94"/>
        <v>374.99493809709708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15.040191007640823</v>
      </c>
      <c r="CL72" s="21">
        <f>EXP(-LN(2)/25)*CL71+(1-EXP(-LN(2)/25))/(LN(2)/25)*Calculateur!CG72*Calculateur!CI72*VLOOKUP('Données projet'!$B$12,Paramètres!$A$1:$I$89,3,0)*0.475*44/12</f>
        <v>15.882587288290678</v>
      </c>
      <c r="CM72" s="21">
        <f>EXP(-LN(2)/2)*CM71+(1-EXP(-LN(2)/2))/(LN(2)/2)*CG72*CJ72*VLOOKUP('Données projet'!$B$12,Paramètres!$A$1:$I$89,3,0)*0.475*44/12</f>
        <v>0.82996344974414726</v>
      </c>
      <c r="CN72" s="22">
        <f t="shared" si="66"/>
        <v>31.75274174567565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16.682857142857149</v>
      </c>
      <c r="CT72" s="12">
        <f>IF('Données projet'!$A$140&gt;35,CT71+CS72-DB71,IF(A72&lt;'Données projet'!$A$140,$CQ$205^A72,IF(A72='Données projet'!$A$140,'Données projet'!$B$140,CT71+CS72-DB71)))</f>
        <v>570.17714285714339</v>
      </c>
      <c r="CU72" s="17">
        <f>CT72*VLOOKUP('Données projet'!$B$13,Paramètres!$A$1:$I$89,3,0)*VLOOKUP('Données projet'!$B$13,Paramètres!$A$1:$I$89,5,0)</f>
        <v>318.72902285714315</v>
      </c>
      <c r="CV72" s="13">
        <f t="shared" si="95"/>
        <v>75.088840929664514</v>
      </c>
      <c r="CW72" s="20">
        <f t="shared" si="67"/>
        <v>685.89944609535667</v>
      </c>
      <c r="CX72" s="59">
        <f t="shared" si="68"/>
        <v>979.23277942869004</v>
      </c>
      <c r="CY72" s="59">
        <f ca="1">AVERAGE(OFFSET($CX$3,0,0,'Données projet'!$E$13+1,1))-AVERAGE(OFFSET($H$3,0,0,'Données projet'!$E$13+1,1))</f>
        <v>386.66324266750968</v>
      </c>
      <c r="CZ72" s="59">
        <f t="shared" si="96"/>
        <v>356.22149461585769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88.880306351886361</v>
      </c>
      <c r="DG72" s="21">
        <f>EXP(-LN(2)/25)*DG71+(1-EXP(-LN(2)/25))/(LN(2)/25)*Calculateur!DB72*Calculateur!DD72*VLOOKUP('Données projet'!$B$13,Paramètres!$A$1:$I$89,3,0)*0.475*44/12</f>
        <v>29.892816682176431</v>
      </c>
      <c r="DH72" s="21">
        <f>EXP(-LN(2)/2)*DH71+(1-EXP(-LN(2)/2))/(LN(2)/2)*DB72*DE72*VLOOKUP('Données projet'!$B$13,Paramètres!$A$1:$I$89,3,0)*0.475*44/12</f>
        <v>1.7234878215215701</v>
      </c>
      <c r="DI72" s="22">
        <f t="shared" si="69"/>
        <v>120.49661085558436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4.5999999999999996</v>
      </c>
      <c r="DO72" s="12">
        <f>IF('Données projet'!$A$166&gt;35,DO71+DN72-DW71,IF(A72&lt;'Données projet'!$A$166,$DL$205^A72,IF(A72='Données projet'!$A$166,'Données projet'!$B$166,DO71+DN72-DW71)))</f>
        <v>311.39999999999992</v>
      </c>
      <c r="DP72" s="17">
        <f>DO72*VLOOKUP('Données projet'!$B$14,Paramètres!$A$1:$I$89,3,0)*VLOOKUP('Données projet'!$B$14,Paramètres!$A$1:$I$89,5,0)</f>
        <v>242.89199999999994</v>
      </c>
      <c r="DQ72" s="13">
        <f t="shared" si="97"/>
        <v>59.061323940051196</v>
      </c>
      <c r="DR72" s="20">
        <f t="shared" si="70"/>
        <v>525.90203919558905</v>
      </c>
      <c r="DS72" s="59">
        <f t="shared" si="71"/>
        <v>819.23537252892243</v>
      </c>
      <c r="DT72" s="59">
        <f ca="1">AVERAGE(OFFSET($DS$3,0,0,'Données projet'!$E$14+1,1))-AVERAGE(OFFSET($H$3,0,0,'Données projet'!$E$14+1,1))</f>
        <v>347.17417070871716</v>
      </c>
      <c r="DU72" s="59">
        <f t="shared" si="98"/>
        <v>339.56378046986441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10.895017070898838</v>
      </c>
      <c r="EB72" s="21">
        <f>EXP(-LN(2)/25)*EB71+(1-EXP(-LN(2)/25))/(LN(2)/25)*Calculateur!DW72*Calculateur!DY72*VLOOKUP('Données projet'!$B$14,Paramètres!$A$1:$I$89,3,0)*0.475*44/12</f>
        <v>11.50524348713779</v>
      </c>
      <c r="EC72" s="21">
        <f>EXP(-LN(2)/2)*EC71+(1-EXP(-LN(2)/2))/(LN(2)/2)*DW72*DZ72*VLOOKUP('Données projet'!$B$14,Paramètres!$A$1:$I$89,3,0)*0.475*44/12</f>
        <v>0.74103879441441722</v>
      </c>
      <c r="ED72" s="22">
        <f t="shared" si="72"/>
        <v>23.141299352451046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4.5999999999999996</v>
      </c>
      <c r="EJ72" s="12">
        <f>IF('Données projet'!$A$192&gt;35,EJ71+EI72-ER71,IF(A72&lt;'Données projet'!$A$192,$EG$205^A72,IF(A72='Données projet'!$A$192,'Données projet'!$B$192,EJ71+EI72-ER71)))</f>
        <v>311.39999999999992</v>
      </c>
      <c r="EK72" s="17">
        <f>EJ72*VLOOKUP('Données projet'!$B$15,Paramètres!$A$1:$I$89,3,0)*VLOOKUP('Données projet'!$B$15,Paramètres!$A$1:$I$89,5,0)</f>
        <v>272.03904</v>
      </c>
      <c r="EL72" s="13">
        <f t="shared" si="99"/>
        <v>65.281815371368268</v>
      </c>
      <c r="EM72" s="20">
        <f t="shared" si="73"/>
        <v>587.50048977179972</v>
      </c>
      <c r="EN72" s="59">
        <f t="shared" si="74"/>
        <v>880.83382310513298</v>
      </c>
      <c r="EO72" s="59">
        <f ca="1">AVERAGE(OFFSET($EN$3,0,0,'Données projet'!$E$15+1,1))-AVERAGE(OFFSET($H$3,0,0,'Données projet'!$E$15+1,1))</f>
        <v>384.34044781465661</v>
      </c>
      <c r="EP72" s="59">
        <f t="shared" si="100"/>
        <v>374.99493809709708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12.202419119406695</v>
      </c>
      <c r="EW72" s="21">
        <f>EXP(-LN(2)/25)*EW71+(1-EXP(-LN(2)/25))/(LN(2)/25)*Calculateur!ER72*Calculateur!ET72*VLOOKUP('Données projet'!$B$15,Paramètres!$A$1:$I$89,3,0)*0.475*44/12</f>
        <v>12.885872705594327</v>
      </c>
      <c r="EX72" s="21">
        <f>EXP(-LN(2)/2)*EX71+(1-EXP(-LN(2)/2))/(LN(2)/2)*ER72*EU72*VLOOKUP('Données projet'!$B$15,Paramètres!$A$1:$I$89,3,0)*0.475*44/12</f>
        <v>0.82996344974414726</v>
      </c>
      <c r="EY72" s="22">
        <f t="shared" si="75"/>
        <v>25.918255274745171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4.5999999999999996</v>
      </c>
      <c r="FE72" s="12">
        <f>IF('Données projet'!$A$218&gt;35,FE71+FD72-FM71,IF(A72&lt;'Données projet'!$A$218,$FB$205^A72,IF(A72='Données projet'!$A$218,'Données projet'!$B$218,FE71+FD72-FM71)))</f>
        <v>311.39999999999992</v>
      </c>
      <c r="FF72" s="17">
        <f>FE72*VLOOKUP('Données projet'!$B$16,Paramètres!$A$1:$I$89,3,0)*VLOOKUP('Données projet'!$B$16,Paramètres!$A$1:$I$89,5,0)</f>
        <v>252.60767999999996</v>
      </c>
      <c r="FG72" s="13">
        <f t="shared" si="101"/>
        <v>61.143998601713257</v>
      </c>
      <c r="FH72" s="20">
        <f t="shared" si="76"/>
        <v>546.4508402313171</v>
      </c>
      <c r="FI72" s="59">
        <f t="shared" si="77"/>
        <v>839.78417356465047</v>
      </c>
      <c r="FJ72" s="59">
        <f ca="1">AVERAGE(OFFSET($FI$3,0,0,'Données projet'!$E$16+1,1))-AVERAGE(OFFSET($H$3,0,0,'Données projet'!$E$16+1,1))</f>
        <v>359.57284550600366</v>
      </c>
      <c r="FK72" s="59">
        <f t="shared" si="102"/>
        <v>351.38386928091433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11.330817753734795</v>
      </c>
      <c r="FR72" s="21">
        <f>EXP(-LN(2)/25)*FR71+(1-EXP(-LN(2)/25))/(LN(2)/25)*Calculateur!FM72*Calculateur!FO72*VLOOKUP('Données projet'!$B$16,Paramètres!$A$1:$I$89,3,0)*0.475*44/12</f>
        <v>11.965453226623303</v>
      </c>
      <c r="FS72" s="21">
        <f>EXP(-LN(2)/2)*FS71+(1-EXP(-LN(2)/2))/(LN(2)/2)*FM72*FP72*VLOOKUP('Données projet'!$B$16,Paramètres!$A$1:$I$89,3,0)*0.475*44/12</f>
        <v>0.77068034619099357</v>
      </c>
      <c r="FT72" s="22">
        <f t="shared" si="78"/>
        <v>24.066951326549091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6">
        <f t="shared" si="56"/>
        <v>256.66666666666669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12.795000000000002</v>
      </c>
      <c r="N73" s="13">
        <f>IF('Données projet'!$A$36&gt;35,N72+M73-V72,IF(A73&lt;'Données projet'!$A$36,$K$205^A73,IF(A73='Données projet'!$A$36,'Données projet'!$B$36,N72+M73-V72)))</f>
        <v>363.62000000000006</v>
      </c>
      <c r="O73" s="13">
        <f>N73*VLOOKUP('Données projet'!$B$9,Paramètres!$A$1:$I$89,3,0)*VLOOKUP('Données projet'!$B$9,Paramètres!$A$1:$I$89,5,0)</f>
        <v>329.00337600000006</v>
      </c>
      <c r="P73" s="13">
        <f t="shared" si="87"/>
        <v>77.2236452302744</v>
      </c>
      <c r="Q73" s="20">
        <f t="shared" si="54"/>
        <v>707.51206197606132</v>
      </c>
      <c r="R73" s="59">
        <f t="shared" si="55"/>
        <v>1000.8453953093947</v>
      </c>
      <c r="S73" s="59">
        <f ca="1">AVERAGE(OFFSET($R$3,0,0,'Données projet'!$E$9+1,1))-AVERAGE(OFFSET($H$3,0,0,'Données projet'!$E$9+1,1))</f>
        <v>695.0879239758051</v>
      </c>
      <c r="T73" s="59">
        <f t="shared" si="88"/>
        <v>226.22150997227476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18.448444785271402</v>
      </c>
      <c r="AA73" s="21">
        <f>EXP(-LN(2)/25)*AA72+(1-EXP(-LN(2)/25))/(LN(2)/25)*Calculateur!V73*Calculateur!X73*VLOOKUP('Données projet'!$B$9,Paramètres!$A$1:$I$89,3,0)*0.475*44/12</f>
        <v>37.625965105226861</v>
      </c>
      <c r="AB73" s="21">
        <f>EXP(-LN(2)/2)*AB72+(1-EXP(-LN(2)/2))/(LN(2)/2)*V73*Y73*VLOOKUP('Données projet'!$B$9,Paramètres!$A$1:$I$89,3,0)*0.475*44/12</f>
        <v>1.7325012641950714</v>
      </c>
      <c r="AC73" s="22">
        <f t="shared" si="57"/>
        <v>57.806911154693331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1.1368683772161603E-13</v>
      </c>
      <c r="AJ73" s="13">
        <f>AI73*VLOOKUP('Données projet'!$B$10,Paramètres!$A$1:$I$89,3,0)*VLOOKUP('Données projet'!$B$10,Paramètres!$A$1:$I$89,5,0)</f>
        <v>6.7984728957526396E-14</v>
      </c>
      <c r="AK73" s="13">
        <f t="shared" si="89"/>
        <v>1.0682447123141398E-12</v>
      </c>
      <c r="AL73" s="20">
        <f t="shared" si="58"/>
        <v>1.978932943548152E-12</v>
      </c>
      <c r="AM73" s="59">
        <f t="shared" si="59"/>
        <v>293.3333333333353</v>
      </c>
      <c r="AN73" s="59">
        <f ca="1">AVERAGE(OFFSET($AM$3,0,0,'Données projet'!$E$10+1,1))-AVERAGE(OFFSET($H$3,0,0,'Données projet'!$E$10+1,1))</f>
        <v>388.12151914648013</v>
      </c>
      <c r="AO73" s="59">
        <f t="shared" si="90"/>
        <v>481.43684454382793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134.91457101086172</v>
      </c>
      <c r="AV73" s="21">
        <f>EXP(-LN(2)/25)*AV72+(1-EXP(-LN(2)/25))/(LN(2)/25)*Calculateur!AQ73*Calculateur!AS73*VLOOKUP('Données projet'!$B$10,Paramètres!$A$1:$I$89,3,0)*0.475*44/12</f>
        <v>41.830210519467926</v>
      </c>
      <c r="AW73" s="21">
        <f>EXP(-LN(2)/2)*AW72+(1-EXP(-LN(2)/2))/(LN(2)/2)*AQ73*AT73*VLOOKUP('Données projet'!$B$10,Paramètres!$A$1:$I$89,3,0)*0.475*44/12</f>
        <v>0.60393993782843625</v>
      </c>
      <c r="AX73" s="21">
        <f t="shared" si="60"/>
        <v>177.34872146815809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316</v>
      </c>
      <c r="BB73" s="12">
        <f>VLOOKUP(A73,'Données projet'!$A$87:$I$107,9,0)</f>
        <v>4.5999999999999996</v>
      </c>
      <c r="BC73" s="12">
        <f t="array" ref="BC73">INDEX(BB:BB,MIN(IF(ISNUMBER(BB73:BB269),ROW(BB73:BB269),"")))</f>
        <v>4.5999999999999996</v>
      </c>
      <c r="BD73" s="12">
        <f>IF('Données projet'!$A$88&gt;35,BD72+BC73-BL72,IF(A73&lt;'Données projet'!$A$88,$BA$205^A73,IF(A73='Données projet'!$A$88,'Données projet'!$B$88,BD72+BC73-BL72)))</f>
        <v>315.99999999999994</v>
      </c>
      <c r="BE73" s="13">
        <f>BD73*VLOOKUP('Données projet'!$B$11,Paramètres!$A$1:$I$89,3,0)*VLOOKUP('Données projet'!$B$11,Paramètres!$A$1:$I$89,5,0)</f>
        <v>300.70559999999995</v>
      </c>
      <c r="BF73" s="13">
        <f t="shared" si="91"/>
        <v>71.324364107429389</v>
      </c>
      <c r="BG73" s="20">
        <f t="shared" si="61"/>
        <v>647.95218748710613</v>
      </c>
      <c r="BH73" s="59">
        <f t="shared" si="62"/>
        <v>941.28552082043939</v>
      </c>
      <c r="BI73" s="59">
        <f ca="1">AVERAGE(OFFSET($BH$3,0,0,'Données projet'!$E$11+1,1))-AVERAGE(OFFSET($H$3,0,0,'Données projet'!$E$11+1,1))</f>
        <v>415.24818074059294</v>
      </c>
      <c r="BJ73" s="59">
        <f t="shared" si="92"/>
        <v>404.45811532046872</v>
      </c>
      <c r="BK73" s="15">
        <f>IF(ISNA(VLOOKUP(A73,'Données projet'!$A$87:$I$107,3,0)),0,VLOOKUP(A73,'Données projet'!$A$87:$I$107,3,0))</f>
        <v>12</v>
      </c>
      <c r="BL73" s="15">
        <f>IF(ISNA(VLOOKUP(A73,'Données projet'!$A$87:$I$107,4,0)),0,VLOOKUP(A73,'Données projet'!$A$87:$I$107,4,0))</f>
        <v>13</v>
      </c>
      <c r="BM73" s="16">
        <f>IF(ISNA(VLOOKUP(A73,'Données projet'!$A$87:$I$107,5,0)),0%,VLOOKUP(A73,'Données projet'!$A$87:$I$107,5,0)*VLOOKUP('Données projet'!$B$11,Paramètres!$A$1:$I$89,7,0))</f>
        <v>0.1075</v>
      </c>
      <c r="BN73" s="16">
        <f>IF(ISNA(VLOOKUP(A73,'Données projet'!$A$87:$I$107,6,0)),0%,VLOOKUP(A73,'Données projet'!$A$87:$I$107,6,0)*VLOOKUP('Données projet'!$B$11,Paramètres!$A$1:$I$89,7,0))</f>
        <v>0.1075</v>
      </c>
      <c r="BO73" s="16">
        <f>IF(ISNA(VLOOKUP(A73,'Données projet'!$A$87:$I$107,7,0)),0%,VLOOKUP(A73,'Données projet'!$A$87:$I$107,7,0))</f>
        <v>0.25</v>
      </c>
      <c r="BP73" s="21">
        <f>EXP(-LN(2)/35)*BP72+(1-EXP(-LN(2)/35))/(LN(2)/35)*BL73*BM73*VLOOKUP('Données projet'!$B$11,Paramètres!$A$1:$I$89,3,0)*0.475*44/12</f>
        <v>14.501396310756231</v>
      </c>
      <c r="BQ73" s="21">
        <f>EXP(-LN(2)/25)*BQ72+(1-EXP(-LN(2)/25))/(LN(2)/25)*Calculateur!BL73*Calculateur!BN73*VLOOKUP('Données projet'!$B$11,Paramètres!$A$1:$I$89,3,0)*0.475*44/12</f>
        <v>15.116904552856614</v>
      </c>
      <c r="BR73" s="21">
        <f>EXP(-LN(2)/2)*BR72+(1-EXP(-LN(2)/2))/(LN(2)/2)*BL73*BO73*VLOOKUP('Données projet'!$B$11,Paramètres!$A$1:$I$89,3,0)*0.475*44/12</f>
        <v>3.557317827916425</v>
      </c>
      <c r="BS73" s="22">
        <f t="shared" si="63"/>
        <v>33.175618691529273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316</v>
      </c>
      <c r="BW73" s="12">
        <f>VLOOKUP(A73,'Données projet'!$A$113:$I$133,9,0)</f>
        <v>4.5999999999999996</v>
      </c>
      <c r="BX73" s="12">
        <f t="array" ref="BX73">INDEX(BW:BW,MIN(IF(ISNUMBER(BW73:BW269),ROW(BW73:BW269),"")))</f>
        <v>4.5999999999999996</v>
      </c>
      <c r="BY73" s="12">
        <f>IF('Données projet'!$A$114&gt;35,BY72+BX73-CG72,IF(A73&lt;'Données projet'!$A$114,$BV$205^A73,IF(A73='Données projet'!$A$114,'Données projet'!$B$114,BY72+BX73-CG72)))</f>
        <v>315.99999999999994</v>
      </c>
      <c r="BZ73" s="13">
        <f>BY73*VLOOKUP('Données projet'!$B$12,Paramètres!$A$1:$I$89,3,0)*VLOOKUP('Données projet'!$B$12,Paramètres!$A$1:$I$89,5,0)</f>
        <v>276.05759999999998</v>
      </c>
      <c r="CA73" s="13">
        <f t="shared" si="93"/>
        <v>66.133180102831929</v>
      </c>
      <c r="CB73" s="20">
        <f t="shared" si="64"/>
        <v>595.98227534576563</v>
      </c>
      <c r="CC73" s="59">
        <f t="shared" si="65"/>
        <v>889.31560867909889</v>
      </c>
      <c r="CD73" s="59">
        <f ca="1">AVERAGE(OFFSET($CC$3,0,0,'Données projet'!$E$12+1,1))-AVERAGE(OFFSET($H$3,0,0,'Données projet'!$E$12+1,1))</f>
        <v>384.34044781465661</v>
      </c>
      <c r="CE73" s="59">
        <f t="shared" si="94"/>
        <v>374.99493809709708</v>
      </c>
      <c r="CF73" s="15">
        <f>IF(ISNA(VLOOKUP(A73,'Données projet'!$A$113:$I$133,3,0)),0,VLOOKUP(A73,'Données projet'!$A$113:$I$133,3,0))</f>
        <v>12</v>
      </c>
      <c r="CG73" s="15">
        <f>IF(ISNA(VLOOKUP(A73,'Données projet'!$A$113:$I$133,4,0)),0,VLOOKUP(A73,'Données projet'!$A$113:$I$133,4,0))</f>
        <v>13</v>
      </c>
      <c r="CH73" s="16">
        <f>IF(ISNA(VLOOKUP(A73,'Données projet'!$A$113:$I$133,5,0)),0%,VLOOKUP(A73,'Données projet'!$A$113:$I$133,5,0)*VLOOKUP('Données projet'!$B$12,Paramètres!$A$1:$I$89,7,0))</f>
        <v>0.13250000000000001</v>
      </c>
      <c r="CI73" s="16">
        <f>IF(ISNA(VLOOKUP(A73,'Données projet'!$A$113:$I$133,6,0)),0%,VLOOKUP(A73,'Données projet'!$A$113:$I$133,6,0)*VLOOKUP('Données projet'!$B$12,Paramètres!$A$1:$I$89,7,0))</f>
        <v>0.13250000000000001</v>
      </c>
      <c r="CJ73" s="16">
        <f>IF(ISNA(VLOOKUP(A73,'Données projet'!$A$113:$I$133,7,0)),0%,VLOOKUP(A73,'Données projet'!$A$113:$I$133,7,0))</f>
        <v>0.25</v>
      </c>
      <c r="CK73" s="21">
        <f>EXP(-LN(2)/35)*CK72+(1-EXP(-LN(2)/35))/(LN(2)/35)*CG73*CH73*VLOOKUP('Données projet'!$B$12,Paramètres!$A$1:$I$89,3,0)*0.475*44/12</f>
        <v>16.408747331423758</v>
      </c>
      <c r="CL73" s="21">
        <f>EXP(-LN(2)/25)*CL72+(1-EXP(-LN(2)/25))/(LN(2)/25)*Calculateur!CG73*Calculateur!CI73*VLOOKUP('Données projet'!$B$12,Paramètres!$A$1:$I$89,3,0)*0.475*44/12</f>
        <v>17.1052126240482</v>
      </c>
      <c r="CM73" s="21">
        <f>EXP(-LN(2)/2)*CM72+(1-EXP(-LN(2)/2))/(LN(2)/2)*CG73*CJ73*VLOOKUP('Données projet'!$B$12,Paramètres!$A$1:$I$89,3,0)*0.475*44/12</f>
        <v>3.2657343993986849</v>
      </c>
      <c r="CN73" s="22">
        <f t="shared" si="66"/>
        <v>36.779694354870642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586.86</v>
      </c>
      <c r="CR73" s="12">
        <f>VLOOKUP(A73,'Données projet'!$A$139:$I$159,9,0)</f>
        <v>16.682857142857149</v>
      </c>
      <c r="CS73" s="12">
        <f t="array" ref="CS73">INDEX(CR:CR,MIN(IF(ISNUMBER(CR73:CR269),ROW(CR73:CR269),"")))</f>
        <v>16.682857142857149</v>
      </c>
      <c r="CT73" s="12">
        <f>IF('Données projet'!$A$140&gt;35,CT72+CS73-DB72,IF(A73&lt;'Données projet'!$A$140,$CQ$205^A73,IF(A73='Données projet'!$A$140,'Données projet'!$B$140,CT72+CS73-DB72)))</f>
        <v>586.86000000000058</v>
      </c>
      <c r="CU73" s="17">
        <f>CT73*VLOOKUP('Données projet'!$B$13,Paramètres!$A$1:$I$89,3,0)*VLOOKUP('Données projet'!$B$13,Paramètres!$A$1:$I$89,5,0)</f>
        <v>328.05474000000032</v>
      </c>
      <c r="CV73" s="13">
        <f t="shared" si="95"/>
        <v>77.026866477102189</v>
      </c>
      <c r="CW73" s="20">
        <f t="shared" si="67"/>
        <v>705.51713128095355</v>
      </c>
      <c r="CX73" s="59">
        <f t="shared" si="68"/>
        <v>998.85046461428692</v>
      </c>
      <c r="CY73" s="59">
        <f ca="1">AVERAGE(OFFSET($CX$3,0,0,'Données projet'!$E$13+1,1))-AVERAGE(OFFSET($H$3,0,0,'Données projet'!$E$13+1,1))</f>
        <v>386.66324266750968</v>
      </c>
      <c r="CZ73" s="59">
        <f t="shared" si="96"/>
        <v>356.22149461585769</v>
      </c>
      <c r="DA73" s="15">
        <f>IF(ISNA(VLOOKUP(A73,'Données projet'!$A$139:$I$159,3,0)),0,VLOOKUP(A73,'Données projet'!$A$139:$I$159,3,0))</f>
        <v>8</v>
      </c>
      <c r="DB73" s="15">
        <f>IF(ISNA(VLOOKUP(A73,'Données projet'!$A$139:$I$159,4,0)),0,VLOOKUP(A73,'Données projet'!$A$139:$I$159,4,0))</f>
        <v>586.86</v>
      </c>
      <c r="DC73" s="16">
        <f>IF(ISNA(VLOOKUP(A73,'Données projet'!$A$139:$I$159,5,0)),0%,VLOOKUP(A73,'Données projet'!$A$139:$I$159,5,0)*VLOOKUP('Données projet'!$B$13,Paramètres!$A$1:$I$89,7,0))</f>
        <v>0.33</v>
      </c>
      <c r="DD73" s="16">
        <f>IF(ISNA(VLOOKUP(A73,'Données projet'!$A$139:$I$159,6,0)),0%,VLOOKUP(A73,'Données projet'!$A$139:$I$159,6,0)*VLOOKUP('Données projet'!$B$13,Paramètres!$A$1:$I$89,7,0))</f>
        <v>0.11000000000000001</v>
      </c>
      <c r="DE73" s="16">
        <f>IF(ISNA(VLOOKUP(A73,'Données projet'!$A$139:$I$159,7,0)),0%,VLOOKUP(A73,'Données projet'!$A$139:$I$159,7,0))</f>
        <v>0.2</v>
      </c>
      <c r="DF73" s="21">
        <f>EXP(-LN(2)/35)*DF72+(1-EXP(-LN(2)/35))/(LN(2)/35)*DB73*DC73*VLOOKUP('Données projet'!$B$13,Paramètres!$A$1:$I$89,3,0)*0.475*44/12</f>
        <v>230.74871773837151</v>
      </c>
      <c r="DG73" s="21">
        <f>EXP(-LN(2)/25)*DG72+(1-EXP(-LN(2)/25))/(LN(2)/25)*Calculateur!DB73*Calculateur!DD73*VLOOKUP('Données projet'!$B$13,Paramètres!$A$1:$I$89,3,0)*0.475*44/12</f>
        <v>76.757345229402674</v>
      </c>
      <c r="DH73" s="21">
        <f>EXP(-LN(2)/2)*DH72+(1-EXP(-LN(2)/2))/(LN(2)/2)*DB73*DE73*VLOOKUP('Données projet'!$B$13,Paramètres!$A$1:$I$89,3,0)*0.475*44/12</f>
        <v>75.505524322819824</v>
      </c>
      <c r="DI73" s="22">
        <f t="shared" si="69"/>
        <v>383.01158729059404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316</v>
      </c>
      <c r="DM73" s="12">
        <f>VLOOKUP(A73,'Données projet'!$A$165:$I$185,9,0)</f>
        <v>4.5999999999999996</v>
      </c>
      <c r="DN73" s="12">
        <f t="array" ref="DN73">INDEX(DM:DM,MIN(IF(ISNUMBER(DM73:DM269),ROW(DM73:DM269),"")))</f>
        <v>4.5999999999999996</v>
      </c>
      <c r="DO73" s="12">
        <f>IF('Données projet'!$A$166&gt;35,DO72+DN73-DW72,IF(A73&lt;'Données projet'!$A$166,$DL$205^A73,IF(A73='Données projet'!$A$166,'Données projet'!$B$166,DO72+DN73-DW72)))</f>
        <v>315.99999999999994</v>
      </c>
      <c r="DP73" s="17">
        <f>DO73*VLOOKUP('Données projet'!$B$14,Paramètres!$A$1:$I$89,3,0)*VLOOKUP('Données projet'!$B$14,Paramètres!$A$1:$I$89,5,0)</f>
        <v>246.47999999999996</v>
      </c>
      <c r="DQ73" s="13">
        <f t="shared" si="97"/>
        <v>59.831564900877268</v>
      </c>
      <c r="DR73" s="20">
        <f t="shared" si="70"/>
        <v>533.49264220236114</v>
      </c>
      <c r="DS73" s="59">
        <f t="shared" si="71"/>
        <v>826.8259755356944</v>
      </c>
      <c r="DT73" s="59">
        <f ca="1">AVERAGE(OFFSET($DS$3,0,0,'Données projet'!$E$14+1,1))-AVERAGE(OFFSET($H$3,0,0,'Données projet'!$E$14+1,1))</f>
        <v>347.17417070871716</v>
      </c>
      <c r="DU73" s="59">
        <f t="shared" si="98"/>
        <v>339.56378046986441</v>
      </c>
      <c r="DV73" s="15">
        <f>IF(ISNA(VLOOKUP(A73,'Données projet'!$A$165:$I$185,3,0)),0,VLOOKUP(A73,'Données projet'!$A$165:$I$185,3,0))</f>
        <v>12</v>
      </c>
      <c r="DW73" s="15">
        <f>IF(ISNA(VLOOKUP(A73,'Données projet'!$A$165:$I$185,4,0)),0,VLOOKUP(A73,'Données projet'!$A$165:$I$185,4,0))</f>
        <v>13</v>
      </c>
      <c r="DX73" s="16">
        <f>IF(ISNA(VLOOKUP(A73,'Données projet'!$A$165:$I$185,5,0)),0%,VLOOKUP(A73,'Données projet'!$A$165:$I$185,5,0)*VLOOKUP('Données projet'!$B$14,Paramètres!$A$1:$I$89,7,0))</f>
        <v>0.1075</v>
      </c>
      <c r="DY73" s="16">
        <f>IF(ISNA(VLOOKUP(A73,'Données projet'!$A$165:$I$185,6,0)),0%,VLOOKUP(A73,'Données projet'!$A$165:$I$185,6,0)*VLOOKUP('Données projet'!$B$14,Paramètres!$A$1:$I$89,7,0))</f>
        <v>0.1075</v>
      </c>
      <c r="DZ73" s="16">
        <f>IF(ISNA(VLOOKUP(A73,'Données projet'!$A$165:$I$185,7,0)),0%,VLOOKUP(A73,'Données projet'!$A$165:$I$185,7,0))</f>
        <v>0.25</v>
      </c>
      <c r="EA73" s="21">
        <f>EXP(-LN(2)/35)*EA72+(1-EXP(-LN(2)/35))/(LN(2)/35)*DW73*DX73*VLOOKUP('Données projet'!$B$14,Paramètres!$A$1:$I$89,3,0)*0.475*44/12</f>
        <v>11.886390418652647</v>
      </c>
      <c r="EB73" s="21">
        <f>EXP(-LN(2)/25)*EB72+(1-EXP(-LN(2)/25))/(LN(2)/25)*Calculateur!DW73*Calculateur!DY73*VLOOKUP('Données projet'!$B$14,Paramètres!$A$1:$I$89,3,0)*0.475*44/12</f>
        <v>12.390905371193943</v>
      </c>
      <c r="EC73" s="21">
        <f>EXP(-LN(2)/2)*EC72+(1-EXP(-LN(2)/2))/(LN(2)/2)*DW73*DZ73*VLOOKUP('Données projet'!$B$14,Paramètres!$A$1:$I$89,3,0)*0.475*44/12</f>
        <v>2.9158342851773975</v>
      </c>
      <c r="ED73" s="22">
        <f t="shared" si="72"/>
        <v>27.193130075023987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316</v>
      </c>
      <c r="EH73" s="12">
        <f>VLOOKUP(A73,'Données projet'!$A$191:$I$211,9,0)</f>
        <v>4.5999999999999996</v>
      </c>
      <c r="EI73" s="12">
        <f t="array" ref="EI73">INDEX(EH:EH,MIN(IF(ISNUMBER(EH73:EH269),ROW(EH73:EH269),"")))</f>
        <v>4.5999999999999996</v>
      </c>
      <c r="EJ73" s="12">
        <f>IF('Données projet'!$A$192&gt;35,EJ72+EI73-ER72,IF(A73&lt;'Données projet'!$A$192,$EG$205^A73,IF(A73='Données projet'!$A$192,'Données projet'!$B$192,EJ72+EI73-ER72)))</f>
        <v>315.99999999999994</v>
      </c>
      <c r="EK73" s="17">
        <f>EJ73*VLOOKUP('Données projet'!$B$15,Paramètres!$A$1:$I$89,3,0)*VLOOKUP('Données projet'!$B$15,Paramètres!$A$1:$I$89,5,0)</f>
        <v>276.05759999999998</v>
      </c>
      <c r="EL73" s="13">
        <f t="shared" si="99"/>
        <v>66.133180102831929</v>
      </c>
      <c r="EM73" s="20">
        <f t="shared" si="73"/>
        <v>595.98227534576563</v>
      </c>
      <c r="EN73" s="59">
        <f t="shared" si="74"/>
        <v>889.31560867909889</v>
      </c>
      <c r="EO73" s="59">
        <f ca="1">AVERAGE(OFFSET($EN$3,0,0,'Données projet'!$E$15+1,1))-AVERAGE(OFFSET($H$3,0,0,'Données projet'!$E$15+1,1))</f>
        <v>384.34044781465661</v>
      </c>
      <c r="EP73" s="59">
        <f t="shared" si="100"/>
        <v>374.99493809709708</v>
      </c>
      <c r="EQ73" s="15">
        <f>IF(ISNA(VLOOKUP(A73,'Données projet'!$A$191:$I$211,3,0)),0,VLOOKUP(A73,'Données projet'!$A$191:$I$211,3,0))</f>
        <v>12</v>
      </c>
      <c r="ER73" s="15">
        <f>IF(ISNA(VLOOKUP(A73,'Données projet'!$A$191:$I$211,4,0)),0,VLOOKUP(A73,'Données projet'!$A$191:$I$211,4,0))</f>
        <v>13</v>
      </c>
      <c r="ES73" s="16">
        <f>IF(ISNA(VLOOKUP(A73,'Données projet'!$A$191:$I$211,5,0)),0%,VLOOKUP(A73,'Données projet'!$A$191:$I$211,5,0)*VLOOKUP('Données projet'!$B$15,Paramètres!$A$1:$I$89,7,0))</f>
        <v>0.1075</v>
      </c>
      <c r="ET73" s="16">
        <f>IF(ISNA(VLOOKUP(A73,'Données projet'!$A$191:$I$211,6,0)),0%,VLOOKUP(A73,'Données projet'!$A$191:$I$211,6,0)*VLOOKUP('Données projet'!$B$15,Paramètres!$A$1:$I$89,7,0))</f>
        <v>0.1075</v>
      </c>
      <c r="EU73" s="16">
        <f>IF(ISNA(VLOOKUP(A73,'Données projet'!$A$191:$I$211,7,0)),0%,VLOOKUP(A73,'Données projet'!$A$191:$I$211,7,0))</f>
        <v>0.25</v>
      </c>
      <c r="EV73" s="21">
        <f>EXP(-LN(2)/35)*EV72+(1-EXP(-LN(2)/35))/(LN(2)/35)*ER73*ES73*VLOOKUP('Données projet'!$B$15,Paramètres!$A$1:$I$89,3,0)*0.475*44/12</f>
        <v>13.312757268890962</v>
      </c>
      <c r="EW73" s="21">
        <f>EXP(-LN(2)/25)*EW72+(1-EXP(-LN(2)/25))/(LN(2)/25)*Calculateur!ER73*Calculateur!ET73*VLOOKUP('Données projet'!$B$15,Paramètres!$A$1:$I$89,3,0)*0.475*44/12</f>
        <v>13.877814015737222</v>
      </c>
      <c r="EX73" s="21">
        <f>EXP(-LN(2)/2)*EX72+(1-EXP(-LN(2)/2))/(LN(2)/2)*ER73*EU73*VLOOKUP('Données projet'!$B$15,Paramètres!$A$1:$I$89,3,0)*0.475*44/12</f>
        <v>3.2657343993986849</v>
      </c>
      <c r="EY73" s="22">
        <f t="shared" si="75"/>
        <v>30.456305684026869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316</v>
      </c>
      <c r="FC73" s="12">
        <f>VLOOKUP(A73,'Données projet'!$A$217:$I$237,9,0)</f>
        <v>4.5999999999999996</v>
      </c>
      <c r="FD73" s="12">
        <f t="array" ref="FD73">INDEX(FC:FC,MIN(IF(ISNUMBER(FC73:FC269),ROW(FC73:FC269),"")))</f>
        <v>4.5999999999999996</v>
      </c>
      <c r="FE73" s="12">
        <f>IF('Données projet'!$A$218&gt;35,FE72+FD73-FM72,IF(A73&lt;'Données projet'!$A$218,$FB$205^A73,IF(A73='Données projet'!$A$218,'Données projet'!$B$218,FE72+FD73-FM72)))</f>
        <v>315.99999999999994</v>
      </c>
      <c r="FF73" s="17">
        <f>FE73*VLOOKUP('Données projet'!$B$16,Paramètres!$A$1:$I$89,3,0)*VLOOKUP('Données projet'!$B$16,Paramètres!$A$1:$I$89,5,0)</f>
        <v>256.33919999999995</v>
      </c>
      <c r="FG73" s="13">
        <f t="shared" si="101"/>
        <v>61.941400506884484</v>
      </c>
      <c r="FH73" s="20">
        <f t="shared" si="76"/>
        <v>554.33871254949031</v>
      </c>
      <c r="FI73" s="59">
        <f t="shared" si="77"/>
        <v>847.67204588282357</v>
      </c>
      <c r="FJ73" s="59">
        <f ca="1">AVERAGE(OFFSET($FI$3,0,0,'Données projet'!$E$16+1,1))-AVERAGE(OFFSET($H$3,0,0,'Données projet'!$E$16+1,1))</f>
        <v>359.57284550600366</v>
      </c>
      <c r="FK73" s="59">
        <f t="shared" si="102"/>
        <v>351.38386928091433</v>
      </c>
      <c r="FL73" s="15">
        <f>IF(ISNA(VLOOKUP(A73,'Données projet'!$A$217:$I$237,3,0)),0,VLOOKUP(A73,'Données projet'!$A$217:$I$237,3,0))</f>
        <v>12</v>
      </c>
      <c r="FM73" s="15">
        <f>IF(ISNA(VLOOKUP(A73,'Données projet'!$A$217:$I$237,4,0)),0,VLOOKUP(A73,'Données projet'!$A$217:$I$237,4,0))</f>
        <v>13</v>
      </c>
      <c r="FN73" s="16">
        <f>IF(ISNA(VLOOKUP(A73,'Données projet'!$A$217:$I$237,5,0)),0%,VLOOKUP(A73,'Données projet'!$A$217:$I$237,5,0)*VLOOKUP('Données projet'!$B$16,Paramètres!$A$1:$I$89,7,0))</f>
        <v>0.1075</v>
      </c>
      <c r="FO73" s="16">
        <f>IF(ISNA(VLOOKUP(A73,'Données projet'!$A$217:$I$237,6,0)),0%,VLOOKUP(A73,'Données projet'!$A$217:$I$237,6,0)*VLOOKUP('Données projet'!$B$16,Paramètres!$A$1:$I$89,7,0))</f>
        <v>0.1075</v>
      </c>
      <c r="FP73" s="16">
        <f>IF(ISNA(VLOOKUP(A73,'Données projet'!$A$217:$I$237,7,0)),0%,VLOOKUP(A73,'Données projet'!$A$217:$I$237,7,0))</f>
        <v>0.25</v>
      </c>
      <c r="FQ73" s="21">
        <f>EXP(-LN(2)/35)*FQ72+(1-EXP(-LN(2)/35))/(LN(2)/35)*FM73*FN73*VLOOKUP('Données projet'!$B$16,Paramètres!$A$1:$I$89,3,0)*0.475*44/12</f>
        <v>12.361846035398758</v>
      </c>
      <c r="FR73" s="21">
        <f>EXP(-LN(2)/25)*FR72+(1-EXP(-LN(2)/25))/(LN(2)/25)*Calculateur!FM73*Calculateur!FO73*VLOOKUP('Données projet'!$B$16,Paramètres!$A$1:$I$89,3,0)*0.475*44/12</f>
        <v>12.886541586041703</v>
      </c>
      <c r="FS73" s="21">
        <f>EXP(-LN(2)/2)*FS72+(1-EXP(-LN(2)/2))/(LN(2)/2)*FM73*FP73*VLOOKUP('Données projet'!$B$16,Paramètres!$A$1:$I$89,3,0)*0.475*44/12</f>
        <v>3.0324676565844926</v>
      </c>
      <c r="FT73" s="22">
        <f t="shared" si="78"/>
        <v>28.280855278024955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6">
        <f t="shared" si="56"/>
        <v>256.66666666666669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12.795000000000002</v>
      </c>
      <c r="N74" s="13">
        <f>IF('Données projet'!$A$36&gt;35,N73+M74-V73,IF(A74&lt;'Données projet'!$A$36,$K$205^A74,IF(A74='Données projet'!$A$36,'Données projet'!$B$36,N73+M74-V73)))</f>
        <v>376.41500000000008</v>
      </c>
      <c r="O74" s="13">
        <f>N74*VLOOKUP('Données projet'!$B$9,Paramètres!$A$1:$I$89,3,0)*VLOOKUP('Données projet'!$B$9,Paramètres!$A$1:$I$89,5,0)</f>
        <v>340.58029200000004</v>
      </c>
      <c r="P74" s="13">
        <f t="shared" si="87"/>
        <v>79.619826521430525</v>
      </c>
      <c r="Q74" s="20">
        <f t="shared" si="54"/>
        <v>731.84853975815815</v>
      </c>
      <c r="R74" s="59">
        <f t="shared" si="55"/>
        <v>1025.1818730914915</v>
      </c>
      <c r="S74" s="59">
        <f ca="1">AVERAGE(OFFSET($R$3,0,0,'Données projet'!$E$9+1,1))-AVERAGE(OFFSET($H$3,0,0,'Données projet'!$E$9+1,1))</f>
        <v>695.0879239758051</v>
      </c>
      <c r="T74" s="59">
        <f t="shared" si="88"/>
        <v>226.22150997227476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18.086682035472464</v>
      </c>
      <c r="AA74" s="21">
        <f>EXP(-LN(2)/25)*AA73+(1-EXP(-LN(2)/25))/(LN(2)/25)*Calculateur!V74*Calculateur!X74*VLOOKUP('Données projet'!$B$9,Paramètres!$A$1:$I$89,3,0)*0.475*44/12</f>
        <v>36.597081110760925</v>
      </c>
      <c r="AB74" s="21">
        <f>EXP(-LN(2)/2)*AB73+(1-EXP(-LN(2)/2))/(LN(2)/2)*V74*Y74*VLOOKUP('Données projet'!$B$9,Paramètres!$A$1:$I$89,3,0)*0.475*44/12</f>
        <v>1.2250633923266014</v>
      </c>
      <c r="AC74" s="22">
        <f t="shared" si="57"/>
        <v>55.908826538559993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1.1368683772161603E-13</v>
      </c>
      <c r="AJ74" s="13">
        <f>AI74*VLOOKUP('Données projet'!$B$10,Paramètres!$A$1:$I$89,3,0)*VLOOKUP('Données projet'!$B$10,Paramètres!$A$1:$I$89,5,0)</f>
        <v>6.7984728957526396E-14</v>
      </c>
      <c r="AK74" s="13">
        <f t="shared" si="89"/>
        <v>1.0682447123141398E-12</v>
      </c>
      <c r="AL74" s="20">
        <f t="shared" si="58"/>
        <v>1.978932943548152E-12</v>
      </c>
      <c r="AM74" s="59">
        <f t="shared" si="59"/>
        <v>293.3333333333353</v>
      </c>
      <c r="AN74" s="59">
        <f ca="1">AVERAGE(OFFSET($AM$3,0,0,'Données projet'!$E$10+1,1))-AVERAGE(OFFSET($H$3,0,0,'Données projet'!$E$10+1,1))</f>
        <v>388.12151914648013</v>
      </c>
      <c r="AO74" s="59">
        <f t="shared" si="90"/>
        <v>481.43684454382793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132.2689785631016</v>
      </c>
      <c r="AV74" s="21">
        <f>EXP(-LN(2)/25)*AV73+(1-EXP(-LN(2)/25))/(LN(2)/25)*Calculateur!AQ74*Calculateur!AS74*VLOOKUP('Données projet'!$B$10,Paramètres!$A$1:$I$89,3,0)*0.475*44/12</f>
        <v>40.686361213057907</v>
      </c>
      <c r="AW74" s="21">
        <f>EXP(-LN(2)/2)*AW73+(1-EXP(-LN(2)/2))/(LN(2)/2)*AQ74*AT74*VLOOKUP('Données projet'!$B$10,Paramètres!$A$1:$I$89,3,0)*0.475*44/12</f>
        <v>0.42705002546786919</v>
      </c>
      <c r="AX74" s="21">
        <f t="shared" si="60"/>
        <v>173.3823898016274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4.2</v>
      </c>
      <c r="BD74" s="12">
        <f>IF('Données projet'!$A$88&gt;35,BD73+BC74-BL73,IF(A74&lt;'Données projet'!$A$88,$BA$205^A74,IF(A74='Données projet'!$A$88,'Données projet'!$B$88,BD73+BC74-BL73)))</f>
        <v>307.19999999999993</v>
      </c>
      <c r="BE74" s="13">
        <f>BD74*VLOOKUP('Données projet'!$B$11,Paramètres!$A$1:$I$89,3,0)*VLOOKUP('Données projet'!$B$11,Paramètres!$A$1:$I$89,5,0)</f>
        <v>292.33151999999995</v>
      </c>
      <c r="BF74" s="13">
        <f t="shared" si="91"/>
        <v>69.566440841202208</v>
      </c>
      <c r="BG74" s="20">
        <f t="shared" si="61"/>
        <v>630.30561513176042</v>
      </c>
      <c r="BH74" s="59">
        <f t="shared" si="62"/>
        <v>923.63894846509379</v>
      </c>
      <c r="BI74" s="59">
        <f ca="1">AVERAGE(OFFSET($BH$3,0,0,'Données projet'!$E$11+1,1))-AVERAGE(OFFSET($H$3,0,0,'Données projet'!$E$11+1,1))</f>
        <v>415.24818074059294</v>
      </c>
      <c r="BJ74" s="59">
        <f t="shared" si="92"/>
        <v>404.45811532046872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14.217032774080682</v>
      </c>
      <c r="BQ74" s="21">
        <f>EXP(-LN(2)/25)*BQ73+(1-EXP(-LN(2)/25))/(LN(2)/25)*Calculateur!BL74*Calculateur!BN74*VLOOKUP('Données projet'!$B$11,Paramètres!$A$1:$I$89,3,0)*0.475*44/12</f>
        <v>14.703532002895288</v>
      </c>
      <c r="BR74" s="21">
        <f>EXP(-LN(2)/2)*BR73+(1-EXP(-LN(2)/2))/(LN(2)/2)*BL74*BO74*VLOOKUP('Données projet'!$B$11,Paramètres!$A$1:$I$89,3,0)*0.475*44/12</f>
        <v>2.5154035589555042</v>
      </c>
      <c r="BS74" s="22">
        <f t="shared" si="63"/>
        <v>31.435968335931477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4.2</v>
      </c>
      <c r="BY74" s="12">
        <f>IF('Données projet'!$A$114&gt;35,BY73+BX74-CG73,IF(A74&lt;'Données projet'!$A$114,$BV$205^A74,IF(A74='Données projet'!$A$114,'Données projet'!$B$114,BY73+BX74-CG73)))</f>
        <v>307.19999999999993</v>
      </c>
      <c r="BZ74" s="13">
        <f>BY74*VLOOKUP('Données projet'!$B$12,Paramètres!$A$1:$I$89,3,0)*VLOOKUP('Données projet'!$B$12,Paramètres!$A$1:$I$89,5,0)</f>
        <v>268.36991999999998</v>
      </c>
      <c r="CA74" s="13">
        <f t="shared" si="93"/>
        <v>64.503203342054107</v>
      </c>
      <c r="CB74" s="20">
        <f t="shared" si="64"/>
        <v>579.75402315407757</v>
      </c>
      <c r="CC74" s="59">
        <f t="shared" si="65"/>
        <v>873.08735648741094</v>
      </c>
      <c r="CD74" s="59">
        <f ca="1">AVERAGE(OFFSET($CC$3,0,0,'Données projet'!$E$12+1,1))-AVERAGE(OFFSET($H$3,0,0,'Données projet'!$E$12+1,1))</f>
        <v>384.34044781465661</v>
      </c>
      <c r="CE74" s="59">
        <f t="shared" si="94"/>
        <v>374.99493809709708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16.086981804602168</v>
      </c>
      <c r="CL74" s="21">
        <f>EXP(-LN(2)/25)*CL73+(1-EXP(-LN(2)/25))/(LN(2)/25)*Calculateur!CG74*Calculateur!CI74*VLOOKUP('Données projet'!$B$12,Paramètres!$A$1:$I$89,3,0)*0.475*44/12</f>
        <v>16.637469685319566</v>
      </c>
      <c r="CM74" s="21">
        <f>EXP(-LN(2)/2)*CM73+(1-EXP(-LN(2)/2))/(LN(2)/2)*CG74*CJ74*VLOOKUP('Données projet'!$B$12,Paramètres!$A$1:$I$89,3,0)*0.475*44/12</f>
        <v>2.3092229393689871</v>
      </c>
      <c r="CN74" s="22">
        <f t="shared" si="66"/>
        <v>35.03367442929072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5.6843418860808015E-13</v>
      </c>
      <c r="CU74" s="17">
        <f>CT74*VLOOKUP('Données projet'!$B$13,Paramètres!$A$1:$I$89,3,0)*VLOOKUP('Données projet'!$B$13,Paramètres!$A$1:$I$89,5,0)</f>
        <v>3.177547114319168E-13</v>
      </c>
      <c r="CV74" s="13">
        <f t="shared" si="95"/>
        <v>4.1725404435445377E-12</v>
      </c>
      <c r="CW74" s="20">
        <f t="shared" si="67"/>
        <v>7.820597394917325E-12</v>
      </c>
      <c r="CX74" s="59">
        <f t="shared" si="68"/>
        <v>293.33333333334116</v>
      </c>
      <c r="CY74" s="59">
        <f ca="1">AVERAGE(OFFSET($CX$3,0,0,'Données projet'!$E$13+1,1))-AVERAGE(OFFSET($H$3,0,0,'Données projet'!$E$13+1,1))</f>
        <v>386.66324266750968</v>
      </c>
      <c r="CZ74" s="59">
        <f t="shared" si="96"/>
        <v>356.22149461585769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226.22387612634267</v>
      </c>
      <c r="DG74" s="21">
        <f>EXP(-LN(2)/25)*DG73+(1-EXP(-LN(2)/25))/(LN(2)/25)*Calculateur!DB74*Calculateur!DD74*VLOOKUP('Données projet'!$B$13,Paramètres!$A$1:$I$89,3,0)*0.475*44/12</f>
        <v>74.658411587611297</v>
      </c>
      <c r="DH74" s="21">
        <f>EXP(-LN(2)/2)*DH73+(1-EXP(-LN(2)/2))/(LN(2)/2)*DB74*DE74*VLOOKUP('Données projet'!$B$13,Paramètres!$A$1:$I$89,3,0)*0.475*44/12</f>
        <v>53.390468265711704</v>
      </c>
      <c r="DI74" s="22">
        <f t="shared" si="69"/>
        <v>354.2727559796657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4.2</v>
      </c>
      <c r="DO74" s="12">
        <f>IF('Données projet'!$A$166&gt;35,DO73+DN74-DW73,IF(A74&lt;'Données projet'!$A$166,$DL$205^A74,IF(A74='Données projet'!$A$166,'Données projet'!$B$166,DO73+DN74-DW73)))</f>
        <v>307.19999999999993</v>
      </c>
      <c r="DP74" s="17">
        <f>DO74*VLOOKUP('Données projet'!$B$14,Paramètres!$A$1:$I$89,3,0)*VLOOKUP('Données projet'!$B$14,Paramètres!$A$1:$I$89,5,0)</f>
        <v>239.61599999999996</v>
      </c>
      <c r="DQ74" s="13">
        <f t="shared" si="97"/>
        <v>58.356903313490157</v>
      </c>
      <c r="DR74" s="20">
        <f t="shared" si="70"/>
        <v>518.96947327099531</v>
      </c>
      <c r="DS74" s="59">
        <f t="shared" si="71"/>
        <v>812.30280660432868</v>
      </c>
      <c r="DT74" s="59">
        <f ca="1">AVERAGE(OFFSET($DS$3,0,0,'Données projet'!$E$14+1,1))-AVERAGE(OFFSET($H$3,0,0,'Données projet'!$E$14+1,1))</f>
        <v>347.17417070871716</v>
      </c>
      <c r="DU74" s="59">
        <f t="shared" si="98"/>
        <v>339.56378046986441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11.653305552525149</v>
      </c>
      <c r="EB74" s="21">
        <f>EXP(-LN(2)/25)*EB73+(1-EXP(-LN(2)/25))/(LN(2)/25)*Calculateur!DW74*Calculateur!DY74*VLOOKUP('Données projet'!$B$14,Paramètres!$A$1:$I$89,3,0)*0.475*44/12</f>
        <v>12.052075412209252</v>
      </c>
      <c r="EC74" s="21">
        <f>EXP(-LN(2)/2)*EC73+(1-EXP(-LN(2)/2))/(LN(2)/2)*DW74*DZ74*VLOOKUP('Données projet'!$B$14,Paramètres!$A$1:$I$89,3,0)*0.475*44/12</f>
        <v>2.0618061958651674</v>
      </c>
      <c r="ED74" s="22">
        <f t="shared" si="72"/>
        <v>25.767187160599569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4.2</v>
      </c>
      <c r="EJ74" s="12">
        <f>IF('Données projet'!$A$192&gt;35,EJ73+EI74-ER73,IF(A74&lt;'Données projet'!$A$192,$EG$205^A74,IF(A74='Données projet'!$A$192,'Données projet'!$B$192,EJ73+EI74-ER73)))</f>
        <v>307.19999999999993</v>
      </c>
      <c r="EK74" s="17">
        <f>EJ74*VLOOKUP('Données projet'!$B$15,Paramètres!$A$1:$I$89,3,0)*VLOOKUP('Données projet'!$B$15,Paramètres!$A$1:$I$89,5,0)</f>
        <v>268.36991999999998</v>
      </c>
      <c r="EL74" s="13">
        <f t="shared" si="99"/>
        <v>64.503203342054107</v>
      </c>
      <c r="EM74" s="20">
        <f t="shared" si="73"/>
        <v>579.75402315407757</v>
      </c>
      <c r="EN74" s="59">
        <f t="shared" si="74"/>
        <v>873.08735648741094</v>
      </c>
      <c r="EO74" s="59">
        <f ca="1">AVERAGE(OFFSET($EN$3,0,0,'Données projet'!$E$15+1,1))-AVERAGE(OFFSET($H$3,0,0,'Données projet'!$E$15+1,1))</f>
        <v>384.34044781465661</v>
      </c>
      <c r="EP74" s="59">
        <f t="shared" si="100"/>
        <v>374.99493809709708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13.051702218828163</v>
      </c>
      <c r="EW74" s="21">
        <f>EXP(-LN(2)/25)*EW73+(1-EXP(-LN(2)/25))/(LN(2)/25)*Calculateur!ER74*Calculateur!ET74*VLOOKUP('Données projet'!$B$15,Paramètres!$A$1:$I$89,3,0)*0.475*44/12</f>
        <v>13.498324461674367</v>
      </c>
      <c r="EX74" s="21">
        <f>EXP(-LN(2)/2)*EX73+(1-EXP(-LN(2)/2))/(LN(2)/2)*ER74*EU74*VLOOKUP('Données projet'!$B$15,Paramètres!$A$1:$I$89,3,0)*0.475*44/12</f>
        <v>2.3092229393689871</v>
      </c>
      <c r="EY74" s="22">
        <f t="shared" si="75"/>
        <v>28.859249619871516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4.2</v>
      </c>
      <c r="FE74" s="12">
        <f>IF('Données projet'!$A$218&gt;35,FE73+FD74-FM73,IF(A74&lt;'Données projet'!$A$218,$FB$205^A74,IF(A74='Données projet'!$A$218,'Données projet'!$B$218,FE73+FD74-FM73)))</f>
        <v>307.19999999999993</v>
      </c>
      <c r="FF74" s="17">
        <f>FE74*VLOOKUP('Données projet'!$B$16,Paramètres!$A$1:$I$89,3,0)*VLOOKUP('Données projet'!$B$16,Paramètres!$A$1:$I$89,5,0)</f>
        <v>249.20063999999996</v>
      </c>
      <c r="FG74" s="13">
        <f t="shared" si="101"/>
        <v>60.414738047899995</v>
      </c>
      <c r="FH74" s="20">
        <f t="shared" si="76"/>
        <v>539.24678343342578</v>
      </c>
      <c r="FI74" s="59">
        <f t="shared" si="77"/>
        <v>832.58011676675915</v>
      </c>
      <c r="FJ74" s="59">
        <f ca="1">AVERAGE(OFFSET($FI$3,0,0,'Données projet'!$E$16+1,1))-AVERAGE(OFFSET($H$3,0,0,'Données projet'!$E$16+1,1))</f>
        <v>359.57284550600366</v>
      </c>
      <c r="FK74" s="59">
        <f t="shared" si="102"/>
        <v>351.38386928091433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12.119437774626158</v>
      </c>
      <c r="FR74" s="21">
        <f>EXP(-LN(2)/25)*FR73+(1-EXP(-LN(2)/25))/(LN(2)/25)*Calculateur!FM74*Calculateur!FO74*VLOOKUP('Données projet'!$B$16,Paramètres!$A$1:$I$89,3,0)*0.475*44/12</f>
        <v>12.534158428697623</v>
      </c>
      <c r="FS74" s="21">
        <f>EXP(-LN(2)/2)*FS73+(1-EXP(-LN(2)/2))/(LN(2)/2)*FM74*FP74*VLOOKUP('Données projet'!$B$16,Paramètres!$A$1:$I$89,3,0)*0.475*44/12</f>
        <v>2.1442784436997733</v>
      </c>
      <c r="FT74" s="22">
        <f t="shared" si="78"/>
        <v>26.797874647023551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6">
        <f t="shared" si="56"/>
        <v>256.66666666666669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12.795000000000002</v>
      </c>
      <c r="N75" s="13">
        <f>IF('Données projet'!$A$36&gt;35,N74+M75-V74,IF(A75&lt;'Données projet'!$A$36,$K$205^A75,IF(A75='Données projet'!$A$36,'Données projet'!$B$36,N74+M75-V74)))</f>
        <v>389.21000000000009</v>
      </c>
      <c r="O75" s="13">
        <f>N75*VLOOKUP('Données projet'!$B$9,Paramètres!$A$1:$I$89,3,0)*VLOOKUP('Données projet'!$B$9,Paramètres!$A$1:$I$89,5,0)</f>
        <v>352.15720800000008</v>
      </c>
      <c r="P75" s="13">
        <f t="shared" si="87"/>
        <v>82.006543796021603</v>
      </c>
      <c r="Q75" s="20">
        <f t="shared" si="54"/>
        <v>756.16853437807106</v>
      </c>
      <c r="R75" s="59">
        <f t="shared" si="55"/>
        <v>1049.5018677114044</v>
      </c>
      <c r="S75" s="59">
        <f ca="1">AVERAGE(OFFSET($R$3,0,0,'Données projet'!$E$9+1,1))-AVERAGE(OFFSET($H$3,0,0,'Données projet'!$E$9+1,1))</f>
        <v>695.0879239758051</v>
      </c>
      <c r="T75" s="59">
        <f t="shared" si="88"/>
        <v>226.22150997227476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17.732013232543594</v>
      </c>
      <c r="AA75" s="21">
        <f>EXP(-LN(2)/25)*AA74+(1-EXP(-LN(2)/25))/(LN(2)/25)*Calculateur!V75*Calculateur!X75*VLOOKUP('Données projet'!$B$9,Paramètres!$A$1:$I$89,3,0)*0.475*44/12</f>
        <v>35.596332003230316</v>
      </c>
      <c r="AB75" s="21">
        <f>EXP(-LN(2)/2)*AB74+(1-EXP(-LN(2)/2))/(LN(2)/2)*V75*Y75*VLOOKUP('Données projet'!$B$9,Paramètres!$A$1:$I$89,3,0)*0.475*44/12</f>
        <v>0.86625063209753583</v>
      </c>
      <c r="AC75" s="22">
        <f t="shared" si="57"/>
        <v>54.194595867871442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1.1368683772161603E-13</v>
      </c>
      <c r="AJ75" s="13">
        <f>AI75*VLOOKUP('Données projet'!$B$10,Paramètres!$A$1:$I$89,3,0)*VLOOKUP('Données projet'!$B$10,Paramètres!$A$1:$I$89,5,0)</f>
        <v>6.7984728957526396E-14</v>
      </c>
      <c r="AK75" s="13">
        <f t="shared" si="89"/>
        <v>1.0682447123141398E-12</v>
      </c>
      <c r="AL75" s="20">
        <f t="shared" si="58"/>
        <v>1.978932943548152E-12</v>
      </c>
      <c r="AM75" s="59">
        <f t="shared" si="59"/>
        <v>293.3333333333353</v>
      </c>
      <c r="AN75" s="59">
        <f ca="1">AVERAGE(OFFSET($AM$3,0,0,'Données projet'!$E$10+1,1))-AVERAGE(OFFSET($H$3,0,0,'Données projet'!$E$10+1,1))</f>
        <v>388.12151914648013</v>
      </c>
      <c r="AO75" s="59">
        <f t="shared" si="90"/>
        <v>481.43684454382793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129.67526456958998</v>
      </c>
      <c r="AV75" s="21">
        <f>EXP(-LN(2)/25)*AV74+(1-EXP(-LN(2)/25))/(LN(2)/25)*Calculateur!AQ75*Calculateur!AS75*VLOOKUP('Données projet'!$B$10,Paramètres!$A$1:$I$89,3,0)*0.475*44/12</f>
        <v>39.573790526084089</v>
      </c>
      <c r="AW75" s="21">
        <f>EXP(-LN(2)/2)*AW74+(1-EXP(-LN(2)/2))/(LN(2)/2)*AQ75*AT75*VLOOKUP('Données projet'!$B$10,Paramètres!$A$1:$I$89,3,0)*0.475*44/12</f>
        <v>0.30196996891421812</v>
      </c>
      <c r="AX75" s="21">
        <f t="shared" si="60"/>
        <v>169.55102506458829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4.2</v>
      </c>
      <c r="BD75" s="12">
        <f>IF('Données projet'!$A$88&gt;35,BD74+BC75-BL74,IF(A75&lt;'Données projet'!$A$88,$BA$205^A75,IF(A75='Données projet'!$A$88,'Données projet'!$B$88,BD74+BC75-BL74)))</f>
        <v>311.39999999999992</v>
      </c>
      <c r="BE75" s="13">
        <f>BD75*VLOOKUP('Données projet'!$B$11,Paramètres!$A$1:$I$89,3,0)*VLOOKUP('Données projet'!$B$11,Paramètres!$A$1:$I$89,5,0)</f>
        <v>296.32823999999994</v>
      </c>
      <c r="BF75" s="13">
        <f t="shared" si="91"/>
        <v>70.406170728542762</v>
      </c>
      <c r="BG75" s="20">
        <f t="shared" si="61"/>
        <v>638.72909868554518</v>
      </c>
      <c r="BH75" s="59">
        <f t="shared" si="62"/>
        <v>932.06243201887855</v>
      </c>
      <c r="BI75" s="59">
        <f ca="1">AVERAGE(OFFSET($BH$3,0,0,'Données projet'!$E$11+1,1))-AVERAGE(OFFSET($H$3,0,0,'Données projet'!$E$11+1,1))</f>
        <v>415.24818074059294</v>
      </c>
      <c r="BJ75" s="59">
        <f t="shared" si="92"/>
        <v>404.45811532046872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13.938245432914709</v>
      </c>
      <c r="BQ75" s="21">
        <f>EXP(-LN(2)/25)*BQ74+(1-EXP(-LN(2)/25))/(LN(2)/25)*Calculateur!BL75*Calculateur!BN75*VLOOKUP('Données projet'!$B$11,Paramètres!$A$1:$I$89,3,0)*0.475*44/12</f>
        <v>14.301463147050974</v>
      </c>
      <c r="BR75" s="21">
        <f>EXP(-LN(2)/2)*BR74+(1-EXP(-LN(2)/2))/(LN(2)/2)*BL75*BO75*VLOOKUP('Données projet'!$B$11,Paramètres!$A$1:$I$89,3,0)*0.475*44/12</f>
        <v>1.7786589139582127</v>
      </c>
      <c r="BS75" s="22">
        <f t="shared" si="63"/>
        <v>30.018367493923897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4.2</v>
      </c>
      <c r="BY75" s="12">
        <f>IF('Données projet'!$A$114&gt;35,BY74+BX75-CG74,IF(A75&lt;'Données projet'!$A$114,$BV$205^A75,IF(A75='Données projet'!$A$114,'Données projet'!$B$114,BY74+BX75-CG74)))</f>
        <v>311.39999999999992</v>
      </c>
      <c r="BZ75" s="13">
        <f>BY75*VLOOKUP('Données projet'!$B$12,Paramètres!$A$1:$I$89,3,0)*VLOOKUP('Données projet'!$B$12,Paramètres!$A$1:$I$89,5,0)</f>
        <v>272.03904</v>
      </c>
      <c r="CA75" s="13">
        <f t="shared" si="93"/>
        <v>65.281815371368268</v>
      </c>
      <c r="CB75" s="20">
        <f t="shared" si="64"/>
        <v>587.50048977179972</v>
      </c>
      <c r="CC75" s="59">
        <f t="shared" si="65"/>
        <v>880.83382310513298</v>
      </c>
      <c r="CD75" s="59">
        <f ca="1">AVERAGE(OFFSET($CC$3,0,0,'Données projet'!$E$12+1,1))-AVERAGE(OFFSET($H$3,0,0,'Données projet'!$E$12+1,1))</f>
        <v>384.34044781465661</v>
      </c>
      <c r="CE75" s="59">
        <f t="shared" si="94"/>
        <v>374.99493809709708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15.771525903503957</v>
      </c>
      <c r="CL75" s="21">
        <f>EXP(-LN(2)/25)*CL74+(1-EXP(-LN(2)/25))/(LN(2)/25)*Calculateur!CG75*Calculateur!CI75*VLOOKUP('Données projet'!$B$12,Paramètres!$A$1:$I$89,3,0)*0.475*44/12</f>
        <v>16.182517201847997</v>
      </c>
      <c r="CM75" s="21">
        <f>EXP(-LN(2)/2)*CM74+(1-EXP(-LN(2)/2))/(LN(2)/2)*CG75*CJ75*VLOOKUP('Données projet'!$B$12,Paramètres!$A$1:$I$89,3,0)*0.475*44/12</f>
        <v>1.6328671996993427</v>
      </c>
      <c r="CN75" s="22">
        <f t="shared" si="66"/>
        <v>33.586910305051298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5.6843418860808015E-13</v>
      </c>
      <c r="CU75" s="17">
        <f>CT75*VLOOKUP('Données projet'!$B$13,Paramètres!$A$1:$I$89,3,0)*VLOOKUP('Données projet'!$B$13,Paramètres!$A$1:$I$89,5,0)</f>
        <v>3.177547114319168E-13</v>
      </c>
      <c r="CV75" s="13">
        <f t="shared" si="95"/>
        <v>4.1725404435445377E-12</v>
      </c>
      <c r="CW75" s="20">
        <f t="shared" si="67"/>
        <v>7.820597394917325E-12</v>
      </c>
      <c r="CX75" s="59">
        <f t="shared" si="68"/>
        <v>293.33333333334116</v>
      </c>
      <c r="CY75" s="59">
        <f ca="1">AVERAGE(OFFSET($CX$3,0,0,'Données projet'!$E$13+1,1))-AVERAGE(OFFSET($H$3,0,0,'Données projet'!$E$13+1,1))</f>
        <v>386.66324266750968</v>
      </c>
      <c r="CZ75" s="59">
        <f t="shared" si="96"/>
        <v>356.22149461585769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221.78776389844484</v>
      </c>
      <c r="DG75" s="21">
        <f>EXP(-LN(2)/25)*DG74+(1-EXP(-LN(2)/25))/(LN(2)/25)*Calculateur!DB75*Calculateur!DD75*VLOOKUP('Données projet'!$B$13,Paramètres!$A$1:$I$89,3,0)*0.475*44/12</f>
        <v>72.61687339663284</v>
      </c>
      <c r="DH75" s="21">
        <f>EXP(-LN(2)/2)*DH74+(1-EXP(-LN(2)/2))/(LN(2)/2)*DB75*DE75*VLOOKUP('Données projet'!$B$13,Paramètres!$A$1:$I$89,3,0)*0.475*44/12</f>
        <v>37.752762161409919</v>
      </c>
      <c r="DI75" s="22">
        <f t="shared" si="69"/>
        <v>332.15739945648761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4.2</v>
      </c>
      <c r="DO75" s="12">
        <f>IF('Données projet'!$A$166&gt;35,DO74+DN75-DW74,IF(A75&lt;'Données projet'!$A$166,$DL$205^A75,IF(A75='Données projet'!$A$166,'Données projet'!$B$166,DO74+DN75-DW74)))</f>
        <v>311.39999999999992</v>
      </c>
      <c r="DP75" s="17">
        <f>DO75*VLOOKUP('Données projet'!$B$14,Paramètres!$A$1:$I$89,3,0)*VLOOKUP('Données projet'!$B$14,Paramètres!$A$1:$I$89,5,0)</f>
        <v>242.89199999999994</v>
      </c>
      <c r="DQ75" s="13">
        <f t="shared" si="97"/>
        <v>59.061323940051196</v>
      </c>
      <c r="DR75" s="20">
        <f t="shared" si="70"/>
        <v>525.90203919558905</v>
      </c>
      <c r="DS75" s="59">
        <f t="shared" si="71"/>
        <v>819.23537252892243</v>
      </c>
      <c r="DT75" s="59">
        <f ca="1">AVERAGE(OFFSET($DS$3,0,0,'Données projet'!$E$14+1,1))-AVERAGE(OFFSET($H$3,0,0,'Données projet'!$E$14+1,1))</f>
        <v>347.17417070871716</v>
      </c>
      <c r="DU75" s="59">
        <f t="shared" si="98"/>
        <v>339.56378046986441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11.424791338454678</v>
      </c>
      <c r="EB75" s="21">
        <f>EXP(-LN(2)/25)*EB74+(1-EXP(-LN(2)/25))/(LN(2)/25)*Calculateur!DW75*Calculateur!DY75*VLOOKUP('Données projet'!$B$14,Paramètres!$A$1:$I$89,3,0)*0.475*44/12</f>
        <v>11.722510776271289</v>
      </c>
      <c r="EC75" s="21">
        <f>EXP(-LN(2)/2)*EC74+(1-EXP(-LN(2)/2))/(LN(2)/2)*DW75*DZ75*VLOOKUP('Données projet'!$B$14,Paramètres!$A$1:$I$89,3,0)*0.475*44/12</f>
        <v>1.457917142588699</v>
      </c>
      <c r="ED75" s="22">
        <f t="shared" si="72"/>
        <v>24.605219257314666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4.2</v>
      </c>
      <c r="EJ75" s="12">
        <f>IF('Données projet'!$A$192&gt;35,EJ74+EI75-ER74,IF(A75&lt;'Données projet'!$A$192,$EG$205^A75,IF(A75='Données projet'!$A$192,'Données projet'!$B$192,EJ74+EI75-ER74)))</f>
        <v>311.39999999999992</v>
      </c>
      <c r="EK75" s="17">
        <f>EJ75*VLOOKUP('Données projet'!$B$15,Paramètres!$A$1:$I$89,3,0)*VLOOKUP('Données projet'!$B$15,Paramètres!$A$1:$I$89,5,0)</f>
        <v>272.03904</v>
      </c>
      <c r="EL75" s="13">
        <f t="shared" si="99"/>
        <v>65.281815371368268</v>
      </c>
      <c r="EM75" s="20">
        <f t="shared" si="73"/>
        <v>587.50048977179972</v>
      </c>
      <c r="EN75" s="59">
        <f t="shared" si="74"/>
        <v>880.83382310513298</v>
      </c>
      <c r="EO75" s="59">
        <f ca="1">AVERAGE(OFFSET($EN$3,0,0,'Données projet'!$E$15+1,1))-AVERAGE(OFFSET($H$3,0,0,'Données projet'!$E$15+1,1))</f>
        <v>384.34044781465661</v>
      </c>
      <c r="EP75" s="59">
        <f t="shared" si="100"/>
        <v>374.99493809709708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12.795766299069237</v>
      </c>
      <c r="EW75" s="21">
        <f>EXP(-LN(2)/25)*EW74+(1-EXP(-LN(2)/25))/(LN(2)/25)*Calculateur!ER75*Calculateur!ET75*VLOOKUP('Données projet'!$B$15,Paramètres!$A$1:$I$89,3,0)*0.475*44/12</f>
        <v>13.129212069423849</v>
      </c>
      <c r="EX75" s="21">
        <f>EXP(-LN(2)/2)*EX74+(1-EXP(-LN(2)/2))/(LN(2)/2)*ER75*EU75*VLOOKUP('Données projet'!$B$15,Paramètres!$A$1:$I$89,3,0)*0.475*44/12</f>
        <v>1.6328671996993427</v>
      </c>
      <c r="EY75" s="22">
        <f t="shared" si="75"/>
        <v>27.55784556819243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4.2</v>
      </c>
      <c r="FE75" s="12">
        <f>IF('Données projet'!$A$218&gt;35,FE74+FD75-FM74,IF(A75&lt;'Données projet'!$A$218,$FB$205^A75,IF(A75='Données projet'!$A$218,'Données projet'!$B$218,FE74+FD75-FM74)))</f>
        <v>311.39999999999992</v>
      </c>
      <c r="FF75" s="17">
        <f>FE75*VLOOKUP('Données projet'!$B$16,Paramètres!$A$1:$I$89,3,0)*VLOOKUP('Données projet'!$B$16,Paramètres!$A$1:$I$89,5,0)</f>
        <v>252.60767999999996</v>
      </c>
      <c r="FG75" s="13">
        <f t="shared" si="101"/>
        <v>61.143998601713257</v>
      </c>
      <c r="FH75" s="20">
        <f t="shared" si="76"/>
        <v>546.4508402313171</v>
      </c>
      <c r="FI75" s="59">
        <f t="shared" si="77"/>
        <v>839.78417356465047</v>
      </c>
      <c r="FJ75" s="59">
        <f ca="1">AVERAGE(OFFSET($FI$3,0,0,'Données projet'!$E$16+1,1))-AVERAGE(OFFSET($H$3,0,0,'Données projet'!$E$16+1,1))</f>
        <v>359.57284550600366</v>
      </c>
      <c r="FK75" s="59">
        <f t="shared" si="102"/>
        <v>351.38386928091433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11.881782991992869</v>
      </c>
      <c r="FR75" s="21">
        <f>EXP(-LN(2)/25)*FR74+(1-EXP(-LN(2)/25))/(LN(2)/25)*Calculateur!FM75*Calculateur!FO75*VLOOKUP('Données projet'!$B$16,Paramètres!$A$1:$I$89,3,0)*0.475*44/12</f>
        <v>12.191411207322142</v>
      </c>
      <c r="FS75" s="21">
        <f>EXP(-LN(2)/2)*FS74+(1-EXP(-LN(2)/2))/(LN(2)/2)*FM75*FP75*VLOOKUP('Données projet'!$B$16,Paramètres!$A$1:$I$89,3,0)*0.475*44/12</f>
        <v>1.5162338282922463</v>
      </c>
      <c r="FT75" s="22">
        <f t="shared" si="78"/>
        <v>25.589428027607259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6">
        <f t="shared" si="56"/>
        <v>256.66666666666669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12.795000000000002</v>
      </c>
      <c r="N76" s="13">
        <f>IF('Données projet'!$A$36&gt;35,N75+M76-V75,IF(A76&lt;'Données projet'!$A$36,$K$205^A76,IF(A76='Données projet'!$A$36,'Données projet'!$B$36,N75+M76-V75)))</f>
        <v>402.00500000000011</v>
      </c>
      <c r="O76" s="13">
        <f>N76*VLOOKUP('Données projet'!$B$9,Paramètres!$A$1:$I$89,3,0)*VLOOKUP('Données projet'!$B$9,Paramètres!$A$1:$I$89,5,0)</f>
        <v>363.73412400000007</v>
      </c>
      <c r="P76" s="13">
        <f t="shared" si="87"/>
        <v>84.384143854645217</v>
      </c>
      <c r="Q76" s="20">
        <f t="shared" si="54"/>
        <v>780.47264984684045</v>
      </c>
      <c r="R76" s="59">
        <f t="shared" si="55"/>
        <v>1073.8059831801738</v>
      </c>
      <c r="S76" s="59">
        <f ca="1">AVERAGE(OFFSET($R$3,0,0,'Données projet'!$E$9+1,1))-AVERAGE(OFFSET($H$3,0,0,'Données projet'!$E$9+1,1))</f>
        <v>695.0879239758051</v>
      </c>
      <c r="T76" s="59">
        <f t="shared" si="88"/>
        <v>226.22150997227476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17.384299268513548</v>
      </c>
      <c r="AA76" s="21">
        <f>EXP(-LN(2)/25)*AA75+(1-EXP(-LN(2)/25))/(LN(2)/25)*Calculateur!V76*Calculateur!X76*VLOOKUP('Données projet'!$B$9,Paramètres!$A$1:$I$89,3,0)*0.475*44/12</f>
        <v>34.622948432672239</v>
      </c>
      <c r="AB76" s="21">
        <f>EXP(-LN(2)/2)*AB75+(1-EXP(-LN(2)/2))/(LN(2)/2)*V76*Y76*VLOOKUP('Données projet'!$B$9,Paramètres!$A$1:$I$89,3,0)*0.475*44/12</f>
        <v>0.61253169616330083</v>
      </c>
      <c r="AC76" s="22">
        <f t="shared" si="57"/>
        <v>52.619779397349092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1.1368683772161603E-13</v>
      </c>
      <c r="AJ76" s="13">
        <f>AI76*VLOOKUP('Données projet'!$B$10,Paramètres!$A$1:$I$89,3,0)*VLOOKUP('Données projet'!$B$10,Paramètres!$A$1:$I$89,5,0)</f>
        <v>6.7984728957526396E-14</v>
      </c>
      <c r="AK76" s="13">
        <f t="shared" si="89"/>
        <v>1.0682447123141398E-12</v>
      </c>
      <c r="AL76" s="20">
        <f t="shared" si="58"/>
        <v>1.978932943548152E-12</v>
      </c>
      <c r="AM76" s="59">
        <f t="shared" si="59"/>
        <v>293.3333333333353</v>
      </c>
      <c r="AN76" s="59">
        <f ca="1">AVERAGE(OFFSET($AM$3,0,0,'Données projet'!$E$10+1,1))-AVERAGE(OFFSET($H$3,0,0,'Données projet'!$E$10+1,1))</f>
        <v>388.12151914648013</v>
      </c>
      <c r="AO76" s="59">
        <f t="shared" si="90"/>
        <v>481.43684454382793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127.13241172548182</v>
      </c>
      <c r="AV76" s="21">
        <f>EXP(-LN(2)/25)*AV75+(1-EXP(-LN(2)/25))/(LN(2)/25)*Calculateur!AQ76*Calculateur!AS76*VLOOKUP('Données projet'!$B$10,Paramètres!$A$1:$I$89,3,0)*0.475*44/12</f>
        <v>38.491643143053125</v>
      </c>
      <c r="AW76" s="21">
        <f>EXP(-LN(2)/2)*AW75+(1-EXP(-LN(2)/2))/(LN(2)/2)*AQ76*AT76*VLOOKUP('Données projet'!$B$10,Paramètres!$A$1:$I$89,3,0)*0.475*44/12</f>
        <v>0.21352501273393459</v>
      </c>
      <c r="AX76" s="21">
        <f t="shared" si="60"/>
        <v>165.83757988126885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4.2</v>
      </c>
      <c r="BD76" s="12">
        <f>IF('Données projet'!$A$88&gt;35,BD75+BC76-BL75,IF(A76&lt;'Données projet'!$A$88,$BA$205^A76,IF(A76='Données projet'!$A$88,'Données projet'!$B$88,BD75+BC76-BL75)))</f>
        <v>315.59999999999991</v>
      </c>
      <c r="BE76" s="13">
        <f>BD76*VLOOKUP('Données projet'!$B$11,Paramètres!$A$1:$I$89,3,0)*VLOOKUP('Données projet'!$B$11,Paramètres!$A$1:$I$89,5,0)</f>
        <v>300.32495999999992</v>
      </c>
      <c r="BF76" s="13">
        <f t="shared" si="91"/>
        <v>71.244583280574048</v>
      </c>
      <c r="BG76" s="20">
        <f t="shared" si="61"/>
        <v>647.15028788033294</v>
      </c>
      <c r="BH76" s="59">
        <f t="shared" si="62"/>
        <v>940.48362121366631</v>
      </c>
      <c r="BI76" s="59">
        <f ca="1">AVERAGE(OFFSET($BH$3,0,0,'Données projet'!$E$11+1,1))-AVERAGE(OFFSET($H$3,0,0,'Données projet'!$E$11+1,1))</f>
        <v>415.24818074059294</v>
      </c>
      <c r="BJ76" s="59">
        <f t="shared" si="92"/>
        <v>404.45811532046872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13.664924941465513</v>
      </c>
      <c r="BQ76" s="21">
        <f>EXP(-LN(2)/25)*BQ75+(1-EXP(-LN(2)/25))/(LN(2)/25)*Calculateur!BL76*Calculateur!BN76*VLOOKUP('Données projet'!$B$11,Paramètres!$A$1:$I$89,3,0)*0.475*44/12</f>
        <v>13.910388885213605</v>
      </c>
      <c r="BR76" s="21">
        <f>EXP(-LN(2)/2)*BR75+(1-EXP(-LN(2)/2))/(LN(2)/2)*BL76*BO76*VLOOKUP('Données projet'!$B$11,Paramètres!$A$1:$I$89,3,0)*0.475*44/12</f>
        <v>1.2577017794777523</v>
      </c>
      <c r="BS76" s="22">
        <f t="shared" si="63"/>
        <v>28.83301560615687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4.2</v>
      </c>
      <c r="BY76" s="12">
        <f>IF('Données projet'!$A$114&gt;35,BY75+BX76-CG75,IF(A76&lt;'Données projet'!$A$114,$BV$205^A76,IF(A76='Données projet'!$A$114,'Données projet'!$B$114,BY75+BX76-CG75)))</f>
        <v>315.59999999999991</v>
      </c>
      <c r="BZ76" s="13">
        <f>BY76*VLOOKUP('Données projet'!$B$12,Paramètres!$A$1:$I$89,3,0)*VLOOKUP('Données projet'!$B$12,Paramètres!$A$1:$I$89,5,0)</f>
        <v>275.70815999999996</v>
      </c>
      <c r="CA76" s="13">
        <f t="shared" si="93"/>
        <v>66.05920594467139</v>
      </c>
      <c r="CB76" s="20">
        <f t="shared" si="64"/>
        <v>595.24482902030275</v>
      </c>
      <c r="CC76" s="59">
        <f t="shared" si="65"/>
        <v>888.57816235363612</v>
      </c>
      <c r="CD76" s="59">
        <f ca="1">AVERAGE(OFFSET($CC$3,0,0,'Données projet'!$E$12+1,1))-AVERAGE(OFFSET($H$3,0,0,'Données projet'!$E$12+1,1))</f>
        <v>384.34044781465661</v>
      </c>
      <c r="CE76" s="59">
        <f t="shared" si="94"/>
        <v>374.99493809709708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15.46225590021718</v>
      </c>
      <c r="CL76" s="21">
        <f>EXP(-LN(2)/25)*CL75+(1-EXP(-LN(2)/25))/(LN(2)/25)*Calculateur!CG76*Calculateur!CI76*VLOOKUP('Données projet'!$B$12,Paramètres!$A$1:$I$89,3,0)*0.475*44/12</f>
        <v>15.74000541796187</v>
      </c>
      <c r="CM76" s="21">
        <f>EXP(-LN(2)/2)*CM75+(1-EXP(-LN(2)/2))/(LN(2)/2)*CG76*CJ76*VLOOKUP('Données projet'!$B$12,Paramètres!$A$1:$I$89,3,0)*0.475*44/12</f>
        <v>1.1546114696844938</v>
      </c>
      <c r="CN76" s="22">
        <f t="shared" si="66"/>
        <v>32.356872787863544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5.6843418860808015E-13</v>
      </c>
      <c r="CU76" s="17">
        <f>CT76*VLOOKUP('Données projet'!$B$13,Paramètres!$A$1:$I$89,3,0)*VLOOKUP('Données projet'!$B$13,Paramètres!$A$1:$I$89,5,0)</f>
        <v>3.177547114319168E-13</v>
      </c>
      <c r="CV76" s="13">
        <f t="shared" si="95"/>
        <v>4.1725404435445377E-12</v>
      </c>
      <c r="CW76" s="20">
        <f t="shared" si="67"/>
        <v>7.820597394917325E-12</v>
      </c>
      <c r="CX76" s="59">
        <f t="shared" si="68"/>
        <v>293.33333333334116</v>
      </c>
      <c r="CY76" s="59">
        <f ca="1">AVERAGE(OFFSET($CX$3,0,0,'Données projet'!$E$13+1,1))-AVERAGE(OFFSET($H$3,0,0,'Données projet'!$E$13+1,1))</f>
        <v>386.66324266750968</v>
      </c>
      <c r="CZ76" s="59">
        <f t="shared" si="96"/>
        <v>356.22149461585769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217.4386411255748</v>
      </c>
      <c r="DG76" s="21">
        <f>EXP(-LN(2)/25)*DG75+(1-EXP(-LN(2)/25))/(LN(2)/25)*Calculateur!DB76*Calculateur!DD76*VLOOKUP('Données projet'!$B$13,Paramètres!$A$1:$I$89,3,0)*0.475*44/12</f>
        <v>70.631161174846511</v>
      </c>
      <c r="DH76" s="21">
        <f>EXP(-LN(2)/2)*DH75+(1-EXP(-LN(2)/2))/(LN(2)/2)*DB76*DE76*VLOOKUP('Données projet'!$B$13,Paramètres!$A$1:$I$89,3,0)*0.475*44/12</f>
        <v>26.695234132855855</v>
      </c>
      <c r="DI76" s="22">
        <f t="shared" si="69"/>
        <v>314.76503643327715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4.2</v>
      </c>
      <c r="DO76" s="12">
        <f>IF('Données projet'!$A$166&gt;35,DO75+DN76-DW75,IF(A76&lt;'Données projet'!$A$166,$DL$205^A76,IF(A76='Données projet'!$A$166,'Données projet'!$B$166,DO75+DN76-DW75)))</f>
        <v>315.59999999999991</v>
      </c>
      <c r="DP76" s="17">
        <f>DO76*VLOOKUP('Données projet'!$B$14,Paramètres!$A$1:$I$89,3,0)*VLOOKUP('Données projet'!$B$14,Paramètres!$A$1:$I$89,5,0)</f>
        <v>246.16799999999995</v>
      </c>
      <c r="DQ76" s="13">
        <f t="shared" si="97"/>
        <v>59.764639499163827</v>
      </c>
      <c r="DR76" s="20">
        <f t="shared" si="70"/>
        <v>532.83268046104354</v>
      </c>
      <c r="DS76" s="59">
        <f t="shared" si="71"/>
        <v>826.16601379437679</v>
      </c>
      <c r="DT76" s="59">
        <f ca="1">AVERAGE(OFFSET($DS$3,0,0,'Données projet'!$E$14+1,1))-AVERAGE(OFFSET($H$3,0,0,'Données projet'!$E$14+1,1))</f>
        <v>347.17417070871716</v>
      </c>
      <c r="DU76" s="59">
        <f t="shared" si="98"/>
        <v>339.56378046986441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11.200758148742223</v>
      </c>
      <c r="EB76" s="21">
        <f>EXP(-LN(2)/25)*EB75+(1-EXP(-LN(2)/25))/(LN(2)/25)*Calculateur!DW76*Calculateur!DY76*VLOOKUP('Données projet'!$B$14,Paramètres!$A$1:$I$89,3,0)*0.475*44/12</f>
        <v>11.401958102634101</v>
      </c>
      <c r="EC76" s="21">
        <f>EXP(-LN(2)/2)*EC75+(1-EXP(-LN(2)/2))/(LN(2)/2)*DW76*DZ76*VLOOKUP('Données projet'!$B$14,Paramètres!$A$1:$I$89,3,0)*0.475*44/12</f>
        <v>1.0309030979325839</v>
      </c>
      <c r="ED76" s="22">
        <f t="shared" si="72"/>
        <v>23.633619349308905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4.2</v>
      </c>
      <c r="EJ76" s="12">
        <f>IF('Données projet'!$A$192&gt;35,EJ75+EI76-ER75,IF(A76&lt;'Données projet'!$A$192,$EG$205^A76,IF(A76='Données projet'!$A$192,'Données projet'!$B$192,EJ75+EI76-ER75)))</f>
        <v>315.59999999999991</v>
      </c>
      <c r="EK76" s="17">
        <f>EJ76*VLOOKUP('Données projet'!$B$15,Paramètres!$A$1:$I$89,3,0)*VLOOKUP('Données projet'!$B$15,Paramètres!$A$1:$I$89,5,0)</f>
        <v>275.70815999999996</v>
      </c>
      <c r="EL76" s="13">
        <f t="shared" si="99"/>
        <v>66.05920594467139</v>
      </c>
      <c r="EM76" s="20">
        <f t="shared" si="73"/>
        <v>595.24482902030275</v>
      </c>
      <c r="EN76" s="59">
        <f t="shared" si="74"/>
        <v>888.57816235363612</v>
      </c>
      <c r="EO76" s="59">
        <f ca="1">AVERAGE(OFFSET($EN$3,0,0,'Données projet'!$E$15+1,1))-AVERAGE(OFFSET($H$3,0,0,'Données projet'!$E$15+1,1))</f>
        <v>384.34044781465661</v>
      </c>
      <c r="EP76" s="59">
        <f t="shared" si="100"/>
        <v>374.99493809709708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12.544849126591288</v>
      </c>
      <c r="EW76" s="21">
        <f>EXP(-LN(2)/25)*EW75+(1-EXP(-LN(2)/25))/(LN(2)/25)*Calculateur!ER76*Calculateur!ET76*VLOOKUP('Données projet'!$B$15,Paramètres!$A$1:$I$89,3,0)*0.475*44/12</f>
        <v>12.770193074950198</v>
      </c>
      <c r="EX76" s="21">
        <f>EXP(-LN(2)/2)*EX75+(1-EXP(-LN(2)/2))/(LN(2)/2)*ER76*EU76*VLOOKUP('Données projet'!$B$15,Paramètres!$A$1:$I$89,3,0)*0.475*44/12</f>
        <v>1.1546114696844938</v>
      </c>
      <c r="EY76" s="22">
        <f t="shared" si="75"/>
        <v>26.469653671225981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4.2</v>
      </c>
      <c r="FE76" s="12">
        <f>IF('Données projet'!$A$218&gt;35,FE75+FD76-FM75,IF(A76&lt;'Données projet'!$A$218,$FB$205^A76,IF(A76='Données projet'!$A$218,'Données projet'!$B$218,FE75+FD76-FM75)))</f>
        <v>315.59999999999991</v>
      </c>
      <c r="FF76" s="17">
        <f>FE76*VLOOKUP('Données projet'!$B$16,Paramètres!$A$1:$I$89,3,0)*VLOOKUP('Données projet'!$B$16,Paramètres!$A$1:$I$89,5,0)</f>
        <v>256.01471999999995</v>
      </c>
      <c r="FG76" s="13">
        <f t="shared" si="101"/>
        <v>61.872115120174627</v>
      </c>
      <c r="FH76" s="20">
        <f t="shared" si="76"/>
        <v>553.65290450097075</v>
      </c>
      <c r="FI76" s="59">
        <f t="shared" si="77"/>
        <v>846.98623783430412</v>
      </c>
      <c r="FJ76" s="59">
        <f ca="1">AVERAGE(OFFSET($FI$3,0,0,'Données projet'!$E$16+1,1))-AVERAGE(OFFSET($H$3,0,0,'Données projet'!$E$16+1,1))</f>
        <v>359.57284550600366</v>
      </c>
      <c r="FK76" s="59">
        <f t="shared" si="102"/>
        <v>351.38386928091433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11.648788474691916</v>
      </c>
      <c r="FR76" s="21">
        <f>EXP(-LN(2)/25)*FR75+(1-EXP(-LN(2)/25))/(LN(2)/25)*Calculateur!FM76*Calculateur!FO76*VLOOKUP('Données projet'!$B$16,Paramètres!$A$1:$I$89,3,0)*0.475*44/12</f>
        <v>11.858036426739467</v>
      </c>
      <c r="FS76" s="21">
        <f>EXP(-LN(2)/2)*FS75+(1-EXP(-LN(2)/2))/(LN(2)/2)*FM76*FP76*VLOOKUP('Données projet'!$B$16,Paramètres!$A$1:$I$89,3,0)*0.475*44/12</f>
        <v>1.0721392218498866</v>
      </c>
      <c r="FT76" s="22">
        <f t="shared" si="78"/>
        <v>24.578964123281271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6">
        <f t="shared" si="56"/>
        <v>256.66666666666669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414.8</v>
      </c>
      <c r="L77" s="12">
        <f>VLOOKUP(A77,'Données projet'!$A$35:$I$55,9,0)</f>
        <v>12.795000000000002</v>
      </c>
      <c r="M77" s="12">
        <f t="array" ref="M77">INDEX(L:L,MIN(IF(ISNUMBER(L77:L273),ROW(L77:L273),"")))</f>
        <v>12.795000000000002</v>
      </c>
      <c r="N77" s="13">
        <f>IF('Données projet'!$A$36&gt;35,N76+M77-V76,IF(A77&lt;'Données projet'!$A$36,$K$205^A77,IF(A77='Données projet'!$A$36,'Données projet'!$B$36,N76+M77-V76)))</f>
        <v>414.80000000000013</v>
      </c>
      <c r="O77" s="13">
        <f>N77*VLOOKUP('Données projet'!$B$9,Paramètres!$A$1:$I$89,3,0)*VLOOKUP('Données projet'!$B$9,Paramètres!$A$1:$I$89,5,0)</f>
        <v>375.31104000000011</v>
      </c>
      <c r="P77" s="13">
        <f t="shared" si="87"/>
        <v>86.752950168429535</v>
      </c>
      <c r="Q77" s="20">
        <f t="shared" si="54"/>
        <v>804.76144954334825</v>
      </c>
      <c r="R77" s="59">
        <f t="shared" si="55"/>
        <v>1098.0947828766816</v>
      </c>
      <c r="S77" s="59">
        <f ca="1">AVERAGE(OFFSET($R$3,0,0,'Données projet'!$E$9+1,1))-AVERAGE(OFFSET($H$3,0,0,'Données projet'!$E$9+1,1))</f>
        <v>695.0879239758051</v>
      </c>
      <c r="T77" s="59">
        <f t="shared" si="88"/>
        <v>226.22150997227476</v>
      </c>
      <c r="U77" s="15">
        <f>IF(ISNA(VLOOKUP(A77,'Données projet'!$A$35:$I$55,3,0)),0,VLOOKUP(A77,'Données projet'!$A$35:$I$55,3,0))</f>
        <v>6</v>
      </c>
      <c r="V77" s="15">
        <f>IF(ISNA(VLOOKUP(A77,'Données projet'!$A$35:$I$55,4,0)),0,VLOOKUP(A77,'Données projet'!$A$35:$I$55,4,0))</f>
        <v>75.29000000000002</v>
      </c>
      <c r="W77" s="16">
        <f>IF(ISNA(VLOOKUP(A77,'Données projet'!$A$35:$I$55,5,0)),0%,VLOOKUP(A77,'Données projet'!$A$35:$I$55,5,0)*VLOOKUP('Données projet'!$B$9,Paramètres!$A$1:$I$89,7,0))</f>
        <v>0.15049999999999999</v>
      </c>
      <c r="X77" s="16">
        <f>IF(ISNA(VLOOKUP(A77,'Données projet'!$A$35:$I$55,6,0)),0%,VLOOKUP(A77,'Données projet'!$A$35:$I$55,6,0)*VLOOKUP('Données projet'!$B$9,Paramètres!$A$1:$I$89,7,0))</f>
        <v>8.6000000000000007E-2</v>
      </c>
      <c r="Y77" s="16">
        <f>IF(ISNA(VLOOKUP(A77,'Données projet'!$A$35:$I$55,7,0)),0%,VLOOKUP(A77,'Données projet'!$A$35:$I$55,7,0))</f>
        <v>0.1</v>
      </c>
      <c r="Z77" s="21">
        <f>EXP(-LN(2)/35)*Z76+(1-EXP(-LN(2)/35))/(LN(2)/35)*V77*W77*VLOOKUP('Données projet'!$B$9,Paramètres!$A$1:$I$89,3,0)*0.475*44/12</f>
        <v>28.377150387342887</v>
      </c>
      <c r="AA77" s="21">
        <f>EXP(-LN(2)/25)*AA76+(1-EXP(-LN(2)/25))/(LN(2)/25)*Calculateur!V77*Calculateur!X77*VLOOKUP('Données projet'!$B$9,Paramètres!$A$1:$I$89,3,0)*0.475*44/12</f>
        <v>40.127108569984337</v>
      </c>
      <c r="AB77" s="21">
        <f>EXP(-LN(2)/2)*AB76+(1-EXP(-LN(2)/2))/(LN(2)/2)*V77*Y77*VLOOKUP('Données projet'!$B$9,Paramètres!$A$1:$I$89,3,0)*0.475*44/12</f>
        <v>6.8606563499786484</v>
      </c>
      <c r="AC77" s="22">
        <f t="shared" si="57"/>
        <v>75.364915307305878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1.1368683772161603E-13</v>
      </c>
      <c r="AJ77" s="13">
        <f>AI77*VLOOKUP('Données projet'!$B$10,Paramètres!$A$1:$I$89,3,0)*VLOOKUP('Données projet'!$B$10,Paramètres!$A$1:$I$89,5,0)</f>
        <v>6.7984728957526396E-14</v>
      </c>
      <c r="AK77" s="13">
        <f t="shared" si="89"/>
        <v>1.0682447123141398E-12</v>
      </c>
      <c r="AL77" s="20">
        <f t="shared" si="58"/>
        <v>1.978932943548152E-12</v>
      </c>
      <c r="AM77" s="59">
        <f t="shared" si="59"/>
        <v>293.3333333333353</v>
      </c>
      <c r="AN77" s="59">
        <f ca="1">AVERAGE(OFFSET($AM$3,0,0,'Données projet'!$E$10+1,1))-AVERAGE(OFFSET($H$3,0,0,'Données projet'!$E$10+1,1))</f>
        <v>388.12151914648013</v>
      </c>
      <c r="AO77" s="59">
        <f t="shared" si="90"/>
        <v>481.43684454382793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124.63942267465953</v>
      </c>
      <c r="AV77" s="21">
        <f>EXP(-LN(2)/25)*AV76+(1-EXP(-LN(2)/25))/(LN(2)/25)*Calculateur!AQ77*Calculateur!AS77*VLOOKUP('Données projet'!$B$10,Paramètres!$A$1:$I$89,3,0)*0.475*44/12</f>
        <v>37.439087137118797</v>
      </c>
      <c r="AW77" s="21">
        <f>EXP(-LN(2)/2)*AW76+(1-EXP(-LN(2)/2))/(LN(2)/2)*AQ77*AT77*VLOOKUP('Données projet'!$B$10,Paramètres!$A$1:$I$89,3,0)*0.475*44/12</f>
        <v>0.15098498445710906</v>
      </c>
      <c r="AX77" s="21">
        <f t="shared" si="60"/>
        <v>162.22949479623543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4.2</v>
      </c>
      <c r="BD77" s="12">
        <f>IF('Données projet'!$A$88&gt;35,BD76+BC77-BL76,IF(A77&lt;'Données projet'!$A$88,$BA$205^A77,IF(A77='Données projet'!$A$88,'Données projet'!$B$88,BD76+BC77-BL76)))</f>
        <v>319.7999999999999</v>
      </c>
      <c r="BE77" s="13">
        <f>BD77*VLOOKUP('Données projet'!$B$11,Paramètres!$A$1:$I$89,3,0)*VLOOKUP('Données projet'!$B$11,Paramètres!$A$1:$I$89,5,0)</f>
        <v>304.3216799999999</v>
      </c>
      <c r="BF77" s="13">
        <f t="shared" si="91"/>
        <v>72.081698055002335</v>
      </c>
      <c r="BG77" s="20">
        <f t="shared" si="61"/>
        <v>655.56921677912885</v>
      </c>
      <c r="BH77" s="59">
        <f t="shared" si="62"/>
        <v>948.90255011246222</v>
      </c>
      <c r="BI77" s="59">
        <f ca="1">AVERAGE(OFFSET($BH$3,0,0,'Données projet'!$E$11+1,1))-AVERAGE(OFFSET($H$3,0,0,'Données projet'!$E$11+1,1))</f>
        <v>415.24818074059294</v>
      </c>
      <c r="BJ77" s="59">
        <f t="shared" si="92"/>
        <v>404.45811532046872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13.396964098144597</v>
      </c>
      <c r="BQ77" s="21">
        <f>EXP(-LN(2)/25)*BQ76+(1-EXP(-LN(2)/25))/(LN(2)/25)*Calculateur!BL77*Calculateur!BN77*VLOOKUP('Données projet'!$B$11,Paramètres!$A$1:$I$89,3,0)*0.475*44/12</f>
        <v>13.53000856963188</v>
      </c>
      <c r="BR77" s="21">
        <f>EXP(-LN(2)/2)*BR76+(1-EXP(-LN(2)/2))/(LN(2)/2)*BL77*BO77*VLOOKUP('Données projet'!$B$11,Paramètres!$A$1:$I$89,3,0)*0.475*44/12</f>
        <v>0.88932945697910648</v>
      </c>
      <c r="BS77" s="22">
        <f t="shared" si="63"/>
        <v>27.81630212475558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4.2</v>
      </c>
      <c r="BY77" s="12">
        <f>IF('Données projet'!$A$114&gt;35,BY76+BX77-CG76,IF(A77&lt;'Données projet'!$A$114,$BV$205^A77,IF(A77='Données projet'!$A$114,'Données projet'!$B$114,BY76+BX77-CG76)))</f>
        <v>319.7999999999999</v>
      </c>
      <c r="BZ77" s="13">
        <f>BY77*VLOOKUP('Données projet'!$B$12,Paramètres!$A$1:$I$89,3,0)*VLOOKUP('Données projet'!$B$12,Paramètres!$A$1:$I$89,5,0)</f>
        <v>279.37727999999993</v>
      </c>
      <c r="CA77" s="13">
        <f t="shared" si="93"/>
        <v>66.835393196206056</v>
      </c>
      <c r="CB77" s="20">
        <f t="shared" si="64"/>
        <v>602.98707248339201</v>
      </c>
      <c r="CC77" s="59">
        <f t="shared" si="65"/>
        <v>896.32040581672527</v>
      </c>
      <c r="CD77" s="59">
        <f ca="1">AVERAGE(OFFSET($CC$3,0,0,'Données projet'!$E$12+1,1))-AVERAGE(OFFSET($H$3,0,0,'Données projet'!$E$12+1,1))</f>
        <v>384.34044781465661</v>
      </c>
      <c r="CE77" s="59">
        <f t="shared" si="94"/>
        <v>374.99493809709708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15.159050493058782</v>
      </c>
      <c r="CL77" s="21">
        <f>EXP(-LN(2)/25)*CL76+(1-EXP(-LN(2)/25))/(LN(2)/25)*Calculateur!CG77*Calculateur!CI77*VLOOKUP('Données projet'!$B$12,Paramètres!$A$1:$I$89,3,0)*0.475*44/12</f>
        <v>15.309594142076792</v>
      </c>
      <c r="CM77" s="21">
        <f>EXP(-LN(2)/2)*CM76+(1-EXP(-LN(2)/2))/(LN(2)/2)*CG77*CJ77*VLOOKUP('Données projet'!$B$12,Paramètres!$A$1:$I$89,3,0)*0.475*44/12</f>
        <v>0.81643359984967145</v>
      </c>
      <c r="CN77" s="22">
        <f t="shared" si="66"/>
        <v>31.285078234985246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5.6843418860808015E-13</v>
      </c>
      <c r="CU77" s="17">
        <f>CT77*VLOOKUP('Données projet'!$B$13,Paramètres!$A$1:$I$89,3,0)*VLOOKUP('Données projet'!$B$13,Paramètres!$A$1:$I$89,5,0)</f>
        <v>3.177547114319168E-13</v>
      </c>
      <c r="CV77" s="13">
        <f t="shared" si="95"/>
        <v>4.1725404435445377E-12</v>
      </c>
      <c r="CW77" s="20">
        <f t="shared" si="67"/>
        <v>7.820597394917325E-12</v>
      </c>
      <c r="CX77" s="59">
        <f t="shared" si="68"/>
        <v>293.33333333334116</v>
      </c>
      <c r="CY77" s="59">
        <f ca="1">AVERAGE(OFFSET($CX$3,0,0,'Données projet'!$E$13+1,1))-AVERAGE(OFFSET($H$3,0,0,'Données projet'!$E$13+1,1))</f>
        <v>386.66324266750968</v>
      </c>
      <c r="CZ77" s="59">
        <f t="shared" si="96"/>
        <v>356.22149461585769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213.17480199757779</v>
      </c>
      <c r="DG77" s="21">
        <f>EXP(-LN(2)/25)*DG76+(1-EXP(-LN(2)/25))/(LN(2)/25)*Calculateur!DB77*Calculateur!DD77*VLOOKUP('Données projet'!$B$13,Paramètres!$A$1:$I$89,3,0)*0.475*44/12</f>
        <v>68.699748358188998</v>
      </c>
      <c r="DH77" s="21">
        <f>EXP(-LN(2)/2)*DH76+(1-EXP(-LN(2)/2))/(LN(2)/2)*DB77*DE77*VLOOKUP('Données projet'!$B$13,Paramètres!$A$1:$I$89,3,0)*0.475*44/12</f>
        <v>18.876381080704963</v>
      </c>
      <c r="DI77" s="22">
        <f t="shared" si="69"/>
        <v>300.75093143647177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4.2</v>
      </c>
      <c r="DO77" s="12">
        <f>IF('Données projet'!$A$166&gt;35,DO76+DN77-DW76,IF(A77&lt;'Données projet'!$A$166,$DL$205^A77,IF(A77='Données projet'!$A$166,'Données projet'!$B$166,DO76+DN77-DW76)))</f>
        <v>319.7999999999999</v>
      </c>
      <c r="DP77" s="17">
        <f>DO77*VLOOKUP('Données projet'!$B$14,Paramètres!$A$1:$I$89,3,0)*VLOOKUP('Données projet'!$B$14,Paramètres!$A$1:$I$89,5,0)</f>
        <v>249.44399999999993</v>
      </c>
      <c r="DQ77" s="13">
        <f t="shared" si="97"/>
        <v>60.466866397117599</v>
      </c>
      <c r="DR77" s="20">
        <f t="shared" si="70"/>
        <v>539.76142564164627</v>
      </c>
      <c r="DS77" s="59">
        <f t="shared" si="71"/>
        <v>833.09475897497964</v>
      </c>
      <c r="DT77" s="59">
        <f ca="1">AVERAGE(OFFSET($DS$3,0,0,'Données projet'!$E$14+1,1))-AVERAGE(OFFSET($H$3,0,0,'Données projet'!$E$14+1,1))</f>
        <v>347.17417070871716</v>
      </c>
      <c r="DU77" s="59">
        <f t="shared" si="98"/>
        <v>339.56378046986441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10.981118113233276</v>
      </c>
      <c r="EB77" s="21">
        <f>EXP(-LN(2)/25)*EB76+(1-EXP(-LN(2)/25))/(LN(2)/25)*Calculateur!DW77*Calculateur!DY77*VLOOKUP('Données projet'!$B$14,Paramètres!$A$1:$I$89,3,0)*0.475*44/12</f>
        <v>11.090170958714655</v>
      </c>
      <c r="EC77" s="21">
        <f>EXP(-LN(2)/2)*EC76+(1-EXP(-LN(2)/2))/(LN(2)/2)*DW77*DZ77*VLOOKUP('Données projet'!$B$14,Paramètres!$A$1:$I$89,3,0)*0.475*44/12</f>
        <v>0.72895857129434971</v>
      </c>
      <c r="ED77" s="22">
        <f t="shared" si="72"/>
        <v>22.80024764324228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4.2</v>
      </c>
      <c r="EJ77" s="12">
        <f>IF('Données projet'!$A$192&gt;35,EJ76+EI77-ER76,IF(A77&lt;'Données projet'!$A$192,$EG$205^A77,IF(A77='Données projet'!$A$192,'Données projet'!$B$192,EJ76+EI77-ER76)))</f>
        <v>319.7999999999999</v>
      </c>
      <c r="EK77" s="17">
        <f>EJ77*VLOOKUP('Données projet'!$B$15,Paramètres!$A$1:$I$89,3,0)*VLOOKUP('Données projet'!$B$15,Paramètres!$A$1:$I$89,5,0)</f>
        <v>279.37727999999993</v>
      </c>
      <c r="EL77" s="13">
        <f t="shared" si="99"/>
        <v>66.835393196206056</v>
      </c>
      <c r="EM77" s="20">
        <f t="shared" si="73"/>
        <v>602.98707248339201</v>
      </c>
      <c r="EN77" s="59">
        <f t="shared" si="74"/>
        <v>896.32040581672527</v>
      </c>
      <c r="EO77" s="59">
        <f ca="1">AVERAGE(OFFSET($EN$3,0,0,'Données projet'!$E$15+1,1))-AVERAGE(OFFSET($H$3,0,0,'Données projet'!$E$15+1,1))</f>
        <v>384.34044781465661</v>
      </c>
      <c r="EP77" s="59">
        <f t="shared" si="100"/>
        <v>374.99493809709708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12.298852286821267</v>
      </c>
      <c r="EW77" s="21">
        <f>EXP(-LN(2)/25)*EW76+(1-EXP(-LN(2)/25))/(LN(2)/25)*Calculateur!ER77*Calculateur!ET77*VLOOKUP('Données projet'!$B$15,Paramètres!$A$1:$I$89,3,0)*0.475*44/12</f>
        <v>12.420991473760418</v>
      </c>
      <c r="EX77" s="21">
        <f>EXP(-LN(2)/2)*EX76+(1-EXP(-LN(2)/2))/(LN(2)/2)*ER77*EU77*VLOOKUP('Données projet'!$B$15,Paramètres!$A$1:$I$89,3,0)*0.475*44/12</f>
        <v>0.81643359984967145</v>
      </c>
      <c r="EY77" s="22">
        <f t="shared" si="75"/>
        <v>25.536277360431356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4.2</v>
      </c>
      <c r="FE77" s="12">
        <f>IF('Données projet'!$A$218&gt;35,FE76+FD77-FM76,IF(A77&lt;'Données projet'!$A$218,$FB$205^A77,IF(A77='Données projet'!$A$218,'Données projet'!$B$218,FE76+FD77-FM76)))</f>
        <v>319.7999999999999</v>
      </c>
      <c r="FF77" s="17">
        <f>FE77*VLOOKUP('Données projet'!$B$16,Paramètres!$A$1:$I$89,3,0)*VLOOKUP('Données projet'!$B$16,Paramètres!$A$1:$I$89,5,0)</f>
        <v>259.42175999999995</v>
      </c>
      <c r="FG77" s="13">
        <f t="shared" si="101"/>
        <v>62.599104588107195</v>
      </c>
      <c r="FH77" s="20">
        <f t="shared" si="76"/>
        <v>560.85300582428658</v>
      </c>
      <c r="FI77" s="59">
        <f t="shared" si="77"/>
        <v>854.18633915761984</v>
      </c>
      <c r="FJ77" s="59">
        <f ca="1">AVERAGE(OFFSET($FI$3,0,0,'Données projet'!$E$16+1,1))-AVERAGE(OFFSET($H$3,0,0,'Données projet'!$E$16+1,1))</f>
        <v>359.57284550600366</v>
      </c>
      <c r="FK77" s="59">
        <f t="shared" si="102"/>
        <v>351.38386928091433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11.42036283776261</v>
      </c>
      <c r="FR77" s="21">
        <f>EXP(-LN(2)/25)*FR76+(1-EXP(-LN(2)/25))/(LN(2)/25)*Calculateur!FM77*Calculateur!FO77*VLOOKUP('Données projet'!$B$16,Paramètres!$A$1:$I$89,3,0)*0.475*44/12</f>
        <v>11.533777797063243</v>
      </c>
      <c r="FS77" s="21">
        <f>EXP(-LN(2)/2)*FS76+(1-EXP(-LN(2)/2))/(LN(2)/2)*FM77*FP77*VLOOKUP('Données projet'!$B$16,Paramètres!$A$1:$I$89,3,0)*0.475*44/12</f>
        <v>0.75811691414612314</v>
      </c>
      <c r="FT77" s="22">
        <f t="shared" si="78"/>
        <v>23.712257548971976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6">
        <f t="shared" si="56"/>
        <v>256.66666666666669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12.082500000000003</v>
      </c>
      <c r="N78" s="13">
        <f>IF('Données projet'!$A$36&gt;35,N77+M78-V77,IF(A78&lt;'Données projet'!$A$36,$K$205^A78,IF(A78='Données projet'!$A$36,'Données projet'!$B$36,N77+M78-V77)))</f>
        <v>351.59250000000009</v>
      </c>
      <c r="O78" s="13">
        <f>N78*VLOOKUP('Données projet'!$B$9,Paramètres!$A$1:$I$89,3,0)*VLOOKUP('Données projet'!$B$9,Paramètres!$A$1:$I$89,5,0)</f>
        <v>318.12089400000008</v>
      </c>
      <c r="P78" s="13">
        <f t="shared" si="87"/>
        <v>74.962235198318652</v>
      </c>
      <c r="Q78" s="20">
        <f t="shared" si="54"/>
        <v>684.6197833537384</v>
      </c>
      <c r="R78" s="59">
        <f t="shared" si="55"/>
        <v>977.95311668707177</v>
      </c>
      <c r="S78" s="59">
        <f ca="1">AVERAGE(OFFSET($R$3,0,0,'Données projet'!$E$9+1,1))-AVERAGE(OFFSET($H$3,0,0,'Données projet'!$E$9+1,1))</f>
        <v>695.0879239758051</v>
      </c>
      <c r="T78" s="59">
        <f t="shared" si="88"/>
        <v>226.22150997227476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27.820691776599773</v>
      </c>
      <c r="AA78" s="21">
        <f>EXP(-LN(2)/25)*AA77+(1-EXP(-LN(2)/25))/(LN(2)/25)*Calculateur!V78*Calculateur!X78*VLOOKUP('Données projet'!$B$9,Paramètres!$A$1:$I$89,3,0)*0.475*44/12</f>
        <v>39.029830675945185</v>
      </c>
      <c r="AB78" s="21">
        <f>EXP(-LN(2)/2)*AB77+(1-EXP(-LN(2)/2))/(LN(2)/2)*V78*Y78*VLOOKUP('Données projet'!$B$9,Paramètres!$A$1:$I$89,3,0)*0.475*44/12</f>
        <v>4.8512166284604499</v>
      </c>
      <c r="AC78" s="22">
        <f t="shared" si="57"/>
        <v>71.701739081005414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1.1368683772161603E-13</v>
      </c>
      <c r="AJ78" s="13">
        <f>AI78*VLOOKUP('Données projet'!$B$10,Paramètres!$A$1:$I$89,3,0)*VLOOKUP('Données projet'!$B$10,Paramètres!$A$1:$I$89,5,0)</f>
        <v>6.7984728957526396E-14</v>
      </c>
      <c r="AK78" s="13">
        <f t="shared" si="89"/>
        <v>1.0682447123141398E-12</v>
      </c>
      <c r="AL78" s="20">
        <f t="shared" si="58"/>
        <v>1.978932943548152E-12</v>
      </c>
      <c r="AM78" s="59">
        <f t="shared" si="59"/>
        <v>293.3333333333353</v>
      </c>
      <c r="AN78" s="59">
        <f ca="1">AVERAGE(OFFSET($AM$3,0,0,'Données projet'!$E$10+1,1))-AVERAGE(OFFSET($H$3,0,0,'Données projet'!$E$10+1,1))</f>
        <v>388.12151914648013</v>
      </c>
      <c r="AO78" s="59">
        <f t="shared" si="90"/>
        <v>481.43684454382793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122.19531961855068</v>
      </c>
      <c r="AV78" s="21">
        <f>EXP(-LN(2)/25)*AV77+(1-EXP(-LN(2)/25))/(LN(2)/25)*Calculateur!AQ78*Calculateur!AS78*VLOOKUP('Données projet'!$B$10,Paramètres!$A$1:$I$89,3,0)*0.475*44/12</f>
        <v>36.415313330518259</v>
      </c>
      <c r="AW78" s="21">
        <f>EXP(-LN(2)/2)*AW77+(1-EXP(-LN(2)/2))/(LN(2)/2)*AQ78*AT78*VLOOKUP('Données projet'!$B$10,Paramètres!$A$1:$I$89,3,0)*0.475*44/12</f>
        <v>0.1067625063669673</v>
      </c>
      <c r="AX78" s="21">
        <f t="shared" si="60"/>
        <v>158.71739545543591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324</v>
      </c>
      <c r="BB78" s="12">
        <f>VLOOKUP(A78,'Données projet'!$A$87:$I$107,9,0)</f>
        <v>4.2</v>
      </c>
      <c r="BC78" s="12">
        <f t="array" ref="BC78">INDEX(BB:BB,MIN(IF(ISNUMBER(BB78:BB274),ROW(BB78:BB274),"")))</f>
        <v>4.2</v>
      </c>
      <c r="BD78" s="12">
        <f>IF('Données projet'!$A$88&gt;35,BD77+BC78-BL77,IF(A78&lt;'Données projet'!$A$88,$BA$205^A78,IF(A78='Données projet'!$A$88,'Données projet'!$B$88,BD77+BC78-BL77)))</f>
        <v>323.99999999999989</v>
      </c>
      <c r="BE78" s="13">
        <f>BD78*VLOOKUP('Données projet'!$B$11,Paramètres!$A$1:$I$89,3,0)*VLOOKUP('Données projet'!$B$11,Paramètres!$A$1:$I$89,5,0)</f>
        <v>308.31839999999988</v>
      </c>
      <c r="BF78" s="13">
        <f t="shared" si="91"/>
        <v>72.917534066293882</v>
      </c>
      <c r="BG78" s="20">
        <f t="shared" si="61"/>
        <v>663.98591849879494</v>
      </c>
      <c r="BH78" s="59">
        <f t="shared" si="62"/>
        <v>957.3192518321282</v>
      </c>
      <c r="BI78" s="59">
        <f ca="1">AVERAGE(OFFSET($BH$3,0,0,'Données projet'!$E$11+1,1))-AVERAGE(OFFSET($H$3,0,0,'Données projet'!$E$11+1,1))</f>
        <v>415.24818074059294</v>
      </c>
      <c r="BJ78" s="59">
        <f t="shared" si="92"/>
        <v>404.45811532046872</v>
      </c>
      <c r="BK78" s="15">
        <f>IF(ISNA(VLOOKUP(A78,'Données projet'!$A$87:$I$107,3,0)),0,VLOOKUP(A78,'Données projet'!$A$87:$I$107,3,0))</f>
        <v>13</v>
      </c>
      <c r="BL78" s="15">
        <f>IF(ISNA(VLOOKUP(A78,'Données projet'!$A$87:$I$107,4,0)),0,VLOOKUP(A78,'Données projet'!$A$87:$I$107,4,0))</f>
        <v>12</v>
      </c>
      <c r="BM78" s="16">
        <f>IF(ISNA(VLOOKUP(A78,'Données projet'!$A$87:$I$107,5,0)),0%,VLOOKUP(A78,'Données projet'!$A$87:$I$107,5,0)*VLOOKUP('Données projet'!$B$11,Paramètres!$A$1:$I$89,7,0))</f>
        <v>0.1075</v>
      </c>
      <c r="BN78" s="16">
        <f>IF(ISNA(VLOOKUP(A78,'Données projet'!$A$87:$I$107,6,0)),0%,VLOOKUP(A78,'Données projet'!$A$87:$I$107,6,0)*VLOOKUP('Données projet'!$B$11,Paramètres!$A$1:$I$89,7,0))</f>
        <v>0.1075</v>
      </c>
      <c r="BO78" s="16">
        <f>IF(ISNA(VLOOKUP(A78,'Données projet'!$A$87:$I$107,7,0)),0%,VLOOKUP(A78,'Données projet'!$A$87:$I$107,7,0))</f>
        <v>0.25</v>
      </c>
      <c r="BP78" s="21">
        <f>EXP(-LN(2)/35)*BP77+(1-EXP(-LN(2)/35))/(LN(2)/35)*BL78*BM78*VLOOKUP('Données projet'!$B$11,Paramètres!$A$1:$I$89,3,0)*0.475*44/12</f>
        <v>14.491293444502215</v>
      </c>
      <c r="BQ78" s="21">
        <f>EXP(-LN(2)/25)*BQ77+(1-EXP(-LN(2)/25))/(LN(2)/25)*Calculateur!BL78*Calculateur!BN78*VLOOKUP('Données projet'!$B$11,Paramètres!$A$1:$I$89,3,0)*0.475*44/12</f>
        <v>14.511722248374397</v>
      </c>
      <c r="BR78" s="21">
        <f>EXP(-LN(2)/2)*BR77+(1-EXP(-LN(2)/2))/(LN(2)/2)*BL78*BO78*VLOOKUP('Données projet'!$B$11,Paramètres!$A$1:$I$89,3,0)*0.475*44/12</f>
        <v>3.3224315255543391</v>
      </c>
      <c r="BS78" s="22">
        <f t="shared" si="63"/>
        <v>32.325447218430952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324</v>
      </c>
      <c r="BW78" s="12">
        <f>VLOOKUP(A78,'Données projet'!$A$113:$I$133,9,0)</f>
        <v>4.2</v>
      </c>
      <c r="BX78" s="12">
        <f t="array" ref="BX78">INDEX(BW:BW,MIN(IF(ISNUMBER(BW78:BW274),ROW(BW78:BW274),"")))</f>
        <v>4.2</v>
      </c>
      <c r="BY78" s="12">
        <f>IF('Données projet'!$A$114&gt;35,BY77+BX78-CG77,IF(A78&lt;'Données projet'!$A$114,$BV$205^A78,IF(A78='Données projet'!$A$114,'Données projet'!$B$114,BY77+BX78-CG77)))</f>
        <v>323.99999999999989</v>
      </c>
      <c r="BZ78" s="13">
        <f>BY78*VLOOKUP('Données projet'!$B$12,Paramètres!$A$1:$I$89,3,0)*VLOOKUP('Données projet'!$B$12,Paramètres!$A$1:$I$89,5,0)</f>
        <v>283.04639999999989</v>
      </c>
      <c r="CA78" s="13">
        <f t="shared" si="93"/>
        <v>67.610394756513259</v>
      </c>
      <c r="CB78" s="20">
        <f t="shared" si="64"/>
        <v>610.72725086759363</v>
      </c>
      <c r="CC78" s="59">
        <f t="shared" si="65"/>
        <v>904.060584200927</v>
      </c>
      <c r="CD78" s="59">
        <f ca="1">AVERAGE(OFFSET($CC$3,0,0,'Données projet'!$E$12+1,1))-AVERAGE(OFFSET($H$3,0,0,'Données projet'!$E$12+1,1))</f>
        <v>384.34044781465661</v>
      </c>
      <c r="CE78" s="59">
        <f t="shared" si="94"/>
        <v>374.99493809709708</v>
      </c>
      <c r="CF78" s="15">
        <f>IF(ISNA(VLOOKUP(A78,'Données projet'!$A$113:$I$133,3,0)),0,VLOOKUP(A78,'Données projet'!$A$113:$I$133,3,0))</f>
        <v>13</v>
      </c>
      <c r="CG78" s="15">
        <f>IF(ISNA(VLOOKUP(A78,'Données projet'!$A$113:$I$133,4,0)),0,VLOOKUP(A78,'Données projet'!$A$113:$I$133,4,0))</f>
        <v>12</v>
      </c>
      <c r="CH78" s="16">
        <f>IF(ISNA(VLOOKUP(A78,'Données projet'!$A$113:$I$133,5,0)),0%,VLOOKUP(A78,'Données projet'!$A$113:$I$133,5,0)*VLOOKUP('Données projet'!$B$12,Paramètres!$A$1:$I$89,7,0))</f>
        <v>0.13250000000000001</v>
      </c>
      <c r="CI78" s="16">
        <f>IF(ISNA(VLOOKUP(A78,'Données projet'!$A$113:$I$133,6,0)),0%,VLOOKUP(A78,'Données projet'!$A$113:$I$133,6,0)*VLOOKUP('Données projet'!$B$12,Paramètres!$A$1:$I$89,7,0))</f>
        <v>0.13250000000000001</v>
      </c>
      <c r="CJ78" s="16">
        <f>IF(ISNA(VLOOKUP(A78,'Données projet'!$A$113:$I$133,7,0)),0%,VLOOKUP(A78,'Données projet'!$A$113:$I$133,7,0))</f>
        <v>0.25</v>
      </c>
      <c r="CK78" s="21">
        <f>EXP(-LN(2)/35)*CK77+(1-EXP(-LN(2)/35))/(LN(2)/35)*CG78*CH78*VLOOKUP('Données projet'!$B$12,Paramètres!$A$1:$I$89,3,0)*0.475*44/12</f>
        <v>16.3973156474581</v>
      </c>
      <c r="CL78" s="21">
        <f>EXP(-LN(2)/25)*CL77+(1-EXP(-LN(2)/25))/(LN(2)/25)*Calculateur!CG78*Calculateur!CI78*VLOOKUP('Données projet'!$B$12,Paramètres!$A$1:$I$89,3,0)*0.475*44/12</f>
        <v>16.420431427058794</v>
      </c>
      <c r="CM78" s="21">
        <f>EXP(-LN(2)/2)*CM77+(1-EXP(-LN(2)/2))/(LN(2)/2)*CG78*CJ78*VLOOKUP('Données projet'!$B$12,Paramètres!$A$1:$I$89,3,0)*0.475*44/12</f>
        <v>3.0501010726400488</v>
      </c>
      <c r="CN78" s="22">
        <f t="shared" si="66"/>
        <v>35.867848147156941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5.6843418860808015E-13</v>
      </c>
      <c r="CU78" s="17">
        <f>CT78*VLOOKUP('Données projet'!$B$13,Paramètres!$A$1:$I$89,3,0)*VLOOKUP('Données projet'!$B$13,Paramètres!$A$1:$I$89,5,0)</f>
        <v>3.177547114319168E-13</v>
      </c>
      <c r="CV78" s="13">
        <f t="shared" si="95"/>
        <v>4.1725404435445377E-12</v>
      </c>
      <c r="CW78" s="20">
        <f t="shared" si="67"/>
        <v>7.820597394917325E-12</v>
      </c>
      <c r="CX78" s="59">
        <f t="shared" si="68"/>
        <v>293.33333333334116</v>
      </c>
      <c r="CY78" s="59">
        <f ca="1">AVERAGE(OFFSET($CX$3,0,0,'Données projet'!$E$13+1,1))-AVERAGE(OFFSET($H$3,0,0,'Données projet'!$E$13+1,1))</f>
        <v>386.66324266750968</v>
      </c>
      <c r="CZ78" s="59">
        <f t="shared" si="96"/>
        <v>356.22149461585769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208.99457415419573</v>
      </c>
      <c r="DG78" s="21">
        <f>EXP(-LN(2)/25)*DG77+(1-EXP(-LN(2)/25))/(LN(2)/25)*Calculateur!DB78*Calculateur!DD78*VLOOKUP('Données projet'!$B$13,Paramètres!$A$1:$I$89,3,0)*0.475*44/12</f>
        <v>66.821150126571567</v>
      </c>
      <c r="DH78" s="21">
        <f>EXP(-LN(2)/2)*DH77+(1-EXP(-LN(2)/2))/(LN(2)/2)*DB78*DE78*VLOOKUP('Données projet'!$B$13,Paramètres!$A$1:$I$89,3,0)*0.475*44/12</f>
        <v>13.347617066427931</v>
      </c>
      <c r="DI78" s="22">
        <f t="shared" si="69"/>
        <v>289.16334134719523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324</v>
      </c>
      <c r="DM78" s="12">
        <f>VLOOKUP(A78,'Données projet'!$A$165:$I$185,9,0)</f>
        <v>4.2</v>
      </c>
      <c r="DN78" s="12">
        <f t="array" ref="DN78">INDEX(DM:DM,MIN(IF(ISNUMBER(DM78:DM274),ROW(DM78:DM274),"")))</f>
        <v>4.2</v>
      </c>
      <c r="DO78" s="12">
        <f>IF('Données projet'!$A$166&gt;35,DO77+DN78-DW77,IF(A78&lt;'Données projet'!$A$166,$DL$205^A78,IF(A78='Données projet'!$A$166,'Données projet'!$B$166,DO77+DN78-DW77)))</f>
        <v>323.99999999999989</v>
      </c>
      <c r="DP78" s="17">
        <f>DO78*VLOOKUP('Données projet'!$B$14,Paramètres!$A$1:$I$89,3,0)*VLOOKUP('Données projet'!$B$14,Paramètres!$A$1:$I$89,5,0)</f>
        <v>252.71999999999991</v>
      </c>
      <c r="DQ78" s="13">
        <f t="shared" si="97"/>
        <v>61.168020584496823</v>
      </c>
      <c r="DR78" s="20">
        <f t="shared" si="70"/>
        <v>546.68830251799852</v>
      </c>
      <c r="DS78" s="59">
        <f t="shared" si="71"/>
        <v>840.02163585133189</v>
      </c>
      <c r="DT78" s="59">
        <f ca="1">AVERAGE(OFFSET($DS$3,0,0,'Données projet'!$E$14+1,1))-AVERAGE(OFFSET($H$3,0,0,'Données projet'!$E$14+1,1))</f>
        <v>347.17417070871716</v>
      </c>
      <c r="DU78" s="59">
        <f t="shared" si="98"/>
        <v>339.56378046986441</v>
      </c>
      <c r="DV78" s="15">
        <f>IF(ISNA(VLOOKUP(A78,'Données projet'!$A$165:$I$185,3,0)),0,VLOOKUP(A78,'Données projet'!$A$165:$I$185,3,0))</f>
        <v>13</v>
      </c>
      <c r="DW78" s="15">
        <f>IF(ISNA(VLOOKUP(A78,'Données projet'!$A$165:$I$185,4,0)),0,VLOOKUP(A78,'Données projet'!$A$165:$I$185,4,0))</f>
        <v>12</v>
      </c>
      <c r="DX78" s="16">
        <f>IF(ISNA(VLOOKUP(A78,'Données projet'!$A$165:$I$185,5,0)),0%,VLOOKUP(A78,'Données projet'!$A$165:$I$185,5,0)*VLOOKUP('Données projet'!$B$14,Paramètres!$A$1:$I$89,7,0))</f>
        <v>0.1075</v>
      </c>
      <c r="DY78" s="16">
        <f>IF(ISNA(VLOOKUP(A78,'Données projet'!$A$165:$I$185,6,0)),0%,VLOOKUP(A78,'Données projet'!$A$165:$I$185,6,0)*VLOOKUP('Données projet'!$B$14,Paramètres!$A$1:$I$89,7,0))</f>
        <v>0.1075</v>
      </c>
      <c r="DZ78" s="16">
        <f>IF(ISNA(VLOOKUP(A78,'Données projet'!$A$165:$I$185,7,0)),0%,VLOOKUP(A78,'Données projet'!$A$165:$I$185,7,0))</f>
        <v>0.25</v>
      </c>
      <c r="EA78" s="21">
        <f>EXP(-LN(2)/35)*EA77+(1-EXP(-LN(2)/35))/(LN(2)/35)*DW78*DX78*VLOOKUP('Données projet'!$B$14,Paramètres!$A$1:$I$89,3,0)*0.475*44/12</f>
        <v>11.87810938073952</v>
      </c>
      <c r="EB78" s="21">
        <f>EXP(-LN(2)/25)*EB77+(1-EXP(-LN(2)/25))/(LN(2)/25)*Calculateur!DW78*Calculateur!DY78*VLOOKUP('Données projet'!$B$14,Paramètres!$A$1:$I$89,3,0)*0.475*44/12</f>
        <v>11.894854301946225</v>
      </c>
      <c r="EC78" s="21">
        <f>EXP(-LN(2)/2)*EC77+(1-EXP(-LN(2)/2))/(LN(2)/2)*DW78*DZ78*VLOOKUP('Données projet'!$B$14,Paramètres!$A$1:$I$89,3,0)*0.475*44/12</f>
        <v>2.7233045291429003</v>
      </c>
      <c r="ED78" s="22">
        <f t="shared" si="72"/>
        <v>26.496268211828646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324</v>
      </c>
      <c r="EH78" s="12">
        <f>VLOOKUP(A78,'Données projet'!$A$191:$I$211,9,0)</f>
        <v>4.2</v>
      </c>
      <c r="EI78" s="12">
        <f t="array" ref="EI78">INDEX(EH:EH,MIN(IF(ISNUMBER(EH78:EH274),ROW(EH78:EH274),"")))</f>
        <v>4.2</v>
      </c>
      <c r="EJ78" s="12">
        <f>IF('Données projet'!$A$192&gt;35,EJ77+EI78-ER77,IF(A78&lt;'Données projet'!$A$192,$EG$205^A78,IF(A78='Données projet'!$A$192,'Données projet'!$B$192,EJ77+EI78-ER77)))</f>
        <v>323.99999999999989</v>
      </c>
      <c r="EK78" s="17">
        <f>EJ78*VLOOKUP('Données projet'!$B$15,Paramètres!$A$1:$I$89,3,0)*VLOOKUP('Données projet'!$B$15,Paramètres!$A$1:$I$89,5,0)</f>
        <v>283.04639999999989</v>
      </c>
      <c r="EL78" s="13">
        <f t="shared" si="99"/>
        <v>67.610394756513259</v>
      </c>
      <c r="EM78" s="20">
        <f t="shared" si="73"/>
        <v>610.72725086759363</v>
      </c>
      <c r="EN78" s="59">
        <f t="shared" si="74"/>
        <v>904.060584200927</v>
      </c>
      <c r="EO78" s="59">
        <f ca="1">AVERAGE(OFFSET($EN$3,0,0,'Données projet'!$E$15+1,1))-AVERAGE(OFFSET($H$3,0,0,'Données projet'!$E$15+1,1))</f>
        <v>384.34044781465661</v>
      </c>
      <c r="EP78" s="59">
        <f t="shared" si="100"/>
        <v>374.99493809709708</v>
      </c>
      <c r="EQ78" s="15">
        <f>IF(ISNA(VLOOKUP(A78,'Données projet'!$A$191:$I$211,3,0)),0,VLOOKUP(A78,'Données projet'!$A$191:$I$211,3,0))</f>
        <v>13</v>
      </c>
      <c r="ER78" s="15">
        <f>IF(ISNA(VLOOKUP(A78,'Données projet'!$A$191:$I$211,4,0)),0,VLOOKUP(A78,'Données projet'!$A$191:$I$211,4,0))</f>
        <v>12</v>
      </c>
      <c r="ES78" s="16">
        <f>IF(ISNA(VLOOKUP(A78,'Données projet'!$A$191:$I$211,5,0)),0%,VLOOKUP(A78,'Données projet'!$A$191:$I$211,5,0)*VLOOKUP('Données projet'!$B$15,Paramètres!$A$1:$I$89,7,0))</f>
        <v>0.1075</v>
      </c>
      <c r="ET78" s="16">
        <f>IF(ISNA(VLOOKUP(A78,'Données projet'!$A$191:$I$211,6,0)),0%,VLOOKUP(A78,'Données projet'!$A$191:$I$211,6,0)*VLOOKUP('Données projet'!$B$15,Paramètres!$A$1:$I$89,7,0))</f>
        <v>0.1075</v>
      </c>
      <c r="EU78" s="16">
        <f>IF(ISNA(VLOOKUP(A78,'Données projet'!$A$191:$I$211,7,0)),0%,VLOOKUP(A78,'Données projet'!$A$191:$I$211,7,0))</f>
        <v>0.25</v>
      </c>
      <c r="EV78" s="21">
        <f>EXP(-LN(2)/35)*EV77+(1-EXP(-LN(2)/35))/(LN(2)/35)*ER78*ES78*VLOOKUP('Données projet'!$B$15,Paramètres!$A$1:$I$89,3,0)*0.475*44/12</f>
        <v>13.303482506428262</v>
      </c>
      <c r="EW78" s="21">
        <f>EXP(-LN(2)/25)*EW77+(1-EXP(-LN(2)/25))/(LN(2)/25)*Calculateur!ER78*Calculateur!ET78*VLOOKUP('Données projet'!$B$15,Paramètres!$A$1:$I$89,3,0)*0.475*44/12</f>
        <v>13.322236818179777</v>
      </c>
      <c r="EX78" s="21">
        <f>EXP(-LN(2)/2)*EX77+(1-EXP(-LN(2)/2))/(LN(2)/2)*ER78*EU78*VLOOKUP('Données projet'!$B$15,Paramètres!$A$1:$I$89,3,0)*0.475*44/12</f>
        <v>3.0501010726400488</v>
      </c>
      <c r="EY78" s="22">
        <f t="shared" si="75"/>
        <v>29.675820397248089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324</v>
      </c>
      <c r="FC78" s="12">
        <f>VLOOKUP(A78,'Données projet'!$A$217:$I$237,9,0)</f>
        <v>4.2</v>
      </c>
      <c r="FD78" s="12">
        <f t="array" ref="FD78">INDEX(FC:FC,MIN(IF(ISNUMBER(FC78:FC274),ROW(FC78:FC274),"")))</f>
        <v>4.2</v>
      </c>
      <c r="FE78" s="12">
        <f>IF('Données projet'!$A$218&gt;35,FE77+FD78-FM77,IF(A78&lt;'Données projet'!$A$218,$FB$205^A78,IF(A78='Données projet'!$A$218,'Données projet'!$B$218,FE77+FD78-FM77)))</f>
        <v>323.99999999999989</v>
      </c>
      <c r="FF78" s="17">
        <f>FE78*VLOOKUP('Données projet'!$B$16,Paramètres!$A$1:$I$89,3,0)*VLOOKUP('Données projet'!$B$16,Paramètres!$A$1:$I$89,5,0)</f>
        <v>262.82879999999989</v>
      </c>
      <c r="FG78" s="13">
        <f t="shared" si="101"/>
        <v>63.324983518559428</v>
      </c>
      <c r="FH78" s="20">
        <f t="shared" si="76"/>
        <v>568.05117296149081</v>
      </c>
      <c r="FI78" s="59">
        <f t="shared" si="77"/>
        <v>861.38450629482418</v>
      </c>
      <c r="FJ78" s="59">
        <f ca="1">AVERAGE(OFFSET($FI$3,0,0,'Données projet'!$E$16+1,1))-AVERAGE(OFFSET($H$3,0,0,'Données projet'!$E$16+1,1))</f>
        <v>359.57284550600366</v>
      </c>
      <c r="FK78" s="59">
        <f t="shared" si="102"/>
        <v>351.38386928091433</v>
      </c>
      <c r="FL78" s="15">
        <f>IF(ISNA(VLOOKUP(A78,'Données projet'!$A$217:$I$237,3,0)),0,VLOOKUP(A78,'Données projet'!$A$217:$I$237,3,0))</f>
        <v>13</v>
      </c>
      <c r="FM78" s="15">
        <f>IF(ISNA(VLOOKUP(A78,'Données projet'!$A$217:$I$237,4,0)),0,VLOOKUP(A78,'Données projet'!$A$217:$I$237,4,0))</f>
        <v>12</v>
      </c>
      <c r="FN78" s="16">
        <f>IF(ISNA(VLOOKUP(A78,'Données projet'!$A$217:$I$237,5,0)),0%,VLOOKUP(A78,'Données projet'!$A$217:$I$237,5,0)*VLOOKUP('Données projet'!$B$16,Paramètres!$A$1:$I$89,7,0))</f>
        <v>0.1075</v>
      </c>
      <c r="FO78" s="16">
        <f>IF(ISNA(VLOOKUP(A78,'Données projet'!$A$217:$I$237,6,0)),0%,VLOOKUP(A78,'Données projet'!$A$217:$I$237,6,0)*VLOOKUP('Données projet'!$B$16,Paramètres!$A$1:$I$89,7,0))</f>
        <v>0.1075</v>
      </c>
      <c r="FP78" s="16">
        <f>IF(ISNA(VLOOKUP(A78,'Données projet'!$A$217:$I$237,7,0)),0%,VLOOKUP(A78,'Données projet'!$A$217:$I$237,7,0))</f>
        <v>0.25</v>
      </c>
      <c r="FQ78" s="21">
        <f>EXP(-LN(2)/35)*FQ77+(1-EXP(-LN(2)/35))/(LN(2)/35)*FM78*FN78*VLOOKUP('Données projet'!$B$16,Paramètres!$A$1:$I$89,3,0)*0.475*44/12</f>
        <v>12.353233755969104</v>
      </c>
      <c r="FR78" s="21">
        <f>EXP(-LN(2)/25)*FR77+(1-EXP(-LN(2)/25))/(LN(2)/25)*Calculateur!FM78*Calculateur!FO78*VLOOKUP('Données projet'!$B$16,Paramètres!$A$1:$I$89,3,0)*0.475*44/12</f>
        <v>12.370648474024076</v>
      </c>
      <c r="FS78" s="21">
        <f>EXP(-LN(2)/2)*FS77+(1-EXP(-LN(2)/2))/(LN(2)/2)*FM78*FP78*VLOOKUP('Données projet'!$B$16,Paramètres!$A$1:$I$89,3,0)*0.475*44/12</f>
        <v>2.8322367103086163</v>
      </c>
      <c r="FT78" s="22">
        <f t="shared" si="78"/>
        <v>27.556118940301797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6">
        <f t="shared" si="56"/>
        <v>256.66666666666669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12.082500000000003</v>
      </c>
      <c r="N79" s="13">
        <f>IF('Données projet'!$A$36&gt;35,N78+M79-V78,IF(A79&lt;'Données projet'!$A$36,$K$205^A79,IF(A79='Données projet'!$A$36,'Données projet'!$B$36,N78+M79-V78)))</f>
        <v>363.67500000000007</v>
      </c>
      <c r="O79" s="13">
        <f>N79*VLOOKUP('Données projet'!$B$9,Paramètres!$A$1:$I$89,3,0)*VLOOKUP('Données projet'!$B$9,Paramètres!$A$1:$I$89,5,0)</f>
        <v>329.05314000000004</v>
      </c>
      <c r="P79" s="13">
        <f t="shared" si="87"/>
        <v>77.233966119321479</v>
      </c>
      <c r="Q79" s="20">
        <f t="shared" si="54"/>
        <v>707.61670982448493</v>
      </c>
      <c r="R79" s="59">
        <f t="shared" si="55"/>
        <v>1000.9500431578183</v>
      </c>
      <c r="S79" s="59">
        <f ca="1">AVERAGE(OFFSET($R$3,0,0,'Données projet'!$E$9+1,1))-AVERAGE(OFFSET($H$3,0,0,'Données projet'!$E$9+1,1))</f>
        <v>695.0879239758051</v>
      </c>
      <c r="T79" s="59">
        <f t="shared" si="88"/>
        <v>226.22150997227476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27.275144979807092</v>
      </c>
      <c r="AA79" s="21">
        <f>EXP(-LN(2)/25)*AA78+(1-EXP(-LN(2)/25))/(LN(2)/25)*Calculateur!V79*Calculateur!X79*VLOOKUP('Données projet'!$B$9,Paramètres!$A$1:$I$89,3,0)*0.475*44/12</f>
        <v>37.962557903621871</v>
      </c>
      <c r="AB79" s="21">
        <f>EXP(-LN(2)/2)*AB78+(1-EXP(-LN(2)/2))/(LN(2)/2)*V79*Y79*VLOOKUP('Données projet'!$B$9,Paramètres!$A$1:$I$89,3,0)*0.475*44/12</f>
        <v>3.4303281749893242</v>
      </c>
      <c r="AC79" s="22">
        <f t="shared" si="57"/>
        <v>68.668031058418293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1.1368683772161603E-13</v>
      </c>
      <c r="AJ79" s="13">
        <f>AI79*VLOOKUP('Données projet'!$B$10,Paramètres!$A$1:$I$89,3,0)*VLOOKUP('Données projet'!$B$10,Paramètres!$A$1:$I$89,5,0)</f>
        <v>6.7984728957526396E-14</v>
      </c>
      <c r="AK79" s="13">
        <f t="shared" si="89"/>
        <v>1.0682447123141398E-12</v>
      </c>
      <c r="AL79" s="20">
        <f t="shared" si="58"/>
        <v>1.978932943548152E-12</v>
      </c>
      <c r="AM79" s="59">
        <f t="shared" si="59"/>
        <v>293.3333333333353</v>
      </c>
      <c r="AN79" s="59">
        <f ca="1">AVERAGE(OFFSET($AM$3,0,0,'Données projet'!$E$10+1,1))-AVERAGE(OFFSET($H$3,0,0,'Données projet'!$E$10+1,1))</f>
        <v>388.12151914648013</v>
      </c>
      <c r="AO79" s="59">
        <f t="shared" si="90"/>
        <v>481.43684454382793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119.79914393261647</v>
      </c>
      <c r="AV79" s="21">
        <f>EXP(-LN(2)/25)*AV78+(1-EXP(-LN(2)/25))/(LN(2)/25)*Calculateur!AQ79*Calculateur!AS79*VLOOKUP('Données projet'!$B$10,Paramètres!$A$1:$I$89,3,0)*0.475*44/12</f>
        <v>35.419534672497136</v>
      </c>
      <c r="AW79" s="21">
        <f>EXP(-LN(2)/2)*AW78+(1-EXP(-LN(2)/2))/(LN(2)/2)*AQ79*AT79*VLOOKUP('Données projet'!$B$10,Paramètres!$A$1:$I$89,3,0)*0.475*44/12</f>
        <v>7.5492492228554531E-2</v>
      </c>
      <c r="AX79" s="21">
        <f t="shared" si="60"/>
        <v>155.29417109734217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3.6</v>
      </c>
      <c r="BD79" s="12">
        <f>IF('Données projet'!$A$88&gt;35,BD78+BC79-BL78,IF(A79&lt;'Données projet'!$A$88,$BA$205^A79,IF(A79='Données projet'!$A$88,'Données projet'!$B$88,BD78+BC79-BL78)))</f>
        <v>315.59999999999991</v>
      </c>
      <c r="BE79" s="13">
        <f>BD79*VLOOKUP('Données projet'!$B$11,Paramètres!$A$1:$I$89,3,0)*VLOOKUP('Données projet'!$B$11,Paramètres!$A$1:$I$89,5,0)</f>
        <v>300.32495999999992</v>
      </c>
      <c r="BF79" s="13">
        <f t="shared" si="91"/>
        <v>71.244583280574048</v>
      </c>
      <c r="BG79" s="20">
        <f t="shared" si="61"/>
        <v>647.15028788033294</v>
      </c>
      <c r="BH79" s="59">
        <f t="shared" si="62"/>
        <v>940.48362121366631</v>
      </c>
      <c r="BI79" s="59">
        <f ca="1">AVERAGE(OFFSET($BH$3,0,0,'Données projet'!$E$11+1,1))-AVERAGE(OFFSET($H$3,0,0,'Données projet'!$E$11+1,1))</f>
        <v>415.24818074059294</v>
      </c>
      <c r="BJ79" s="59">
        <f t="shared" si="92"/>
        <v>404.45811532046872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14.207128018871767</v>
      </c>
      <c r="BQ79" s="21">
        <f>EXP(-LN(2)/25)*BQ78+(1-EXP(-LN(2)/25))/(LN(2)/25)*Calculateur!BL79*Calculateur!BN79*VLOOKUP('Données projet'!$B$11,Paramètres!$A$1:$I$89,3,0)*0.475*44/12</f>
        <v>14.114898440354294</v>
      </c>
      <c r="BR79" s="21">
        <f>EXP(-LN(2)/2)*BR78+(1-EXP(-LN(2)/2))/(LN(2)/2)*BL79*BO79*VLOOKUP('Données projet'!$B$11,Paramètres!$A$1:$I$89,3,0)*0.475*44/12</f>
        <v>2.3493138617474396</v>
      </c>
      <c r="BS79" s="22">
        <f t="shared" si="63"/>
        <v>30.671340320973499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3.6</v>
      </c>
      <c r="BY79" s="12">
        <f>IF('Données projet'!$A$114&gt;35,BY78+BX79-CG78,IF(A79&lt;'Données projet'!$A$114,$BV$205^A79,IF(A79='Données projet'!$A$114,'Données projet'!$B$114,BY78+BX79-CG78)))</f>
        <v>315.59999999999991</v>
      </c>
      <c r="BZ79" s="13">
        <f>BY79*VLOOKUP('Données projet'!$B$12,Paramètres!$A$1:$I$89,3,0)*VLOOKUP('Données projet'!$B$12,Paramètres!$A$1:$I$89,5,0)</f>
        <v>275.70815999999996</v>
      </c>
      <c r="CA79" s="13">
        <f t="shared" si="93"/>
        <v>66.05920594467139</v>
      </c>
      <c r="CB79" s="20">
        <f t="shared" si="64"/>
        <v>595.24482902030275</v>
      </c>
      <c r="CC79" s="59">
        <f t="shared" si="65"/>
        <v>888.57816235363612</v>
      </c>
      <c r="CD79" s="59">
        <f ca="1">AVERAGE(OFFSET($CC$3,0,0,'Données projet'!$E$12+1,1))-AVERAGE(OFFSET($H$3,0,0,'Données projet'!$E$12+1,1))</f>
        <v>384.34044781465661</v>
      </c>
      <c r="CE79" s="59">
        <f t="shared" si="94"/>
        <v>374.99493809709708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16.075774288986437</v>
      </c>
      <c r="CL79" s="21">
        <f>EXP(-LN(2)/25)*CL78+(1-EXP(-LN(2)/25))/(LN(2)/25)*Calculateur!CG79*Calculateur!CI79*VLOOKUP('Données projet'!$B$12,Paramètres!$A$1:$I$89,3,0)*0.475*44/12</f>
        <v>15.971413866172913</v>
      </c>
      <c r="CM79" s="21">
        <f>EXP(-LN(2)/2)*CM78+(1-EXP(-LN(2)/2))/(LN(2)/2)*CG79*CJ79*VLOOKUP('Données projet'!$B$12,Paramètres!$A$1:$I$89,3,0)*0.475*44/12</f>
        <v>2.1567471517681409</v>
      </c>
      <c r="CN79" s="22">
        <f t="shared" si="66"/>
        <v>34.203935306927491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5.6843418860808015E-13</v>
      </c>
      <c r="CU79" s="17">
        <f>CT79*VLOOKUP('Données projet'!$B$13,Paramètres!$A$1:$I$89,3,0)*VLOOKUP('Données projet'!$B$13,Paramètres!$A$1:$I$89,5,0)</f>
        <v>3.177547114319168E-13</v>
      </c>
      <c r="CV79" s="13">
        <f t="shared" si="95"/>
        <v>4.1725404435445377E-12</v>
      </c>
      <c r="CW79" s="20">
        <f t="shared" si="67"/>
        <v>7.820597394917325E-12</v>
      </c>
      <c r="CX79" s="59">
        <f t="shared" si="68"/>
        <v>293.33333333334116</v>
      </c>
      <c r="CY79" s="59">
        <f ca="1">AVERAGE(OFFSET($CX$3,0,0,'Données projet'!$E$13+1,1))-AVERAGE(OFFSET($H$3,0,0,'Données projet'!$E$13+1,1))</f>
        <v>386.66324266750968</v>
      </c>
      <c r="CZ79" s="59">
        <f t="shared" si="96"/>
        <v>356.22149461585769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204.89631802913516</v>
      </c>
      <c r="DG79" s="21">
        <f>EXP(-LN(2)/25)*DG78+(1-EXP(-LN(2)/25))/(LN(2)/25)*Calculateur!DB79*Calculateur!DD79*VLOOKUP('Données projet'!$B$13,Paramètres!$A$1:$I$89,3,0)*0.475*44/12</f>
        <v>64.993922262388907</v>
      </c>
      <c r="DH79" s="21">
        <f>EXP(-LN(2)/2)*DH78+(1-EXP(-LN(2)/2))/(LN(2)/2)*DB79*DE79*VLOOKUP('Données projet'!$B$13,Paramètres!$A$1:$I$89,3,0)*0.475*44/12</f>
        <v>9.4381905403524833</v>
      </c>
      <c r="DI79" s="22">
        <f t="shared" si="69"/>
        <v>279.32843083187652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3.6</v>
      </c>
      <c r="DO79" s="12">
        <f>IF('Données projet'!$A$166&gt;35,DO78+DN79-DW78,IF(A79&lt;'Données projet'!$A$166,$DL$205^A79,IF(A79='Données projet'!$A$166,'Données projet'!$B$166,DO78+DN79-DW78)))</f>
        <v>315.59999999999991</v>
      </c>
      <c r="DP79" s="17">
        <f>DO79*VLOOKUP('Données projet'!$B$14,Paramètres!$A$1:$I$89,3,0)*VLOOKUP('Données projet'!$B$14,Paramètres!$A$1:$I$89,5,0)</f>
        <v>246.16799999999995</v>
      </c>
      <c r="DQ79" s="13">
        <f t="shared" si="97"/>
        <v>59.764639499163827</v>
      </c>
      <c r="DR79" s="20">
        <f t="shared" si="70"/>
        <v>532.83268046104354</v>
      </c>
      <c r="DS79" s="59">
        <f t="shared" si="71"/>
        <v>826.16601379437679</v>
      </c>
      <c r="DT79" s="59">
        <f ca="1">AVERAGE(OFFSET($DS$3,0,0,'Données projet'!$E$14+1,1))-AVERAGE(OFFSET($H$3,0,0,'Données projet'!$E$14+1,1))</f>
        <v>347.17417070871716</v>
      </c>
      <c r="DU79" s="59">
        <f t="shared" si="98"/>
        <v>339.56378046986441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11.645186900714563</v>
      </c>
      <c r="EB79" s="21">
        <f>EXP(-LN(2)/25)*EB78+(1-EXP(-LN(2)/25))/(LN(2)/25)*Calculateur!DW79*Calculateur!DY79*VLOOKUP('Données projet'!$B$14,Paramètres!$A$1:$I$89,3,0)*0.475*44/12</f>
        <v>11.569588885536303</v>
      </c>
      <c r="EC79" s="21">
        <f>EXP(-LN(2)/2)*EC78+(1-EXP(-LN(2)/2))/(LN(2)/2)*DW79*DZ79*VLOOKUP('Données projet'!$B$14,Paramètres!$A$1:$I$89,3,0)*0.475*44/12</f>
        <v>1.9256670997929828</v>
      </c>
      <c r="ED79" s="22">
        <f t="shared" si="72"/>
        <v>25.14044288604385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3.6</v>
      </c>
      <c r="EJ79" s="12">
        <f>IF('Données projet'!$A$192&gt;35,EJ78+EI79-ER78,IF(A79&lt;'Données projet'!$A$192,$EG$205^A79,IF(A79='Données projet'!$A$192,'Données projet'!$B$192,EJ78+EI79-ER78)))</f>
        <v>315.59999999999991</v>
      </c>
      <c r="EK79" s="17">
        <f>EJ79*VLOOKUP('Données projet'!$B$15,Paramètres!$A$1:$I$89,3,0)*VLOOKUP('Données projet'!$B$15,Paramètres!$A$1:$I$89,5,0)</f>
        <v>275.70815999999996</v>
      </c>
      <c r="EL79" s="13">
        <f t="shared" si="99"/>
        <v>66.05920594467139</v>
      </c>
      <c r="EM79" s="20">
        <f t="shared" si="73"/>
        <v>595.24482902030275</v>
      </c>
      <c r="EN79" s="59">
        <f t="shared" si="74"/>
        <v>888.57816235363612</v>
      </c>
      <c r="EO79" s="59">
        <f ca="1">AVERAGE(OFFSET($EN$3,0,0,'Données projet'!$E$15+1,1))-AVERAGE(OFFSET($H$3,0,0,'Données projet'!$E$15+1,1))</f>
        <v>384.34044781465661</v>
      </c>
      <c r="EP79" s="59">
        <f t="shared" si="100"/>
        <v>374.99493809709708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13.04260932880031</v>
      </c>
      <c r="EW79" s="21">
        <f>EXP(-LN(2)/25)*EW78+(1-EXP(-LN(2)/25))/(LN(2)/25)*Calculateur!ER79*Calculateur!ET79*VLOOKUP('Données projet'!$B$15,Paramètres!$A$1:$I$89,3,0)*0.475*44/12</f>
        <v>12.957939551800665</v>
      </c>
      <c r="EX79" s="21">
        <f>EXP(-LN(2)/2)*EX78+(1-EXP(-LN(2)/2))/(LN(2)/2)*ER79*EU79*VLOOKUP('Données projet'!$B$15,Paramètres!$A$1:$I$89,3,0)*0.475*44/12</f>
        <v>2.1567471517681409</v>
      </c>
      <c r="EY79" s="22">
        <f t="shared" si="75"/>
        <v>28.157296032369114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3.6</v>
      </c>
      <c r="FE79" s="12">
        <f>IF('Données projet'!$A$218&gt;35,FE78+FD79-FM78,IF(A79&lt;'Données projet'!$A$218,$FB$205^A79,IF(A79='Données projet'!$A$218,'Données projet'!$B$218,FE78+FD79-FM78)))</f>
        <v>315.59999999999991</v>
      </c>
      <c r="FF79" s="17">
        <f>FE79*VLOOKUP('Données projet'!$B$16,Paramètres!$A$1:$I$89,3,0)*VLOOKUP('Données projet'!$B$16,Paramètres!$A$1:$I$89,5,0)</f>
        <v>256.01471999999995</v>
      </c>
      <c r="FG79" s="13">
        <f t="shared" si="101"/>
        <v>61.872115120174627</v>
      </c>
      <c r="FH79" s="20">
        <f t="shared" si="76"/>
        <v>553.65290450097075</v>
      </c>
      <c r="FI79" s="59">
        <f t="shared" si="77"/>
        <v>846.98623783430412</v>
      </c>
      <c r="FJ79" s="59">
        <f ca="1">AVERAGE(OFFSET($FI$3,0,0,'Données projet'!$E$16+1,1))-AVERAGE(OFFSET($H$3,0,0,'Données projet'!$E$16+1,1))</f>
        <v>359.57284550600366</v>
      </c>
      <c r="FK79" s="59">
        <f t="shared" si="102"/>
        <v>351.38386928091433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12.110994376743148</v>
      </c>
      <c r="FR79" s="21">
        <f>EXP(-LN(2)/25)*FR78+(1-EXP(-LN(2)/25))/(LN(2)/25)*Calculateur!FM79*Calculateur!FO79*VLOOKUP('Données projet'!$B$16,Paramètres!$A$1:$I$89,3,0)*0.475*44/12</f>
        <v>12.032372440957758</v>
      </c>
      <c r="FS79" s="21">
        <f>EXP(-LN(2)/2)*FS78+(1-EXP(-LN(2)/2))/(LN(2)/2)*FM79*FP79*VLOOKUP('Données projet'!$B$16,Paramètres!$A$1:$I$89,3,0)*0.475*44/12</f>
        <v>2.0026937837847023</v>
      </c>
      <c r="FT79" s="22">
        <f t="shared" si="78"/>
        <v>26.146060601485612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6">
        <f t="shared" si="56"/>
        <v>256.66666666666669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12.082500000000003</v>
      </c>
      <c r="N80" s="13">
        <f>IF('Données projet'!$A$36&gt;35,N79+M80-V79,IF(A80&lt;'Données projet'!$A$36,$K$205^A80,IF(A80='Données projet'!$A$36,'Données projet'!$B$36,N79+M80-V79)))</f>
        <v>375.75750000000005</v>
      </c>
      <c r="O80" s="13">
        <f>N80*VLOOKUP('Données projet'!$B$9,Paramètres!$A$1:$I$89,3,0)*VLOOKUP('Données projet'!$B$9,Paramètres!$A$1:$I$89,5,0)</f>
        <v>339.98538600000006</v>
      </c>
      <c r="P80" s="13">
        <f t="shared" si="87"/>
        <v>79.496927069315888</v>
      </c>
      <c r="Q80" s="20">
        <f t="shared" si="54"/>
        <v>730.59836192905857</v>
      </c>
      <c r="R80" s="59">
        <f t="shared" si="55"/>
        <v>1023.9316952623919</v>
      </c>
      <c r="S80" s="59">
        <f ca="1">AVERAGE(OFFSET($R$3,0,0,'Données projet'!$E$9+1,1))-AVERAGE(OFFSET($H$3,0,0,'Données projet'!$E$9+1,1))</f>
        <v>695.0879239758051</v>
      </c>
      <c r="T80" s="59">
        <f t="shared" si="88"/>
        <v>226.22150997227476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26.740296022948826</v>
      </c>
      <c r="AA80" s="21">
        <f>EXP(-LN(2)/25)*AA79+(1-EXP(-LN(2)/25))/(LN(2)/25)*Calculateur!V80*Calculateur!X80*VLOOKUP('Données projet'!$B$9,Paramètres!$A$1:$I$89,3,0)*0.475*44/12</f>
        <v>36.924469761383179</v>
      </c>
      <c r="AB80" s="21">
        <f>EXP(-LN(2)/2)*AB79+(1-EXP(-LN(2)/2))/(LN(2)/2)*V80*Y80*VLOOKUP('Données projet'!$B$9,Paramètres!$A$1:$I$89,3,0)*0.475*44/12</f>
        <v>2.4256083142302249</v>
      </c>
      <c r="AC80" s="22">
        <f t="shared" si="57"/>
        <v>66.090374098562236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1.1368683772161603E-13</v>
      </c>
      <c r="AJ80" s="13">
        <f>AI80*VLOOKUP('Données projet'!$B$10,Paramètres!$A$1:$I$89,3,0)*VLOOKUP('Données projet'!$B$10,Paramètres!$A$1:$I$89,5,0)</f>
        <v>6.7984728957526396E-14</v>
      </c>
      <c r="AK80" s="13">
        <f t="shared" si="89"/>
        <v>1.0682447123141398E-12</v>
      </c>
      <c r="AL80" s="20">
        <f t="shared" si="58"/>
        <v>1.978932943548152E-12</v>
      </c>
      <c r="AM80" s="59">
        <f t="shared" si="59"/>
        <v>293.3333333333353</v>
      </c>
      <c r="AN80" s="59">
        <f ca="1">AVERAGE(OFFSET($AM$3,0,0,'Données projet'!$E$10+1,1))-AVERAGE(OFFSET($H$3,0,0,'Données projet'!$E$10+1,1))</f>
        <v>388.12151914648013</v>
      </c>
      <c r="AO80" s="59">
        <f t="shared" si="90"/>
        <v>481.43684454382793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117.44995579036058</v>
      </c>
      <c r="AV80" s="21">
        <f>EXP(-LN(2)/25)*AV79+(1-EXP(-LN(2)/25))/(LN(2)/25)*Calculateur!AQ80*Calculateur!AS80*VLOOKUP('Données projet'!$B$10,Paramètres!$A$1:$I$89,3,0)*0.475*44/12</f>
        <v>34.450985634245328</v>
      </c>
      <c r="AW80" s="21">
        <f>EXP(-LN(2)/2)*AW79+(1-EXP(-LN(2)/2))/(LN(2)/2)*AQ80*AT80*VLOOKUP('Données projet'!$B$10,Paramètres!$A$1:$I$89,3,0)*0.475*44/12</f>
        <v>5.3381253183483648E-2</v>
      </c>
      <c r="AX80" s="21">
        <f t="shared" si="60"/>
        <v>151.95432267778938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3.6</v>
      </c>
      <c r="BD80" s="12">
        <f>IF('Données projet'!$A$88&gt;35,BD79+BC80-BL79,IF(A80&lt;'Données projet'!$A$88,$BA$205^A80,IF(A80='Données projet'!$A$88,'Données projet'!$B$88,BD79+BC80-BL79)))</f>
        <v>319.19999999999993</v>
      </c>
      <c r="BE80" s="13">
        <f>BD80*VLOOKUP('Données projet'!$B$11,Paramètres!$A$1:$I$89,3,0)*VLOOKUP('Données projet'!$B$11,Paramètres!$A$1:$I$89,5,0)</f>
        <v>303.75071999999994</v>
      </c>
      <c r="BF80" s="13">
        <f t="shared" si="91"/>
        <v>71.962188959446379</v>
      </c>
      <c r="BG80" s="20">
        <f t="shared" si="61"/>
        <v>654.36664977103567</v>
      </c>
      <c r="BH80" s="59">
        <f t="shared" si="62"/>
        <v>947.69998310436904</v>
      </c>
      <c r="BI80" s="59">
        <f ca="1">AVERAGE(OFFSET($BH$3,0,0,'Données projet'!$E$11+1,1))-AVERAGE(OFFSET($H$3,0,0,'Données projet'!$E$11+1,1))</f>
        <v>415.24818074059294</v>
      </c>
      <c r="BJ80" s="59">
        <f t="shared" si="92"/>
        <v>404.45811532046872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13.928534903914137</v>
      </c>
      <c r="BQ80" s="21">
        <f>EXP(-LN(2)/25)*BQ79+(1-EXP(-LN(2)/25))/(LN(2)/25)*Calculateur!BL80*Calculateur!BN80*VLOOKUP('Données projet'!$B$11,Paramètres!$A$1:$I$89,3,0)*0.475*44/12</f>
        <v>13.728925800232556</v>
      </c>
      <c r="BR80" s="21">
        <f>EXP(-LN(2)/2)*BR79+(1-EXP(-LN(2)/2))/(LN(2)/2)*BL80*BO80*VLOOKUP('Données projet'!$B$11,Paramètres!$A$1:$I$89,3,0)*0.475*44/12</f>
        <v>1.6612157627771698</v>
      </c>
      <c r="BS80" s="22">
        <f t="shared" si="63"/>
        <v>29.318676466923861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3.6</v>
      </c>
      <c r="BY80" s="12">
        <f>IF('Données projet'!$A$114&gt;35,BY79+BX80-CG79,IF(A80&lt;'Données projet'!$A$114,$BV$205^A80,IF(A80='Données projet'!$A$114,'Données projet'!$B$114,BY79+BX80-CG79)))</f>
        <v>319.19999999999993</v>
      </c>
      <c r="BZ80" s="13">
        <f>BY80*VLOOKUP('Données projet'!$B$12,Paramètres!$A$1:$I$89,3,0)*VLOOKUP('Données projet'!$B$12,Paramètres!$A$1:$I$89,5,0)</f>
        <v>278.85311999999999</v>
      </c>
      <c r="CA80" s="13">
        <f t="shared" si="93"/>
        <v>66.724582302351905</v>
      </c>
      <c r="CB80" s="20">
        <f t="shared" si="64"/>
        <v>601.88116484326292</v>
      </c>
      <c r="CC80" s="59">
        <f t="shared" si="65"/>
        <v>895.21449817659618</v>
      </c>
      <c r="CD80" s="59">
        <f ca="1">AVERAGE(OFFSET($CC$3,0,0,'Données projet'!$E$12+1,1))-AVERAGE(OFFSET($H$3,0,0,'Données projet'!$E$12+1,1))</f>
        <v>384.34044781465661</v>
      </c>
      <c r="CE80" s="59">
        <f t="shared" si="94"/>
        <v>374.99493809709708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15.760538160433541</v>
      </c>
      <c r="CL80" s="21">
        <f>EXP(-LN(2)/25)*CL79+(1-EXP(-LN(2)/25))/(LN(2)/25)*Calculateur!CG80*Calculateur!CI80*VLOOKUP('Données projet'!$B$12,Paramètres!$A$1:$I$89,3,0)*0.475*44/12</f>
        <v>15.534674714102263</v>
      </c>
      <c r="CM80" s="21">
        <f>EXP(-LN(2)/2)*CM79+(1-EXP(-LN(2)/2))/(LN(2)/2)*CG80*CJ80*VLOOKUP('Données projet'!$B$12,Paramètres!$A$1:$I$89,3,0)*0.475*44/12</f>
        <v>1.5250505363200246</v>
      </c>
      <c r="CN80" s="22">
        <f t="shared" si="66"/>
        <v>32.82026341085583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5.6843418860808015E-13</v>
      </c>
      <c r="CU80" s="17">
        <f>CT80*VLOOKUP('Données projet'!$B$13,Paramètres!$A$1:$I$89,3,0)*VLOOKUP('Données projet'!$B$13,Paramètres!$A$1:$I$89,5,0)</f>
        <v>3.177547114319168E-13</v>
      </c>
      <c r="CV80" s="13">
        <f t="shared" si="95"/>
        <v>4.1725404435445377E-12</v>
      </c>
      <c r="CW80" s="20">
        <f t="shared" si="67"/>
        <v>7.820597394917325E-12</v>
      </c>
      <c r="CX80" s="59">
        <f t="shared" si="68"/>
        <v>293.33333333334116</v>
      </c>
      <c r="CY80" s="59">
        <f ca="1">AVERAGE(OFFSET($CX$3,0,0,'Données projet'!$E$13+1,1))-AVERAGE(OFFSET($H$3,0,0,'Données projet'!$E$13+1,1))</f>
        <v>386.66324266750968</v>
      </c>
      <c r="CZ80" s="59">
        <f t="shared" si="96"/>
        <v>356.22149461585769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200.87842620699763</v>
      </c>
      <c r="DG80" s="21">
        <f>EXP(-LN(2)/25)*DG79+(1-EXP(-LN(2)/25))/(LN(2)/25)*Calculateur!DB80*Calculateur!DD80*VLOOKUP('Données projet'!$B$13,Paramètres!$A$1:$I$89,3,0)*0.475*44/12</f>
        <v>63.216660040242054</v>
      </c>
      <c r="DH80" s="21">
        <f>EXP(-LN(2)/2)*DH79+(1-EXP(-LN(2)/2))/(LN(2)/2)*DB80*DE80*VLOOKUP('Données projet'!$B$13,Paramètres!$A$1:$I$89,3,0)*0.475*44/12</f>
        <v>6.6738085332139665</v>
      </c>
      <c r="DI80" s="22">
        <f t="shared" si="69"/>
        <v>270.76889478045365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3.6</v>
      </c>
      <c r="DO80" s="12">
        <f>IF('Données projet'!$A$166&gt;35,DO79+DN80-DW79,IF(A80&lt;'Données projet'!$A$166,$DL$205^A80,IF(A80='Données projet'!$A$166,'Données projet'!$B$166,DO79+DN80-DW79)))</f>
        <v>319.19999999999993</v>
      </c>
      <c r="DP80" s="17">
        <f>DO80*VLOOKUP('Données projet'!$B$14,Paramètres!$A$1:$I$89,3,0)*VLOOKUP('Données projet'!$B$14,Paramètres!$A$1:$I$89,5,0)</f>
        <v>248.97599999999994</v>
      </c>
      <c r="DQ80" s="13">
        <f t="shared" si="97"/>
        <v>60.366614312202735</v>
      </c>
      <c r="DR80" s="20">
        <f t="shared" si="70"/>
        <v>538.77171992708634</v>
      </c>
      <c r="DS80" s="59">
        <f t="shared" si="71"/>
        <v>832.10505326041971</v>
      </c>
      <c r="DT80" s="59">
        <f ca="1">AVERAGE(OFFSET($DS$3,0,0,'Données projet'!$E$14+1,1))-AVERAGE(OFFSET($H$3,0,0,'Données projet'!$E$14+1,1))</f>
        <v>347.17417070871716</v>
      </c>
      <c r="DU80" s="59">
        <f t="shared" si="98"/>
        <v>339.56378046986441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11.41683188845421</v>
      </c>
      <c r="EB80" s="21">
        <f>EXP(-LN(2)/25)*EB79+(1-EXP(-LN(2)/25))/(LN(2)/25)*Calculateur!DW80*Calculateur!DY80*VLOOKUP('Données projet'!$B$14,Paramètres!$A$1:$I$89,3,0)*0.475*44/12</f>
        <v>11.253217869043077</v>
      </c>
      <c r="EC80" s="21">
        <f>EXP(-LN(2)/2)*EC79+(1-EXP(-LN(2)/2))/(LN(2)/2)*DW80*DZ80*VLOOKUP('Données projet'!$B$14,Paramètres!$A$1:$I$89,3,0)*0.475*44/12</f>
        <v>1.3616522645714504</v>
      </c>
      <c r="ED80" s="22">
        <f t="shared" si="72"/>
        <v>24.031702022068739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3.6</v>
      </c>
      <c r="EJ80" s="12">
        <f>IF('Données projet'!$A$192&gt;35,EJ79+EI80-ER79,IF(A80&lt;'Données projet'!$A$192,$EG$205^A80,IF(A80='Données projet'!$A$192,'Données projet'!$B$192,EJ79+EI80-ER79)))</f>
        <v>319.19999999999993</v>
      </c>
      <c r="EK80" s="17">
        <f>EJ80*VLOOKUP('Données projet'!$B$15,Paramètres!$A$1:$I$89,3,0)*VLOOKUP('Données projet'!$B$15,Paramètres!$A$1:$I$89,5,0)</f>
        <v>278.85311999999999</v>
      </c>
      <c r="EL80" s="13">
        <f t="shared" si="99"/>
        <v>66.724582302351905</v>
      </c>
      <c r="EM80" s="20">
        <f t="shared" si="73"/>
        <v>601.88116484326292</v>
      </c>
      <c r="EN80" s="59">
        <f t="shared" si="74"/>
        <v>895.21449817659618</v>
      </c>
      <c r="EO80" s="59">
        <f ca="1">AVERAGE(OFFSET($EN$3,0,0,'Données projet'!$E$15+1,1))-AVERAGE(OFFSET($H$3,0,0,'Données projet'!$E$15+1,1))</f>
        <v>384.34044781465661</v>
      </c>
      <c r="EP80" s="59">
        <f t="shared" si="100"/>
        <v>374.99493809709708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12.786851715068716</v>
      </c>
      <c r="EW80" s="21">
        <f>EXP(-LN(2)/25)*EW79+(1-EXP(-LN(2)/25))/(LN(2)/25)*Calculateur!ER80*Calculateur!ET80*VLOOKUP('Données projet'!$B$15,Paramètres!$A$1:$I$89,3,0)*0.475*44/12</f>
        <v>12.603604013328251</v>
      </c>
      <c r="EX80" s="21">
        <f>EXP(-LN(2)/2)*EX79+(1-EXP(-LN(2)/2))/(LN(2)/2)*ER80*EU80*VLOOKUP('Données projet'!$B$15,Paramètres!$A$1:$I$89,3,0)*0.475*44/12</f>
        <v>1.5250505363200246</v>
      </c>
      <c r="EY80" s="22">
        <f t="shared" si="75"/>
        <v>26.915506264716988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3.6</v>
      </c>
      <c r="FE80" s="12">
        <f>IF('Données projet'!$A$218&gt;35,FE79+FD80-FM79,IF(A80&lt;'Données projet'!$A$218,$FB$205^A80,IF(A80='Données projet'!$A$218,'Données projet'!$B$218,FE79+FD80-FM79)))</f>
        <v>319.19999999999993</v>
      </c>
      <c r="FF80" s="17">
        <f>FE80*VLOOKUP('Données projet'!$B$16,Paramètres!$A$1:$I$89,3,0)*VLOOKUP('Données projet'!$B$16,Paramètres!$A$1:$I$89,5,0)</f>
        <v>258.93503999999996</v>
      </c>
      <c r="FG80" s="13">
        <f t="shared" si="101"/>
        <v>62.495317322077135</v>
      </c>
      <c r="FH80" s="20">
        <f t="shared" si="76"/>
        <v>559.8245390026176</v>
      </c>
      <c r="FI80" s="59">
        <f t="shared" si="77"/>
        <v>853.15787233595097</v>
      </c>
      <c r="FJ80" s="59">
        <f ca="1">AVERAGE(OFFSET($FI$3,0,0,'Données projet'!$E$16+1,1))-AVERAGE(OFFSET($H$3,0,0,'Données projet'!$E$16+1,1))</f>
        <v>359.57284550600366</v>
      </c>
      <c r="FK80" s="59">
        <f t="shared" si="102"/>
        <v>351.38386928091433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11.873505163992382</v>
      </c>
      <c r="FR80" s="21">
        <f>EXP(-LN(2)/25)*FR79+(1-EXP(-LN(2)/25))/(LN(2)/25)*Calculateur!FM80*Calculateur!FO80*VLOOKUP('Données projet'!$B$16,Paramètres!$A$1:$I$89,3,0)*0.475*44/12</f>
        <v>11.703346583804802</v>
      </c>
      <c r="FS80" s="21">
        <f>EXP(-LN(2)/2)*FS79+(1-EXP(-LN(2)/2))/(LN(2)/2)*FM80*FP80*VLOOKUP('Données projet'!$B$16,Paramètres!$A$1:$I$89,3,0)*0.475*44/12</f>
        <v>1.4161183551543086</v>
      </c>
      <c r="FT80" s="22">
        <f t="shared" si="78"/>
        <v>24.992970102951496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6">
        <f t="shared" si="56"/>
        <v>256.66666666666669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12.082500000000003</v>
      </c>
      <c r="N81" s="13">
        <f>IF('Données projet'!$A$36&gt;35,N80+M81-V80,IF(A81&lt;'Données projet'!$A$36,$K$205^A81,IF(A81='Données projet'!$A$36,'Données projet'!$B$36,N80+M81-V80)))</f>
        <v>387.84000000000003</v>
      </c>
      <c r="O81" s="13">
        <f>N81*VLOOKUP('Données projet'!$B$9,Paramètres!$A$1:$I$89,3,0)*VLOOKUP('Données projet'!$B$9,Paramètres!$A$1:$I$89,5,0)</f>
        <v>350.91763200000003</v>
      </c>
      <c r="P81" s="13">
        <f t="shared" si="87"/>
        <v>81.751432393323299</v>
      </c>
      <c r="Q81" s="20">
        <f t="shared" si="54"/>
        <v>753.56528715170464</v>
      </c>
      <c r="R81" s="59">
        <f t="shared" si="55"/>
        <v>1046.898620485038</v>
      </c>
      <c r="S81" s="59">
        <f ca="1">AVERAGE(OFFSET($R$3,0,0,'Données projet'!$E$9+1,1))-AVERAGE(OFFSET($H$3,0,0,'Données projet'!$E$9+1,1))</f>
        <v>695.0879239758051</v>
      </c>
      <c r="T81" s="59">
        <f t="shared" si="88"/>
        <v>226.22150997227476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26.215935127908896</v>
      </c>
      <c r="AA81" s="21">
        <f>EXP(-LN(2)/25)*AA80+(1-EXP(-LN(2)/25))/(LN(2)/25)*Calculateur!V81*Calculateur!X81*VLOOKUP('Données projet'!$B$9,Paramètres!$A$1:$I$89,3,0)*0.475*44/12</f>
        <v>35.914768193984685</v>
      </c>
      <c r="AB81" s="21">
        <f>EXP(-LN(2)/2)*AB80+(1-EXP(-LN(2)/2))/(LN(2)/2)*V81*Y81*VLOOKUP('Données projet'!$B$9,Paramètres!$A$1:$I$89,3,0)*0.475*44/12</f>
        <v>1.7151640874946621</v>
      </c>
      <c r="AC81" s="22">
        <f t="shared" si="57"/>
        <v>63.845867409388241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1.1368683772161603E-13</v>
      </c>
      <c r="AJ81" s="13">
        <f>AI81*VLOOKUP('Données projet'!$B$10,Paramètres!$A$1:$I$89,3,0)*VLOOKUP('Données projet'!$B$10,Paramètres!$A$1:$I$89,5,0)</f>
        <v>6.7984728957526396E-14</v>
      </c>
      <c r="AK81" s="13">
        <f t="shared" si="89"/>
        <v>1.0682447123141398E-12</v>
      </c>
      <c r="AL81" s="20">
        <f t="shared" si="58"/>
        <v>1.978932943548152E-12</v>
      </c>
      <c r="AM81" s="59">
        <f t="shared" si="59"/>
        <v>293.3333333333353</v>
      </c>
      <c r="AN81" s="59">
        <f ca="1">AVERAGE(OFFSET($AM$3,0,0,'Données projet'!$E$10+1,1))-AVERAGE(OFFSET($H$3,0,0,'Données projet'!$E$10+1,1))</f>
        <v>388.12151914648013</v>
      </c>
      <c r="AO81" s="59">
        <f t="shared" si="90"/>
        <v>481.43684454382793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115.14683379471103</v>
      </c>
      <c r="AV81" s="21">
        <f>EXP(-LN(2)/25)*AV80+(1-EXP(-LN(2)/25))/(LN(2)/25)*Calculateur!AQ81*Calculateur!AS81*VLOOKUP('Données projet'!$B$10,Paramètres!$A$1:$I$89,3,0)*0.475*44/12</f>
        <v>33.508921620378295</v>
      </c>
      <c r="AW81" s="21">
        <f>EXP(-LN(2)/2)*AW80+(1-EXP(-LN(2)/2))/(LN(2)/2)*AQ81*AT81*VLOOKUP('Données projet'!$B$10,Paramètres!$A$1:$I$89,3,0)*0.475*44/12</f>
        <v>3.7746246114277265E-2</v>
      </c>
      <c r="AX81" s="21">
        <f t="shared" si="60"/>
        <v>148.69350166120358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3.6</v>
      </c>
      <c r="BD81" s="12">
        <f>IF('Données projet'!$A$88&gt;35,BD80+BC81-BL80,IF(A81&lt;'Données projet'!$A$88,$BA$205^A81,IF(A81='Données projet'!$A$88,'Données projet'!$B$88,BD80+BC81-BL80)))</f>
        <v>322.79999999999995</v>
      </c>
      <c r="BE81" s="13">
        <f>BD81*VLOOKUP('Données projet'!$B$11,Paramètres!$A$1:$I$89,3,0)*VLOOKUP('Données projet'!$B$11,Paramètres!$A$1:$I$89,5,0)</f>
        <v>307.17647999999997</v>
      </c>
      <c r="BF81" s="13">
        <f t="shared" si="91"/>
        <v>72.67885317551476</v>
      </c>
      <c r="BG81" s="20">
        <f t="shared" si="61"/>
        <v>661.5813719473548</v>
      </c>
      <c r="BH81" s="59">
        <f t="shared" si="62"/>
        <v>954.91470528068817</v>
      </c>
      <c r="BI81" s="59">
        <f ca="1">AVERAGE(OFFSET($BH$3,0,0,'Données projet'!$E$11+1,1))-AVERAGE(OFFSET($H$3,0,0,'Données projet'!$E$11+1,1))</f>
        <v>415.24818074059294</v>
      </c>
      <c r="BJ81" s="59">
        <f t="shared" si="92"/>
        <v>404.45811532046872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13.655404830015804</v>
      </c>
      <c r="BQ81" s="21">
        <f>EXP(-LN(2)/25)*BQ80+(1-EXP(-LN(2)/25))/(LN(2)/25)*Calculateur!BL81*Calculateur!BN81*VLOOKUP('Données projet'!$B$11,Paramètres!$A$1:$I$89,3,0)*0.475*44/12</f>
        <v>13.353507602252368</v>
      </c>
      <c r="BR81" s="21">
        <f>EXP(-LN(2)/2)*BR80+(1-EXP(-LN(2)/2))/(LN(2)/2)*BL81*BO81*VLOOKUP('Données projet'!$B$11,Paramètres!$A$1:$I$89,3,0)*0.475*44/12</f>
        <v>1.1746569308737198</v>
      </c>
      <c r="BS81" s="22">
        <f t="shared" si="63"/>
        <v>28.183569363141892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3.6</v>
      </c>
      <c r="BY81" s="12">
        <f>IF('Données projet'!$A$114&gt;35,BY80+BX81-CG80,IF(A81&lt;'Données projet'!$A$114,$BV$205^A81,IF(A81='Données projet'!$A$114,'Données projet'!$B$114,BY80+BX81-CG80)))</f>
        <v>322.79999999999995</v>
      </c>
      <c r="BZ81" s="13">
        <f>BY81*VLOOKUP('Données projet'!$B$12,Paramètres!$A$1:$I$89,3,0)*VLOOKUP('Données projet'!$B$12,Paramètres!$A$1:$I$89,5,0)</f>
        <v>281.99808000000002</v>
      </c>
      <c r="CA81" s="13">
        <f t="shared" si="93"/>
        <v>67.389085719488818</v>
      </c>
      <c r="CB81" s="20">
        <f t="shared" si="64"/>
        <v>608.51598029477634</v>
      </c>
      <c r="CC81" s="59">
        <f t="shared" si="65"/>
        <v>901.84931362810971</v>
      </c>
      <c r="CD81" s="59">
        <f ca="1">AVERAGE(OFFSET($CC$3,0,0,'Données projet'!$E$12+1,1))-AVERAGE(OFFSET($H$3,0,0,'Données projet'!$E$12+1,1))</f>
        <v>384.34044781465661</v>
      </c>
      <c r="CE81" s="59">
        <f t="shared" si="94"/>
        <v>374.99493809709708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15.451483620086513</v>
      </c>
      <c r="CL81" s="21">
        <f>EXP(-LN(2)/25)*CL80+(1-EXP(-LN(2)/25))/(LN(2)/25)*Calculateur!CG81*Calculateur!CI81*VLOOKUP('Données projet'!$B$12,Paramètres!$A$1:$I$89,3,0)*0.475*44/12</f>
        <v>15.109878217112097</v>
      </c>
      <c r="CM81" s="21">
        <f>EXP(-LN(2)/2)*CM80+(1-EXP(-LN(2)/2))/(LN(2)/2)*CG81*CJ81*VLOOKUP('Données projet'!$B$12,Paramètres!$A$1:$I$89,3,0)*0.475*44/12</f>
        <v>1.0783735758840707</v>
      </c>
      <c r="CN81" s="22">
        <f t="shared" si="66"/>
        <v>31.639735413082683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5.6843418860808015E-13</v>
      </c>
      <c r="CU81" s="17">
        <f>CT81*VLOOKUP('Données projet'!$B$13,Paramètres!$A$1:$I$89,3,0)*VLOOKUP('Données projet'!$B$13,Paramètres!$A$1:$I$89,5,0)</f>
        <v>3.177547114319168E-13</v>
      </c>
      <c r="CV81" s="13">
        <f t="shared" si="95"/>
        <v>4.1725404435445377E-12</v>
      </c>
      <c r="CW81" s="20">
        <f t="shared" si="67"/>
        <v>7.820597394917325E-12</v>
      </c>
      <c r="CX81" s="59">
        <f t="shared" si="68"/>
        <v>293.33333333334116</v>
      </c>
      <c r="CY81" s="59">
        <f ca="1">AVERAGE(OFFSET($CX$3,0,0,'Données projet'!$E$13+1,1))-AVERAGE(OFFSET($H$3,0,0,'Données projet'!$E$13+1,1))</f>
        <v>386.66324266750968</v>
      </c>
      <c r="CZ81" s="59">
        <f t="shared" si="96"/>
        <v>356.22149461585769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196.93932279282018</v>
      </c>
      <c r="DG81" s="21">
        <f>EXP(-LN(2)/25)*DG80+(1-EXP(-LN(2)/25))/(LN(2)/25)*Calculateur!DB81*Calculateur!DD81*VLOOKUP('Données projet'!$B$13,Paramètres!$A$1:$I$89,3,0)*0.475*44/12</f>
        <v>61.487997147021964</v>
      </c>
      <c r="DH81" s="21">
        <f>EXP(-LN(2)/2)*DH80+(1-EXP(-LN(2)/2))/(LN(2)/2)*DB81*DE81*VLOOKUP('Données projet'!$B$13,Paramètres!$A$1:$I$89,3,0)*0.475*44/12</f>
        <v>4.7190952701762425</v>
      </c>
      <c r="DI81" s="22">
        <f t="shared" si="69"/>
        <v>263.1464152100184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3.6</v>
      </c>
      <c r="DO81" s="12">
        <f>IF('Données projet'!$A$166&gt;35,DO80+DN81-DW80,IF(A81&lt;'Données projet'!$A$166,$DL$205^A81,IF(A81='Données projet'!$A$166,'Données projet'!$B$166,DO80+DN81-DW80)))</f>
        <v>322.79999999999995</v>
      </c>
      <c r="DP81" s="17">
        <f>DO81*VLOOKUP('Données projet'!$B$14,Paramètres!$A$1:$I$89,3,0)*VLOOKUP('Données projet'!$B$14,Paramètres!$A$1:$I$89,5,0)</f>
        <v>251.78399999999996</v>
      </c>
      <c r="DQ81" s="13">
        <f t="shared" si="97"/>
        <v>60.967799364357568</v>
      </c>
      <c r="DR81" s="20">
        <f t="shared" si="70"/>
        <v>544.70938389292269</v>
      </c>
      <c r="DS81" s="59">
        <f t="shared" si="71"/>
        <v>838.04271722625595</v>
      </c>
      <c r="DT81" s="59">
        <f ca="1">AVERAGE(OFFSET($DS$3,0,0,'Données projet'!$E$14+1,1))-AVERAGE(OFFSET($H$3,0,0,'Données projet'!$E$14+1,1))</f>
        <v>347.17417070871716</v>
      </c>
      <c r="DU81" s="59">
        <f t="shared" si="98"/>
        <v>339.56378046986441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11.192954778701479</v>
      </c>
      <c r="EB81" s="21">
        <f>EXP(-LN(2)/25)*EB80+(1-EXP(-LN(2)/25))/(LN(2)/25)*Calculateur!DW81*Calculateur!DY81*VLOOKUP('Données projet'!$B$14,Paramètres!$A$1:$I$89,3,0)*0.475*44/12</f>
        <v>10.945498034633086</v>
      </c>
      <c r="EC81" s="21">
        <f>EXP(-LN(2)/2)*EC80+(1-EXP(-LN(2)/2))/(LN(2)/2)*DW81*DZ81*VLOOKUP('Données projet'!$B$14,Paramètres!$A$1:$I$89,3,0)*0.475*44/12</f>
        <v>0.9628335498964915</v>
      </c>
      <c r="ED81" s="22">
        <f t="shared" si="72"/>
        <v>23.101286363231058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3.6</v>
      </c>
      <c r="EJ81" s="12">
        <f>IF('Données projet'!$A$192&gt;35,EJ80+EI81-ER80,IF(A81&lt;'Données projet'!$A$192,$EG$205^A81,IF(A81='Données projet'!$A$192,'Données projet'!$B$192,EJ80+EI81-ER80)))</f>
        <v>322.79999999999995</v>
      </c>
      <c r="EK81" s="17">
        <f>EJ81*VLOOKUP('Données projet'!$B$15,Paramètres!$A$1:$I$89,3,0)*VLOOKUP('Données projet'!$B$15,Paramètres!$A$1:$I$89,5,0)</f>
        <v>281.99808000000002</v>
      </c>
      <c r="EL81" s="13">
        <f t="shared" si="99"/>
        <v>67.389085719488818</v>
      </c>
      <c r="EM81" s="20">
        <f t="shared" si="73"/>
        <v>608.51598029477634</v>
      </c>
      <c r="EN81" s="59">
        <f t="shared" si="74"/>
        <v>901.84931362810971</v>
      </c>
      <c r="EO81" s="59">
        <f ca="1">AVERAGE(OFFSET($EN$3,0,0,'Données projet'!$E$15+1,1))-AVERAGE(OFFSET($H$3,0,0,'Données projet'!$E$15+1,1))</f>
        <v>384.34044781465661</v>
      </c>
      <c r="EP81" s="59">
        <f t="shared" si="100"/>
        <v>374.99493809709708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12.536109352145656</v>
      </c>
      <c r="EW81" s="21">
        <f>EXP(-LN(2)/25)*EW80+(1-EXP(-LN(2)/25))/(LN(2)/25)*Calculateur!ER81*Calculateur!ET81*VLOOKUP('Données projet'!$B$15,Paramètres!$A$1:$I$89,3,0)*0.475*44/12</f>
        <v>12.25895779878906</v>
      </c>
      <c r="EX81" s="21">
        <f>EXP(-LN(2)/2)*EX80+(1-EXP(-LN(2)/2))/(LN(2)/2)*ER81*EU81*VLOOKUP('Données projet'!$B$15,Paramètres!$A$1:$I$89,3,0)*0.475*44/12</f>
        <v>1.0783735758840707</v>
      </c>
      <c r="EY81" s="22">
        <f t="shared" si="75"/>
        <v>25.873440726818789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3.6</v>
      </c>
      <c r="FE81" s="12">
        <f>IF('Données projet'!$A$218&gt;35,FE80+FD81-FM80,IF(A81&lt;'Données projet'!$A$218,$FB$205^A81,IF(A81='Données projet'!$A$218,'Données projet'!$B$218,FE80+FD81-FM80)))</f>
        <v>322.79999999999995</v>
      </c>
      <c r="FF81" s="17">
        <f>FE81*VLOOKUP('Données projet'!$B$16,Paramètres!$A$1:$I$89,3,0)*VLOOKUP('Données projet'!$B$16,Paramètres!$A$1:$I$89,5,0)</f>
        <v>261.85536000000002</v>
      </c>
      <c r="FG81" s="13">
        <f t="shared" si="101"/>
        <v>63.117701913821712</v>
      </c>
      <c r="FH81" s="20">
        <f t="shared" si="76"/>
        <v>565.99474949990611</v>
      </c>
      <c r="FI81" s="59">
        <f t="shared" si="77"/>
        <v>859.32808283323948</v>
      </c>
      <c r="FJ81" s="59">
        <f ca="1">AVERAGE(OFFSET($FI$3,0,0,'Données projet'!$E$16+1,1))-AVERAGE(OFFSET($H$3,0,0,'Données projet'!$E$16+1,1))</f>
        <v>359.57284550600366</v>
      </c>
      <c r="FK81" s="59">
        <f t="shared" si="102"/>
        <v>351.38386928091433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11.640672969849541</v>
      </c>
      <c r="FR81" s="21">
        <f>EXP(-LN(2)/25)*FR80+(1-EXP(-LN(2)/25))/(LN(2)/25)*Calculateur!FM81*Calculateur!FO81*VLOOKUP('Données projet'!$B$16,Paramètres!$A$1:$I$89,3,0)*0.475*44/12</f>
        <v>11.383317956018411</v>
      </c>
      <c r="FS81" s="21">
        <f>EXP(-LN(2)/2)*FS80+(1-EXP(-LN(2)/2))/(LN(2)/2)*FM81*FP81*VLOOKUP('Données projet'!$B$16,Paramètres!$A$1:$I$89,3,0)*0.475*44/12</f>
        <v>1.0013468918923514</v>
      </c>
      <c r="FT81" s="22">
        <f t="shared" si="78"/>
        <v>24.025337817760303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6">
        <f t="shared" si="56"/>
        <v>256.66666666666669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12.082500000000003</v>
      </c>
      <c r="N82" s="13">
        <f>IF('Données projet'!$A$36&gt;35,N81+M82-V81,IF(A82&lt;'Données projet'!$A$36,$K$205^A82,IF(A82='Données projet'!$A$36,'Données projet'!$B$36,N81+M82-V81)))</f>
        <v>399.92250000000001</v>
      </c>
      <c r="O82" s="13">
        <f>N82*VLOOKUP('Données projet'!$B$9,Paramètres!$A$1:$I$89,3,0)*VLOOKUP('Données projet'!$B$9,Paramètres!$A$1:$I$89,5,0)</f>
        <v>361.84987799999999</v>
      </c>
      <c r="P82" s="13">
        <f t="shared" si="87"/>
        <v>83.997775738072022</v>
      </c>
      <c r="Q82" s="20">
        <f t="shared" si="54"/>
        <v>776.51799692714212</v>
      </c>
      <c r="R82" s="59">
        <f t="shared" si="55"/>
        <v>1069.8513302604754</v>
      </c>
      <c r="S82" s="59">
        <f ca="1">AVERAGE(OFFSET($R$3,0,0,'Données projet'!$E$9+1,1))-AVERAGE(OFFSET($H$3,0,0,'Données projet'!$E$9+1,1))</f>
        <v>695.0879239758051</v>
      </c>
      <c r="T82" s="59">
        <f t="shared" si="88"/>
        <v>226.22150997227476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25.701856630192136</v>
      </c>
      <c r="AA82" s="21">
        <f>EXP(-LN(2)/25)*AA81+(1-EXP(-LN(2)/25))/(LN(2)/25)*Calculateur!V82*Calculateur!X82*VLOOKUP('Données projet'!$B$9,Paramètres!$A$1:$I$89,3,0)*0.475*44/12</f>
        <v>34.9326769690446</v>
      </c>
      <c r="AB82" s="21">
        <f>EXP(-LN(2)/2)*AB81+(1-EXP(-LN(2)/2))/(LN(2)/2)*V82*Y82*VLOOKUP('Données projet'!$B$9,Paramètres!$A$1:$I$89,3,0)*0.475*44/12</f>
        <v>1.2128041571151125</v>
      </c>
      <c r="AC82" s="22">
        <f t="shared" si="57"/>
        <v>61.847337756351848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1.1368683772161603E-13</v>
      </c>
      <c r="AJ82" s="13">
        <f>AI82*VLOOKUP('Données projet'!$B$10,Paramètres!$A$1:$I$89,3,0)*VLOOKUP('Données projet'!$B$10,Paramètres!$A$1:$I$89,5,0)</f>
        <v>6.7984728957526396E-14</v>
      </c>
      <c r="AK82" s="13">
        <f t="shared" si="89"/>
        <v>1.0682447123141398E-12</v>
      </c>
      <c r="AL82" s="20">
        <f t="shared" si="58"/>
        <v>1.978932943548152E-12</v>
      </c>
      <c r="AM82" s="59">
        <f t="shared" si="59"/>
        <v>293.3333333333353</v>
      </c>
      <c r="AN82" s="59">
        <f ca="1">AVERAGE(OFFSET($AM$3,0,0,'Données projet'!$E$10+1,1))-AVERAGE(OFFSET($H$3,0,0,'Données projet'!$E$10+1,1))</f>
        <v>388.12151914648013</v>
      </c>
      <c r="AO82" s="59">
        <f t="shared" si="90"/>
        <v>481.43684454382793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112.88887461663046</v>
      </c>
      <c r="AV82" s="21">
        <f>EXP(-LN(2)/25)*AV81+(1-EXP(-LN(2)/25))/(LN(2)/25)*Calculateur!AQ82*Calculateur!AS82*VLOOKUP('Données projet'!$B$10,Paramètres!$A$1:$I$89,3,0)*0.475*44/12</f>
        <v>32.592618396511448</v>
      </c>
      <c r="AW82" s="21">
        <f>EXP(-LN(2)/2)*AW81+(1-EXP(-LN(2)/2))/(LN(2)/2)*AQ82*AT82*VLOOKUP('Données projet'!$B$10,Paramètres!$A$1:$I$89,3,0)*0.475*44/12</f>
        <v>2.6690626591741824E-2</v>
      </c>
      <c r="AX82" s="21">
        <f t="shared" si="60"/>
        <v>145.50818363973366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3.6</v>
      </c>
      <c r="BD82" s="12">
        <f>IF('Données projet'!$A$88&gt;35,BD81+BC82-BL81,IF(A82&lt;'Données projet'!$A$88,$BA$205^A82,IF(A82='Données projet'!$A$88,'Données projet'!$B$88,BD81+BC82-BL81)))</f>
        <v>326.39999999999998</v>
      </c>
      <c r="BE82" s="13">
        <f>BD82*VLOOKUP('Données projet'!$B$11,Paramètres!$A$1:$I$89,3,0)*VLOOKUP('Données projet'!$B$11,Paramètres!$A$1:$I$89,5,0)</f>
        <v>310.60223999999999</v>
      </c>
      <c r="BF82" s="13">
        <f t="shared" si="91"/>
        <v>73.394587643399319</v>
      </c>
      <c r="BG82" s="20">
        <f t="shared" si="61"/>
        <v>668.79447481225372</v>
      </c>
      <c r="BH82" s="59">
        <f t="shared" si="62"/>
        <v>962.1278081455871</v>
      </c>
      <c r="BI82" s="59">
        <f ca="1">AVERAGE(OFFSET($BH$3,0,0,'Données projet'!$E$11+1,1))-AVERAGE(OFFSET($H$3,0,0,'Données projet'!$E$11+1,1))</f>
        <v>415.24818074059294</v>
      </c>
      <c r="BJ82" s="59">
        <f t="shared" si="92"/>
        <v>404.45811532046872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13.387630670273722</v>
      </c>
      <c r="BQ82" s="21">
        <f>EXP(-LN(2)/25)*BQ81+(1-EXP(-LN(2)/25))/(LN(2)/25)*Calculateur!BL82*Calculateur!BN82*VLOOKUP('Données projet'!$B$11,Paramètres!$A$1:$I$89,3,0)*0.475*44/12</f>
        <v>12.988355234638332</v>
      </c>
      <c r="BR82" s="21">
        <f>EXP(-LN(2)/2)*BR81+(1-EXP(-LN(2)/2))/(LN(2)/2)*BL82*BO82*VLOOKUP('Données projet'!$B$11,Paramètres!$A$1:$I$89,3,0)*0.475*44/12</f>
        <v>0.83060788138858488</v>
      </c>
      <c r="BS82" s="22">
        <f t="shared" si="63"/>
        <v>27.20659378630064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3.6</v>
      </c>
      <c r="BY82" s="12">
        <f>IF('Données projet'!$A$114&gt;35,BY81+BX82-CG81,IF(A82&lt;'Données projet'!$A$114,$BV$205^A82,IF(A82='Données projet'!$A$114,'Données projet'!$B$114,BY81+BX82-CG81)))</f>
        <v>326.39999999999998</v>
      </c>
      <c r="BZ82" s="13">
        <f>BY82*VLOOKUP('Données projet'!$B$12,Paramètres!$A$1:$I$89,3,0)*VLOOKUP('Données projet'!$B$12,Paramètres!$A$1:$I$89,5,0)</f>
        <v>285.14303999999998</v>
      </c>
      <c r="CA82" s="13">
        <f t="shared" si="93"/>
        <v>68.052727058079924</v>
      </c>
      <c r="CB82" s="20">
        <f t="shared" si="64"/>
        <v>615.14929429282256</v>
      </c>
      <c r="CC82" s="59">
        <f t="shared" si="65"/>
        <v>908.48262762615582</v>
      </c>
      <c r="CD82" s="59">
        <f ca="1">AVERAGE(OFFSET($CC$3,0,0,'Données projet'!$E$12+1,1))-AVERAGE(OFFSET($H$3,0,0,'Données projet'!$E$12+1,1))</f>
        <v>384.34044781465661</v>
      </c>
      <c r="CE82" s="59">
        <f t="shared" si="94"/>
        <v>374.99493809709708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15.148489450771036</v>
      </c>
      <c r="CL82" s="21">
        <f>EXP(-LN(2)/25)*CL81+(1-EXP(-LN(2)/25))/(LN(2)/25)*Calculateur!CG82*Calculateur!CI82*VLOOKUP('Données projet'!$B$12,Paramètres!$A$1:$I$89,3,0)*0.475*44/12</f>
        <v>14.696697802671206</v>
      </c>
      <c r="CM82" s="21">
        <f>EXP(-LN(2)/2)*CM81+(1-EXP(-LN(2)/2))/(LN(2)/2)*CG82*CJ82*VLOOKUP('Données projet'!$B$12,Paramètres!$A$1:$I$89,3,0)*0.475*44/12</f>
        <v>0.76252526816001243</v>
      </c>
      <c r="CN82" s="22">
        <f t="shared" si="66"/>
        <v>30.607712521602252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5.6843418860808015E-13</v>
      </c>
      <c r="CU82" s="17">
        <f>CT82*VLOOKUP('Données projet'!$B$13,Paramètres!$A$1:$I$89,3,0)*VLOOKUP('Données projet'!$B$13,Paramètres!$A$1:$I$89,5,0)</f>
        <v>3.177547114319168E-13</v>
      </c>
      <c r="CV82" s="13">
        <f t="shared" si="95"/>
        <v>4.1725404435445377E-12</v>
      </c>
      <c r="CW82" s="20">
        <f t="shared" si="67"/>
        <v>7.820597394917325E-12</v>
      </c>
      <c r="CX82" s="59">
        <f t="shared" si="68"/>
        <v>293.33333333334116</v>
      </c>
      <c r="CY82" s="59">
        <f ca="1">AVERAGE(OFFSET($CX$3,0,0,'Données projet'!$E$13+1,1))-AVERAGE(OFFSET($H$3,0,0,'Données projet'!$E$13+1,1))</f>
        <v>386.66324266750968</v>
      </c>
      <c r="CZ82" s="59">
        <f t="shared" si="96"/>
        <v>356.22149461585769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193.0774627939789</v>
      </c>
      <c r="DG82" s="21">
        <f>EXP(-LN(2)/25)*DG81+(1-EXP(-LN(2)/25))/(LN(2)/25)*Calculateur!DB82*Calculateur!DD82*VLOOKUP('Données projet'!$B$13,Paramètres!$A$1:$I$89,3,0)*0.475*44/12</f>
        <v>59.806604631523413</v>
      </c>
      <c r="DH82" s="21">
        <f>EXP(-LN(2)/2)*DH81+(1-EXP(-LN(2)/2))/(LN(2)/2)*DB82*DE82*VLOOKUP('Données projet'!$B$13,Paramètres!$A$1:$I$89,3,0)*0.475*44/12</f>
        <v>3.3369042666069841</v>
      </c>
      <c r="DI82" s="22">
        <f t="shared" si="69"/>
        <v>256.22097169210929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3.6</v>
      </c>
      <c r="DO82" s="12">
        <f>IF('Données projet'!$A$166&gt;35,DO81+DN82-DW81,IF(A82&lt;'Données projet'!$A$166,$DL$205^A82,IF(A82='Données projet'!$A$166,'Données projet'!$B$166,DO81+DN82-DW81)))</f>
        <v>326.39999999999998</v>
      </c>
      <c r="DP82" s="17">
        <f>DO82*VLOOKUP('Données projet'!$B$14,Paramètres!$A$1:$I$89,3,0)*VLOOKUP('Données projet'!$B$14,Paramètres!$A$1:$I$89,5,0)</f>
        <v>254.59199999999998</v>
      </c>
      <c r="DQ82" s="13">
        <f t="shared" si="97"/>
        <v>61.568204482621567</v>
      </c>
      <c r="DR82" s="20">
        <f t="shared" si="70"/>
        <v>550.64568947389932</v>
      </c>
      <c r="DS82" s="59">
        <f t="shared" si="71"/>
        <v>843.9790228072327</v>
      </c>
      <c r="DT82" s="59">
        <f ca="1">AVERAGE(OFFSET($DS$3,0,0,'Données projet'!$E$14+1,1))-AVERAGE(OFFSET($H$3,0,0,'Données projet'!$E$14+1,1))</f>
        <v>347.17417070871716</v>
      </c>
      <c r="DU82" s="59">
        <f t="shared" si="98"/>
        <v>339.56378046986441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10.973467762519444</v>
      </c>
      <c r="EB82" s="21">
        <f>EXP(-LN(2)/25)*EB81+(1-EXP(-LN(2)/25))/(LN(2)/25)*Calculateur!DW82*Calculateur!DY82*VLOOKUP('Données projet'!$B$14,Paramètres!$A$1:$I$89,3,0)*0.475*44/12</f>
        <v>10.646192815277319</v>
      </c>
      <c r="EC82" s="21">
        <f>EXP(-LN(2)/2)*EC81+(1-EXP(-LN(2)/2))/(LN(2)/2)*DW82*DZ82*VLOOKUP('Données projet'!$B$14,Paramètres!$A$1:$I$89,3,0)*0.475*44/12</f>
        <v>0.68082613228572531</v>
      </c>
      <c r="ED82" s="22">
        <f t="shared" si="72"/>
        <v>22.300486710082492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3.6</v>
      </c>
      <c r="EJ82" s="12">
        <f>IF('Données projet'!$A$192&gt;35,EJ81+EI82-ER81,IF(A82&lt;'Données projet'!$A$192,$EG$205^A82,IF(A82='Données projet'!$A$192,'Données projet'!$B$192,EJ81+EI82-ER81)))</f>
        <v>326.39999999999998</v>
      </c>
      <c r="EK82" s="17">
        <f>EJ82*VLOOKUP('Données projet'!$B$15,Paramètres!$A$1:$I$89,3,0)*VLOOKUP('Données projet'!$B$15,Paramètres!$A$1:$I$89,5,0)</f>
        <v>285.14303999999998</v>
      </c>
      <c r="EL82" s="13">
        <f t="shared" si="99"/>
        <v>68.052727058079924</v>
      </c>
      <c r="EM82" s="20">
        <f t="shared" si="73"/>
        <v>615.14929429282256</v>
      </c>
      <c r="EN82" s="59">
        <f t="shared" si="74"/>
        <v>908.48262762615582</v>
      </c>
      <c r="EO82" s="59">
        <f ca="1">AVERAGE(OFFSET($EN$3,0,0,'Données projet'!$E$15+1,1))-AVERAGE(OFFSET($H$3,0,0,'Données projet'!$E$15+1,1))</f>
        <v>384.34044781465661</v>
      </c>
      <c r="EP82" s="59">
        <f t="shared" si="100"/>
        <v>374.99493809709708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12.290283894021778</v>
      </c>
      <c r="EW82" s="21">
        <f>EXP(-LN(2)/25)*EW81+(1-EXP(-LN(2)/25))/(LN(2)/25)*Calculateur!ER82*Calculateur!ET82*VLOOKUP('Données projet'!$B$15,Paramètres!$A$1:$I$89,3,0)*0.475*44/12</f>
        <v>11.923735953110601</v>
      </c>
      <c r="EX82" s="21">
        <f>EXP(-LN(2)/2)*EX81+(1-EXP(-LN(2)/2))/(LN(2)/2)*ER82*EU82*VLOOKUP('Données projet'!$B$15,Paramètres!$A$1:$I$89,3,0)*0.475*44/12</f>
        <v>0.76252526816001243</v>
      </c>
      <c r="EY82" s="22">
        <f t="shared" si="75"/>
        <v>24.976545115292389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3.6</v>
      </c>
      <c r="FE82" s="12">
        <f>IF('Données projet'!$A$218&gt;35,FE81+FD82-FM81,IF(A82&lt;'Données projet'!$A$218,$FB$205^A82,IF(A82='Données projet'!$A$218,'Données projet'!$B$218,FE81+FD82-FM81)))</f>
        <v>326.39999999999998</v>
      </c>
      <c r="FF82" s="17">
        <f>FE82*VLOOKUP('Données projet'!$B$16,Paramètres!$A$1:$I$89,3,0)*VLOOKUP('Données projet'!$B$16,Paramètres!$A$1:$I$89,5,0)</f>
        <v>264.77567999999997</v>
      </c>
      <c r="FG82" s="13">
        <f t="shared" si="101"/>
        <v>63.739279068930159</v>
      </c>
      <c r="FH82" s="20">
        <f t="shared" si="76"/>
        <v>572.16355371171983</v>
      </c>
      <c r="FI82" s="59">
        <f t="shared" si="77"/>
        <v>865.4968870450532</v>
      </c>
      <c r="FJ82" s="59">
        <f ca="1">AVERAGE(OFFSET($FI$3,0,0,'Données projet'!$E$16+1,1))-AVERAGE(OFFSET($H$3,0,0,'Données projet'!$E$16+1,1))</f>
        <v>359.57284550600366</v>
      </c>
      <c r="FK82" s="59">
        <f t="shared" si="102"/>
        <v>351.38386928091433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11.412406473020226</v>
      </c>
      <c r="FR82" s="21">
        <f>EXP(-LN(2)/25)*FR81+(1-EXP(-LN(2)/25))/(LN(2)/25)*Calculateur!FM82*Calculateur!FO82*VLOOKUP('Données projet'!$B$16,Paramètres!$A$1:$I$89,3,0)*0.475*44/12</f>
        <v>11.072040527888413</v>
      </c>
      <c r="FS82" s="21">
        <f>EXP(-LN(2)/2)*FS81+(1-EXP(-LN(2)/2))/(LN(2)/2)*FM82*FP82*VLOOKUP('Données projet'!$B$16,Paramètres!$A$1:$I$89,3,0)*0.475*44/12</f>
        <v>0.70805917757715442</v>
      </c>
      <c r="FT82" s="22">
        <f t="shared" si="78"/>
        <v>23.192506178485793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6">
        <f t="shared" si="56"/>
        <v>256.66666666666669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12.082500000000003</v>
      </c>
      <c r="N83" s="13">
        <f>IF('Données projet'!$A$36&gt;35,N82+M83-V82,IF(A83&lt;'Données projet'!$A$36,$K$205^A83,IF(A83='Données projet'!$A$36,'Données projet'!$B$36,N82+M83-V82)))</f>
        <v>412.005</v>
      </c>
      <c r="O83" s="13">
        <f>N83*VLOOKUP('Données projet'!$B$9,Paramètres!$A$1:$I$89,3,0)*VLOOKUP('Données projet'!$B$9,Paramètres!$A$1:$I$89,5,0)</f>
        <v>372.78212400000001</v>
      </c>
      <c r="P83" s="13">
        <f t="shared" si="87"/>
        <v>86.236231998585495</v>
      </c>
      <c r="Q83" s="20">
        <f t="shared" si="54"/>
        <v>799.45697003086968</v>
      </c>
      <c r="R83" s="59">
        <f t="shared" si="55"/>
        <v>1092.7903033642031</v>
      </c>
      <c r="S83" s="59">
        <f ca="1">AVERAGE(OFFSET($R$3,0,0,'Données projet'!$E$9+1,1))-AVERAGE(OFFSET($H$3,0,0,'Données projet'!$E$9+1,1))</f>
        <v>695.0879239758051</v>
      </c>
      <c r="T83" s="59">
        <f t="shared" si="88"/>
        <v>226.22150997227476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25.19785889825868</v>
      </c>
      <c r="AA83" s="21">
        <f>EXP(-LN(2)/25)*AA82+(1-EXP(-LN(2)/25))/(LN(2)/25)*Calculateur!V83*Calculateur!X83*VLOOKUP('Données projet'!$B$9,Paramètres!$A$1:$I$89,3,0)*0.475*44/12</f>
        <v>33.97744108029643</v>
      </c>
      <c r="AB83" s="21">
        <f>EXP(-LN(2)/2)*AB82+(1-EXP(-LN(2)/2))/(LN(2)/2)*V83*Y83*VLOOKUP('Données projet'!$B$9,Paramètres!$A$1:$I$89,3,0)*0.475*44/12</f>
        <v>0.85758204374733105</v>
      </c>
      <c r="AC83" s="22">
        <f t="shared" si="57"/>
        <v>60.032882022302438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1.1368683772161603E-13</v>
      </c>
      <c r="AJ83" s="13">
        <f>AI83*VLOOKUP('Données projet'!$B$10,Paramètres!$A$1:$I$89,3,0)*VLOOKUP('Données projet'!$B$10,Paramètres!$A$1:$I$89,5,0)</f>
        <v>6.7984728957526396E-14</v>
      </c>
      <c r="AK83" s="13">
        <f t="shared" si="89"/>
        <v>1.0682447123141398E-12</v>
      </c>
      <c r="AL83" s="20">
        <f t="shared" si="58"/>
        <v>1.978932943548152E-12</v>
      </c>
      <c r="AM83" s="59">
        <f t="shared" si="59"/>
        <v>293.3333333333353</v>
      </c>
      <c r="AN83" s="59">
        <f ca="1">AVERAGE(OFFSET($AM$3,0,0,'Données projet'!$E$10+1,1))-AVERAGE(OFFSET($H$3,0,0,'Données projet'!$E$10+1,1))</f>
        <v>388.12151914648013</v>
      </c>
      <c r="AO83" s="59">
        <f t="shared" si="90"/>
        <v>481.43684454382793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110.67519264081295</v>
      </c>
      <c r="AV83" s="21">
        <f>EXP(-LN(2)/25)*AV82+(1-EXP(-LN(2)/25))/(LN(2)/25)*Calculateur!AQ83*Calculateur!AS83*VLOOKUP('Données projet'!$B$10,Paramètres!$A$1:$I$89,3,0)*0.475*44/12</f>
        <v>31.701371532487531</v>
      </c>
      <c r="AW83" s="21">
        <f>EXP(-LN(2)/2)*AW82+(1-EXP(-LN(2)/2))/(LN(2)/2)*AQ83*AT83*VLOOKUP('Données projet'!$B$10,Paramètres!$A$1:$I$89,3,0)*0.475*44/12</f>
        <v>1.8873123057138633E-2</v>
      </c>
      <c r="AX83" s="21">
        <f t="shared" si="60"/>
        <v>142.39543729635764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330</v>
      </c>
      <c r="BB83" s="12">
        <f>VLOOKUP(A83,'Données projet'!$A$87:$I$107,9,0)</f>
        <v>3.6</v>
      </c>
      <c r="BC83" s="12">
        <f t="array" ref="BC83">INDEX(BB:BB,MIN(IF(ISNUMBER(BB83:BB279),ROW(BB83:BB279),"")))</f>
        <v>3.6</v>
      </c>
      <c r="BD83" s="12">
        <f>IF('Données projet'!$A$88&gt;35,BD82+BC83-BL82,IF(A83&lt;'Données projet'!$A$88,$BA$205^A83,IF(A83='Données projet'!$A$88,'Données projet'!$B$88,BD82+BC83-BL82)))</f>
        <v>330</v>
      </c>
      <c r="BE83" s="13">
        <f>BD83*VLOOKUP('Données projet'!$B$11,Paramètres!$A$1:$I$89,3,0)*VLOOKUP('Données projet'!$B$11,Paramètres!$A$1:$I$89,5,0)</f>
        <v>314.02799999999996</v>
      </c>
      <c r="BF83" s="13">
        <f t="shared" si="91"/>
        <v>74.109403804428752</v>
      </c>
      <c r="BG83" s="20">
        <f t="shared" si="61"/>
        <v>676.00597829271317</v>
      </c>
      <c r="BH83" s="59">
        <f t="shared" si="62"/>
        <v>969.33931162604654</v>
      </c>
      <c r="BI83" s="59">
        <f ca="1">AVERAGE(OFFSET($BH$3,0,0,'Données projet'!$E$11+1,1))-AVERAGE(OFFSET($H$3,0,0,'Données projet'!$E$11+1,1))</f>
        <v>415.24818074059294</v>
      </c>
      <c r="BJ83" s="59">
        <f t="shared" si="92"/>
        <v>404.45811532046872</v>
      </c>
      <c r="BK83" s="15">
        <f>IF(ISNA(VLOOKUP(A83,'Données projet'!$A$87:$I$107,3,0)),0,VLOOKUP(A83,'Données projet'!$A$87:$I$107,3,0))</f>
        <v>14</v>
      </c>
      <c r="BL83" s="21">
        <f>IF(ISNA(VLOOKUP(A83,'Données projet'!$A$87:$I$107,4,0)),0,VLOOKUP(A83,'Données projet'!$A$87:$I$107,4,0))</f>
        <v>330</v>
      </c>
      <c r="BM83" s="16">
        <f>IF(ISNA(VLOOKUP(A83,'Données projet'!$A$87:$I$107,5,0)),0%,VLOOKUP(A83,'Données projet'!$A$87:$I$107,5,0)*VLOOKUP('Données projet'!$B$11,Paramètres!$A$1:$I$89,7,0))</f>
        <v>0.1075</v>
      </c>
      <c r="BN83" s="16">
        <f>IF(ISNA(VLOOKUP(A83,'Données projet'!$A$87:$I$107,6,0)),0%,VLOOKUP(A83,'Données projet'!$A$87:$I$107,6,0)*VLOOKUP('Données projet'!$B$11,Paramètres!$A$1:$I$89,7,0))</f>
        <v>0.1075</v>
      </c>
      <c r="BO83" s="16">
        <f>IF(ISNA(VLOOKUP(A83,'Données projet'!$A$87:$I$107,7,0)),0%,VLOOKUP(A83,'Données projet'!$A$87:$I$107,7,0))</f>
        <v>0.25</v>
      </c>
      <c r="BP83" s="21">
        <f>EXP(-LN(2)/35)*BP82+(1-EXP(-LN(2)/35))/(LN(2)/35)*BL83*BM83*VLOOKUP('Données projet'!$B$11,Paramètres!$A$1:$I$89,3,0)*0.475*44/12</f>
        <v>50.4435875254552</v>
      </c>
      <c r="BQ83" s="21">
        <f>EXP(-LN(2)/25)*BQ82+(1-EXP(-LN(2)/25))/(LN(2)/25)*Calculateur!BL83*Calculateur!BN83*VLOOKUP('Données projet'!$B$11,Paramètres!$A$1:$I$89,3,0)*0.475*44/12</f>
        <v>49.804731028980733</v>
      </c>
      <c r="BR83" s="21">
        <f>EXP(-LN(2)/2)*BR82+(1-EXP(-LN(2)/2))/(LN(2)/2)*BL83*BO83*VLOOKUP('Données projet'!$B$11,Paramètres!$A$1:$I$89,3,0)*0.475*44/12</f>
        <v>74.660795950362072</v>
      </c>
      <c r="BS83" s="22">
        <f t="shared" si="63"/>
        <v>174.90911450479803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330</v>
      </c>
      <c r="BW83" s="12">
        <f>VLOOKUP(A83,'Données projet'!$A$113:$I$133,9,0)</f>
        <v>3.6</v>
      </c>
      <c r="BX83" s="12">
        <f t="array" ref="BX83">INDEX(BW:BW,MIN(IF(ISNUMBER(BW83:BW279),ROW(BW83:BW279),"")))</f>
        <v>3.6</v>
      </c>
      <c r="BY83" s="12">
        <f>IF('Données projet'!$A$114&gt;35,BY82+BX83-CG82,IF(A83&lt;'Données projet'!$A$114,$BV$205^A83,IF(A83='Données projet'!$A$114,'Données projet'!$B$114,BY82+BX83-CG82)))</f>
        <v>330</v>
      </c>
      <c r="BZ83" s="13">
        <f>BY83*VLOOKUP('Données projet'!$B$12,Paramètres!$A$1:$I$89,3,0)*VLOOKUP('Données projet'!$B$12,Paramètres!$A$1:$I$89,5,0)</f>
        <v>288.28800000000001</v>
      </c>
      <c r="CA83" s="13">
        <f t="shared" si="93"/>
        <v>68.715516926722444</v>
      </c>
      <c r="CB83" s="20">
        <f t="shared" si="64"/>
        <v>621.78112531404156</v>
      </c>
      <c r="CC83" s="59">
        <f t="shared" si="65"/>
        <v>915.11445864737493</v>
      </c>
      <c r="CD83" s="59">
        <f ca="1">AVERAGE(OFFSET($CC$3,0,0,'Données projet'!$E$12+1,1))-AVERAGE(OFFSET($H$3,0,0,'Données projet'!$E$12+1,1))</f>
        <v>384.34044781465661</v>
      </c>
      <c r="CE83" s="59">
        <f t="shared" si="94"/>
        <v>374.99493809709708</v>
      </c>
      <c r="CF83" s="15">
        <f>IF(ISNA(VLOOKUP(A83,'Données projet'!$A$113:$I$133,3,0)),0,VLOOKUP(A83,'Données projet'!$A$113:$I$133,3,0))</f>
        <v>14</v>
      </c>
      <c r="CG83" s="15">
        <f>IF(ISNA(VLOOKUP(A83,'Données projet'!$A$113:$I$133,4,0)),0,VLOOKUP(A83,'Données projet'!$A$113:$I$133,4,0))</f>
        <v>330</v>
      </c>
      <c r="CH83" s="16">
        <f>IF(ISNA(VLOOKUP(A83,'Données projet'!$A$113:$I$133,5,0)),0%,VLOOKUP(A83,'Données projet'!$A$113:$I$133,5,0)*VLOOKUP('Données projet'!$B$12,Paramètres!$A$1:$I$89,7,0))</f>
        <v>0.13250000000000001</v>
      </c>
      <c r="CI83" s="16">
        <f>IF(ISNA(VLOOKUP(A83,'Données projet'!$A$113:$I$133,6,0)),0%,VLOOKUP(A83,'Données projet'!$A$113:$I$133,6,0)*VLOOKUP('Données projet'!$B$12,Paramètres!$A$1:$I$89,7,0))</f>
        <v>0.13250000000000001</v>
      </c>
      <c r="CJ83" s="16">
        <f>IF(ISNA(VLOOKUP(A83,'Données projet'!$A$113:$I$133,7,0)),0%,VLOOKUP(A83,'Données projet'!$A$113:$I$133,7,0))</f>
        <v>0.25</v>
      </c>
      <c r="CK83" s="21">
        <f>EXP(-LN(2)/35)*CK82+(1-EXP(-LN(2)/35))/(LN(2)/35)*CG83*CH83*VLOOKUP('Données projet'!$B$12,Paramètres!$A$1:$I$89,3,0)*0.475*44/12</f>
        <v>57.078371244968004</v>
      </c>
      <c r="CL83" s="21">
        <f>EXP(-LN(2)/25)*CL82+(1-EXP(-LN(2)/25))/(LN(2)/25)*Calculateur!CG83*Calculateur!CI83*VLOOKUP('Données projet'!$B$12,Paramètres!$A$1:$I$89,3,0)*0.475*44/12</f>
        <v>56.35548673046695</v>
      </c>
      <c r="CM83" s="21">
        <f>EXP(-LN(2)/2)*CM82+(1-EXP(-LN(2)/2))/(LN(2)/2)*CG83*CJ83*VLOOKUP('Données projet'!$B$12,Paramètres!$A$1:$I$89,3,0)*0.475*44/12</f>
        <v>68.541058577381563</v>
      </c>
      <c r="CN83" s="22">
        <f t="shared" si="66"/>
        <v>181.97491655281652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5.6843418860808015E-13</v>
      </c>
      <c r="CU83" s="17">
        <f>CT83*VLOOKUP('Données projet'!$B$13,Paramètres!$A$1:$I$89,3,0)*VLOOKUP('Données projet'!$B$13,Paramètres!$A$1:$I$89,5,0)</f>
        <v>3.177547114319168E-13</v>
      </c>
      <c r="CV83" s="13">
        <f t="shared" si="95"/>
        <v>4.1725404435445377E-12</v>
      </c>
      <c r="CW83" s="20">
        <f t="shared" si="67"/>
        <v>7.820597394917325E-12</v>
      </c>
      <c r="CX83" s="59">
        <f t="shared" si="68"/>
        <v>293.33333333334116</v>
      </c>
      <c r="CY83" s="59">
        <f ca="1">AVERAGE(OFFSET($CX$3,0,0,'Données projet'!$E$13+1,1))-AVERAGE(OFFSET($H$3,0,0,'Données projet'!$E$13+1,1))</f>
        <v>386.66324266750968</v>
      </c>
      <c r="CZ83" s="59">
        <f t="shared" si="96"/>
        <v>356.22149461585769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189.29133151421289</v>
      </c>
      <c r="DG83" s="21">
        <f>EXP(-LN(2)/25)*DG82+(1-EXP(-LN(2)/25))/(LN(2)/25)*Calculateur!DB83*Calculateur!DD83*VLOOKUP('Données projet'!$B$13,Paramètres!$A$1:$I$89,3,0)*0.475*44/12</f>
        <v>58.171189882781761</v>
      </c>
      <c r="DH83" s="21">
        <f>EXP(-LN(2)/2)*DH82+(1-EXP(-LN(2)/2))/(LN(2)/2)*DB83*DE83*VLOOKUP('Données projet'!$B$13,Paramètres!$A$1:$I$89,3,0)*0.475*44/12</f>
        <v>2.3595476350881217</v>
      </c>
      <c r="DI83" s="22">
        <f t="shared" si="69"/>
        <v>249.82206903208277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330</v>
      </c>
      <c r="DM83" s="12">
        <f>VLOOKUP(A83,'Données projet'!$A$165:$I$185,9,0)</f>
        <v>3.6</v>
      </c>
      <c r="DN83" s="12">
        <f t="array" ref="DN83">INDEX(DM:DM,MIN(IF(ISNUMBER(DM83:DM279),ROW(DM83:DM279),"")))</f>
        <v>3.6</v>
      </c>
      <c r="DO83" s="12">
        <f>IF('Données projet'!$A$166&gt;35,DO82+DN83-DW82,IF(A83&lt;'Données projet'!$A$166,$DL$205^A83,IF(A83='Données projet'!$A$166,'Données projet'!$B$166,DO82+DN83-DW82)))</f>
        <v>330</v>
      </c>
      <c r="DP83" s="17">
        <f>DO83*VLOOKUP('Données projet'!$B$14,Paramètres!$A$1:$I$89,3,0)*VLOOKUP('Données projet'!$B$14,Paramètres!$A$1:$I$89,5,0)</f>
        <v>257.40000000000003</v>
      </c>
      <c r="DQ83" s="13">
        <f t="shared" si="97"/>
        <v>62.167839264733466</v>
      </c>
      <c r="DR83" s="20">
        <f t="shared" si="70"/>
        <v>556.58065338607753</v>
      </c>
      <c r="DS83" s="59">
        <f t="shared" si="71"/>
        <v>849.91398671941079</v>
      </c>
      <c r="DT83" s="59">
        <f ca="1">AVERAGE(OFFSET($DS$3,0,0,'Données projet'!$E$14+1,1))-AVERAGE(OFFSET($H$3,0,0,'Données projet'!$E$14+1,1))</f>
        <v>347.17417070871716</v>
      </c>
      <c r="DU83" s="59">
        <f t="shared" si="98"/>
        <v>339.56378046986441</v>
      </c>
      <c r="DV83" s="15">
        <f>IF(ISNA(VLOOKUP(A83,'Données projet'!$A$165:$I$185,3,0)),0,VLOOKUP(A83,'Données projet'!$A$165:$I$185,3,0))</f>
        <v>14</v>
      </c>
      <c r="DW83" s="15">
        <f>IF(ISNA(VLOOKUP(A83,'Données projet'!$A$165:$I$185,4,0)),0,VLOOKUP(A83,'Données projet'!$A$165:$I$185,4,0))</f>
        <v>330</v>
      </c>
      <c r="DX83" s="16">
        <f>IF(ISNA(VLOOKUP(A83,'Données projet'!$A$165:$I$185,5,0)),0%,VLOOKUP(A83,'Données projet'!$A$165:$I$185,5,0)*VLOOKUP('Données projet'!$B$14,Paramètres!$A$1:$I$89,7,0))</f>
        <v>0.1075</v>
      </c>
      <c r="DY83" s="16">
        <f>IF(ISNA(VLOOKUP(A83,'Données projet'!$A$165:$I$185,6,0)),0%,VLOOKUP(A83,'Données projet'!$A$165:$I$185,6,0)*VLOOKUP('Données projet'!$B$14,Paramètres!$A$1:$I$89,7,0))</f>
        <v>0.1075</v>
      </c>
      <c r="DZ83" s="16">
        <f>IF(ISNA(VLOOKUP(A83,'Données projet'!$A$165:$I$185,7,0)),0%,VLOOKUP(A83,'Données projet'!$A$165:$I$185,7,0))</f>
        <v>0.25</v>
      </c>
      <c r="EA83" s="21">
        <f>EXP(-LN(2)/35)*EA82+(1-EXP(-LN(2)/35))/(LN(2)/35)*DW83*DX83*VLOOKUP('Données projet'!$B$14,Paramètres!$A$1:$I$89,3,0)*0.475*44/12</f>
        <v>41.34720288971738</v>
      </c>
      <c r="EB83" s="21">
        <f>EXP(-LN(2)/25)*EB82+(1-EXP(-LN(2)/25))/(LN(2)/25)*Calculateur!DW83*Calculateur!DY83*VLOOKUP('Données projet'!$B$14,Paramètres!$A$1:$I$89,3,0)*0.475*44/12</f>
        <v>40.823550023754692</v>
      </c>
      <c r="EC83" s="21">
        <f>EXP(-LN(2)/2)*EC82+(1-EXP(-LN(2)/2))/(LN(2)/2)*DW83*DZ83*VLOOKUP('Données projet'!$B$14,Paramètres!$A$1:$I$89,3,0)*0.475*44/12</f>
        <v>61.197373729804973</v>
      </c>
      <c r="ED83" s="22">
        <f t="shared" si="72"/>
        <v>143.36812664327704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330</v>
      </c>
      <c r="EH83" s="12">
        <f>VLOOKUP(A83,'Données projet'!$A$191:$I$211,9,0)</f>
        <v>3.6</v>
      </c>
      <c r="EI83" s="12">
        <f t="array" ref="EI83">INDEX(EH:EH,MIN(IF(ISNUMBER(EH83:EH279),ROW(EH83:EH279),"")))</f>
        <v>3.6</v>
      </c>
      <c r="EJ83" s="12">
        <f>IF('Données projet'!$A$192&gt;35,EJ82+EI83-ER82,IF(A83&lt;'Données projet'!$A$192,$EG$205^A83,IF(A83='Données projet'!$A$192,'Données projet'!$B$192,EJ82+EI83-ER82)))</f>
        <v>330</v>
      </c>
      <c r="EK83" s="17">
        <f>EJ83*VLOOKUP('Données projet'!$B$15,Paramètres!$A$1:$I$89,3,0)*VLOOKUP('Données projet'!$B$15,Paramètres!$A$1:$I$89,5,0)</f>
        <v>288.28800000000001</v>
      </c>
      <c r="EL83" s="13">
        <f t="shared" si="99"/>
        <v>68.715516926722444</v>
      </c>
      <c r="EM83" s="20">
        <f t="shared" si="73"/>
        <v>621.78112531404156</v>
      </c>
      <c r="EN83" s="59">
        <f t="shared" si="74"/>
        <v>915.11445864737493</v>
      </c>
      <c r="EO83" s="59">
        <f ca="1">AVERAGE(OFFSET($EN$3,0,0,'Données projet'!$E$15+1,1))-AVERAGE(OFFSET($H$3,0,0,'Données projet'!$E$15+1,1))</f>
        <v>384.34044781465661</v>
      </c>
      <c r="EP83" s="59">
        <f t="shared" si="100"/>
        <v>374.99493809709708</v>
      </c>
      <c r="EQ83" s="15">
        <f>IF(ISNA(VLOOKUP(A83,'Données projet'!$A$191:$I$211,3,0)),0,VLOOKUP(A83,'Données projet'!$A$191:$I$211,3,0))</f>
        <v>14</v>
      </c>
      <c r="ER83" s="15">
        <f>IF(ISNA(VLOOKUP(A83,'Données projet'!$A$191:$I$211,4,0)),0,VLOOKUP(A83,'Données projet'!$A$191:$I$211,4,0))</f>
        <v>330</v>
      </c>
      <c r="ES83" s="16">
        <f>IF(ISNA(VLOOKUP(A83,'Données projet'!$A$191:$I$211,5,0)),0%,VLOOKUP(A83,'Données projet'!$A$191:$I$211,5,0)*VLOOKUP('Données projet'!$B$15,Paramètres!$A$1:$I$89,7,0))</f>
        <v>0.1075</v>
      </c>
      <c r="ET83" s="16">
        <f>IF(ISNA(VLOOKUP(A83,'Données projet'!$A$191:$I$211,6,0)),0%,VLOOKUP(A83,'Données projet'!$A$191:$I$211,6,0)*VLOOKUP('Données projet'!$B$15,Paramètres!$A$1:$I$89,7,0))</f>
        <v>0.1075</v>
      </c>
      <c r="EU83" s="16">
        <f>IF(ISNA(VLOOKUP(A83,'Données projet'!$A$191:$I$211,7,0)),0%,VLOOKUP(A83,'Données projet'!$A$191:$I$211,7,0))</f>
        <v>0.25</v>
      </c>
      <c r="EV83" s="21">
        <f>EXP(-LN(2)/35)*EV82+(1-EXP(-LN(2)/35))/(LN(2)/35)*ER83*ES83*VLOOKUP('Données projet'!$B$15,Paramètres!$A$1:$I$89,3,0)*0.475*44/12</f>
        <v>46.308867236483472</v>
      </c>
      <c r="EW83" s="21">
        <f>EXP(-LN(2)/25)*EW82+(1-EXP(-LN(2)/25))/(LN(2)/25)*Calculateur!ER83*Calculateur!ET83*VLOOKUP('Données projet'!$B$15,Paramètres!$A$1:$I$89,3,0)*0.475*44/12</f>
        <v>45.722376026605268</v>
      </c>
      <c r="EX83" s="21">
        <f>EXP(-LN(2)/2)*EX82+(1-EXP(-LN(2)/2))/(LN(2)/2)*ER83*EU83*VLOOKUP('Données projet'!$B$15,Paramètres!$A$1:$I$89,3,0)*0.475*44/12</f>
        <v>68.541058577381563</v>
      </c>
      <c r="EY83" s="22">
        <f t="shared" si="75"/>
        <v>160.57230184047029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330</v>
      </c>
      <c r="FC83" s="12">
        <f>VLOOKUP(A83,'Données projet'!$A$217:$I$237,9,0)</f>
        <v>3.6</v>
      </c>
      <c r="FD83" s="12">
        <f t="array" ref="FD83">INDEX(FC:FC,MIN(IF(ISNUMBER(FC83:FC279),ROW(FC83:FC279),"")))</f>
        <v>3.6</v>
      </c>
      <c r="FE83" s="12">
        <f>IF('Données projet'!$A$218&gt;35,FE82+FD83-FM82,IF(A83&lt;'Données projet'!$A$218,$FB$205^A83,IF(A83='Données projet'!$A$218,'Données projet'!$B$218,FE82+FD83-FM82)))</f>
        <v>330</v>
      </c>
      <c r="FF83" s="17">
        <f>FE83*VLOOKUP('Données projet'!$B$16,Paramètres!$A$1:$I$89,3,0)*VLOOKUP('Données projet'!$B$16,Paramètres!$A$1:$I$89,5,0)</f>
        <v>267.69600000000003</v>
      </c>
      <c r="FG83" s="13">
        <f t="shared" si="101"/>
        <v>64.360058723585496</v>
      </c>
      <c r="FH83" s="20">
        <f t="shared" si="76"/>
        <v>578.33096894357811</v>
      </c>
      <c r="FI83" s="59">
        <f t="shared" si="77"/>
        <v>871.66430227691149</v>
      </c>
      <c r="FJ83" s="59">
        <f ca="1">AVERAGE(OFFSET($FI$3,0,0,'Données projet'!$E$16+1,1))-AVERAGE(OFFSET($H$3,0,0,'Données projet'!$E$16+1,1))</f>
        <v>359.57284550600366</v>
      </c>
      <c r="FK83" s="59">
        <f t="shared" si="102"/>
        <v>351.38386928091433</v>
      </c>
      <c r="FL83" s="15">
        <f>IF(ISNA(VLOOKUP(A83,'Données projet'!$A$217:$I$237,3,0)),0,VLOOKUP(A83,'Données projet'!$A$217:$I$237,3,0))</f>
        <v>14</v>
      </c>
      <c r="FM83" s="15">
        <f>IF(ISNA(VLOOKUP(A83,'Données projet'!$A$217:$I$237,4,0)),0,VLOOKUP(A83,'Données projet'!$A$217:$I$237,4,0))</f>
        <v>330</v>
      </c>
      <c r="FN83" s="16">
        <f>IF(ISNA(VLOOKUP(A83,'Données projet'!$A$217:$I$237,5,0)),0%,VLOOKUP(A83,'Données projet'!$A$217:$I$237,5,0)*VLOOKUP('Données projet'!$B$16,Paramètres!$A$1:$I$89,7,0))</f>
        <v>0.1075</v>
      </c>
      <c r="FO83" s="16">
        <f>IF(ISNA(VLOOKUP(A83,'Données projet'!$A$217:$I$237,6,0)),0%,VLOOKUP(A83,'Données projet'!$A$217:$I$237,6,0)*VLOOKUP('Données projet'!$B$16,Paramètres!$A$1:$I$89,7,0))</f>
        <v>0.1075</v>
      </c>
      <c r="FP83" s="16">
        <f>IF(ISNA(VLOOKUP(A83,'Données projet'!$A$217:$I$237,7,0)),0%,VLOOKUP(A83,'Données projet'!$A$217:$I$237,7,0))</f>
        <v>0.25</v>
      </c>
      <c r="FQ83" s="21">
        <f>EXP(-LN(2)/35)*FQ82+(1-EXP(-LN(2)/35))/(LN(2)/35)*FM83*FN83*VLOOKUP('Données projet'!$B$16,Paramètres!$A$1:$I$89,3,0)*0.475*44/12</f>
        <v>43.00109100530608</v>
      </c>
      <c r="FR83" s="21">
        <f>EXP(-LN(2)/25)*FR82+(1-EXP(-LN(2)/25))/(LN(2)/25)*Calculateur!FM83*Calculateur!FO83*VLOOKUP('Données projet'!$B$16,Paramètres!$A$1:$I$89,3,0)*0.475*44/12</f>
        <v>42.456492024704886</v>
      </c>
      <c r="FS83" s="21">
        <f>EXP(-LN(2)/2)*FS82+(1-EXP(-LN(2)/2))/(LN(2)/2)*FM83*FP83*VLOOKUP('Données projet'!$B$16,Paramètres!$A$1:$I$89,3,0)*0.475*44/12</f>
        <v>63.645268678997184</v>
      </c>
      <c r="FT83" s="22">
        <f t="shared" si="78"/>
        <v>149.10285170900815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6">
        <f t="shared" si="56"/>
        <v>256.66666666666669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12.082500000000003</v>
      </c>
      <c r="N84" s="13">
        <f>IF('Données projet'!$A$36&gt;35,N83+M84-V83,IF(A84&lt;'Données projet'!$A$36,$K$205^A84,IF(A84='Données projet'!$A$36,'Données projet'!$B$36,N83+M84-V83)))</f>
        <v>424.08749999999998</v>
      </c>
      <c r="O84" s="13">
        <f>N84*VLOOKUP('Données projet'!$B$9,Paramètres!$A$1:$I$89,3,0)*VLOOKUP('Données projet'!$B$9,Paramètres!$A$1:$I$89,5,0)</f>
        <v>383.71436999999997</v>
      </c>
      <c r="P84" s="13">
        <f t="shared" si="87"/>
        <v>88.467059030009779</v>
      </c>
      <c r="Q84" s="20">
        <f t="shared" si="54"/>
        <v>822.38265556060048</v>
      </c>
      <c r="R84" s="59">
        <f t="shared" si="55"/>
        <v>1115.7159888939339</v>
      </c>
      <c r="S84" s="59">
        <f ca="1">AVERAGE(OFFSET($R$3,0,0,'Données projet'!$E$9+1,1))-AVERAGE(OFFSET($H$3,0,0,'Données projet'!$E$9+1,1))</f>
        <v>695.0879239758051</v>
      </c>
      <c r="T84" s="59">
        <f t="shared" si="88"/>
        <v>226.22150997227476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24.703744254440174</v>
      </c>
      <c r="AA84" s="21">
        <f>EXP(-LN(2)/25)*AA83+(1-EXP(-LN(2)/25))/(LN(2)/25)*Calculateur!V84*Calculateur!X84*VLOOKUP('Données projet'!$B$9,Paramètres!$A$1:$I$89,3,0)*0.475*44/12</f>
        <v>33.048326167159757</v>
      </c>
      <c r="AB84" s="21">
        <f>EXP(-LN(2)/2)*AB83+(1-EXP(-LN(2)/2))/(LN(2)/2)*V84*Y84*VLOOKUP('Données projet'!$B$9,Paramètres!$A$1:$I$89,3,0)*0.475*44/12</f>
        <v>0.60640207855755623</v>
      </c>
      <c r="AC84" s="22">
        <f t="shared" si="57"/>
        <v>58.35847250015749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1.1368683772161603E-13</v>
      </c>
      <c r="AJ84" s="13">
        <f>AI84*VLOOKUP('Données projet'!$B$10,Paramètres!$A$1:$I$89,3,0)*VLOOKUP('Données projet'!$B$10,Paramètres!$A$1:$I$89,5,0)</f>
        <v>6.7984728957526396E-14</v>
      </c>
      <c r="AK84" s="13">
        <f t="shared" si="89"/>
        <v>1.0682447123141398E-12</v>
      </c>
      <c r="AL84" s="20">
        <f t="shared" si="58"/>
        <v>1.978932943548152E-12</v>
      </c>
      <c r="AM84" s="59">
        <f t="shared" si="59"/>
        <v>293.3333333333353</v>
      </c>
      <c r="AN84" s="59">
        <f ca="1">AVERAGE(OFFSET($AM$3,0,0,'Données projet'!$E$10+1,1))-AVERAGE(OFFSET($H$3,0,0,'Données projet'!$E$10+1,1))</f>
        <v>388.12151914648013</v>
      </c>
      <c r="AO84" s="59">
        <f t="shared" si="90"/>
        <v>481.43684454382793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108.50491961832853</v>
      </c>
      <c r="AV84" s="21">
        <f>EXP(-LN(2)/25)*AV83+(1-EXP(-LN(2)/25))/(LN(2)/25)*Calculateur!AQ84*Calculateur!AS84*VLOOKUP('Données projet'!$B$10,Paramètres!$A$1:$I$89,3,0)*0.475*44/12</f>
        <v>30.834495860828984</v>
      </c>
      <c r="AW84" s="21">
        <f>EXP(-LN(2)/2)*AW83+(1-EXP(-LN(2)/2))/(LN(2)/2)*AQ84*AT84*VLOOKUP('Données projet'!$B$10,Paramètres!$A$1:$I$89,3,0)*0.475*44/12</f>
        <v>1.3345313295870912E-2</v>
      </c>
      <c r="AX84" s="21">
        <f t="shared" si="60"/>
        <v>139.35276079245338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415.24818074059294</v>
      </c>
      <c r="BJ84" s="59">
        <f t="shared" si="92"/>
        <v>404.45811532046872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49.454419541631374</v>
      </c>
      <c r="BQ84" s="21">
        <f>EXP(-LN(2)/25)*BQ83+(1-EXP(-LN(2)/25))/(LN(2)/25)*Calculateur!BL84*Calculateur!BN84*VLOOKUP('Données projet'!$B$11,Paramètres!$A$1:$I$89,3,0)*0.475*44/12</f>
        <v>48.442818039876279</v>
      </c>
      <c r="BR84" s="21">
        <f>EXP(-LN(2)/2)*BR83+(1-EXP(-LN(2)/2))/(LN(2)/2)*BL84*BO84*VLOOKUP('Données projet'!$B$11,Paramètres!$A$1:$I$89,3,0)*0.475*44/12</f>
        <v>52.793155105286154</v>
      </c>
      <c r="BS84" s="22">
        <f t="shared" si="63"/>
        <v>150.69039268679381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>
        <f>BY84*VLOOKUP('Données projet'!$B$12,Paramètres!$A$1:$I$89,3,0)*VLOOKUP('Données projet'!$B$12,Paramètres!$A$1:$I$89,5,0)</f>
        <v>0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384.34044781465661</v>
      </c>
      <c r="CE84" s="59">
        <f t="shared" si="94"/>
        <v>374.99493809709708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55.959099199223004</v>
      </c>
      <c r="CL84" s="21">
        <f>EXP(-LN(2)/25)*CL83+(1-EXP(-LN(2)/25))/(LN(2)/25)*Calculateur!CG84*Calculateur!CI84*VLOOKUP('Données projet'!$B$12,Paramètres!$A$1:$I$89,3,0)*0.475*44/12</f>
        <v>54.814442982216086</v>
      </c>
      <c r="CM84" s="21">
        <f>EXP(-LN(2)/2)*CM83+(1-EXP(-LN(2)/2))/(LN(2)/2)*CG84*CJ84*VLOOKUP('Données projet'!$B$12,Paramètres!$A$1:$I$89,3,0)*0.475*44/12</f>
        <v>48.465847309770886</v>
      </c>
      <c r="CN84" s="22">
        <f t="shared" si="66"/>
        <v>159.23938949120998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5.6843418860808015E-13</v>
      </c>
      <c r="CU84" s="17">
        <f>CT84*VLOOKUP('Données projet'!$B$13,Paramètres!$A$1:$I$89,3,0)*VLOOKUP('Données projet'!$B$13,Paramètres!$A$1:$I$89,5,0)</f>
        <v>3.177547114319168E-13</v>
      </c>
      <c r="CV84" s="13">
        <f t="shared" si="95"/>
        <v>4.1725404435445377E-12</v>
      </c>
      <c r="CW84" s="20">
        <f t="shared" si="67"/>
        <v>7.820597394917325E-12</v>
      </c>
      <c r="CX84" s="59">
        <f t="shared" si="68"/>
        <v>293.33333333334116</v>
      </c>
      <c r="CY84" s="59">
        <f ca="1">AVERAGE(OFFSET($CX$3,0,0,'Données projet'!$E$13+1,1))-AVERAGE(OFFSET($H$3,0,0,'Données projet'!$E$13+1,1))</f>
        <v>386.66324266750968</v>
      </c>
      <c r="CZ84" s="59">
        <f t="shared" si="96"/>
        <v>356.22149461585769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185.57944395953103</v>
      </c>
      <c r="DG84" s="21">
        <f>EXP(-LN(2)/25)*DG83+(1-EXP(-LN(2)/25))/(LN(2)/25)*Calculateur!DB84*Calculateur!DD84*VLOOKUP('Données projet'!$B$13,Paramètres!$A$1:$I$89,3,0)*0.475*44/12</f>
        <v>56.580495636347166</v>
      </c>
      <c r="DH84" s="21">
        <f>EXP(-LN(2)/2)*DH83+(1-EXP(-LN(2)/2))/(LN(2)/2)*DB84*DE84*VLOOKUP('Données projet'!$B$13,Paramètres!$A$1:$I$89,3,0)*0.475*44/12</f>
        <v>1.6684521333034923</v>
      </c>
      <c r="DI84" s="22">
        <f t="shared" si="69"/>
        <v>243.8283917291817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>
        <f>DO84*VLOOKUP('Données projet'!$B$14,Paramètres!$A$1:$I$89,3,0)*VLOOKUP('Données projet'!$B$14,Paramètres!$A$1:$I$89,5,0)</f>
        <v>0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347.17417070871716</v>
      </c>
      <c r="DU84" s="59">
        <f t="shared" si="98"/>
        <v>339.56378046986441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40.536409460353589</v>
      </c>
      <c r="EB84" s="21">
        <f>EXP(-LN(2)/25)*EB83+(1-EXP(-LN(2)/25))/(LN(2)/25)*Calculateur!DW84*Calculateur!DY84*VLOOKUP('Données projet'!$B$14,Paramètres!$A$1:$I$89,3,0)*0.475*44/12</f>
        <v>39.707227901537927</v>
      </c>
      <c r="EC84" s="21">
        <f>EXP(-LN(2)/2)*EC83+(1-EXP(-LN(2)/2))/(LN(2)/2)*DW84*DZ84*VLOOKUP('Données projet'!$B$14,Paramètres!$A$1:$I$89,3,0)*0.475*44/12</f>
        <v>43.27307795515258</v>
      </c>
      <c r="ED84" s="22">
        <f t="shared" si="72"/>
        <v>123.51671531704409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>
        <f>EJ84*VLOOKUP('Données projet'!$B$15,Paramètres!$A$1:$I$89,3,0)*VLOOKUP('Données projet'!$B$15,Paramètres!$A$1:$I$89,5,0)</f>
        <v>0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384.34044781465661</v>
      </c>
      <c r="EP84" s="59">
        <f t="shared" si="100"/>
        <v>374.99493809709708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45.400778595596023</v>
      </c>
      <c r="EW84" s="21">
        <f>EXP(-LN(2)/25)*EW83+(1-EXP(-LN(2)/25))/(LN(2)/25)*Calculateur!ER84*Calculateur!ET84*VLOOKUP('Données projet'!$B$15,Paramètres!$A$1:$I$89,3,0)*0.475*44/12</f>
        <v>44.472095249722493</v>
      </c>
      <c r="EX84" s="21">
        <f>EXP(-LN(2)/2)*EX83+(1-EXP(-LN(2)/2))/(LN(2)/2)*ER84*EU84*VLOOKUP('Données projet'!$B$15,Paramètres!$A$1:$I$89,3,0)*0.475*44/12</f>
        <v>48.465847309770886</v>
      </c>
      <c r="EY84" s="22">
        <f t="shared" si="75"/>
        <v>138.33872115508939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>
        <f>FE84*VLOOKUP('Données projet'!$B$16,Paramètres!$A$1:$I$89,3,0)*VLOOKUP('Données projet'!$B$16,Paramètres!$A$1:$I$89,5,0)</f>
        <v>0</v>
      </c>
      <c r="FG84" s="13" t="e">
        <f t="shared" si="101"/>
        <v>#NUM!</v>
      </c>
      <c r="FH84" s="20" t="e">
        <f t="shared" si="76"/>
        <v>#NUM!</v>
      </c>
      <c r="FI84" s="59" t="e">
        <f t="shared" si="77"/>
        <v>#NUM!</v>
      </c>
      <c r="FJ84" s="59">
        <f ca="1">AVERAGE(OFFSET($FI$3,0,0,'Données projet'!$E$16+1,1))-AVERAGE(OFFSET($H$3,0,0,'Données projet'!$E$16+1,1))</f>
        <v>359.57284550600366</v>
      </c>
      <c r="FK84" s="59">
        <f t="shared" si="102"/>
        <v>351.38386928091433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42.157865838767734</v>
      </c>
      <c r="FR84" s="21">
        <f>EXP(-LN(2)/25)*FR83+(1-EXP(-LN(2)/25))/(LN(2)/25)*Calculateur!FM84*Calculateur!FO84*VLOOKUP('Données projet'!$B$16,Paramètres!$A$1:$I$89,3,0)*0.475*44/12</f>
        <v>41.295517017599451</v>
      </c>
      <c r="FS84" s="21">
        <f>EXP(-LN(2)/2)*FS83+(1-EXP(-LN(2)/2))/(LN(2)/2)*FM84*FP84*VLOOKUP('Données projet'!$B$16,Paramètres!$A$1:$I$89,3,0)*0.475*44/12</f>
        <v>45.004001073358694</v>
      </c>
      <c r="FT84" s="22">
        <f t="shared" si="78"/>
        <v>128.45738392972589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6">
        <f t="shared" si="56"/>
        <v>256.66666666666669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>
        <f>VLOOKUP(A85,'Données projet'!$A$35:$I$55,2,0)</f>
        <v>436.17</v>
      </c>
      <c r="L85" s="12">
        <f>VLOOKUP(A85,'Données projet'!$A$35:$I$55,9,0)</f>
        <v>12.082500000000003</v>
      </c>
      <c r="M85" s="12">
        <f t="array" ref="M85">INDEX(L:L,MIN(IF(ISNUMBER(L85:L281),ROW(L85:L281),"")))</f>
        <v>12.082500000000003</v>
      </c>
      <c r="N85" s="13">
        <f>IF('Données projet'!$A$36&gt;35,N84+M85-V84,IF(A85&lt;'Données projet'!$A$36,$K$205^A85,IF(A85='Données projet'!$A$36,'Données projet'!$B$36,N84+M85-V84)))</f>
        <v>436.16999999999996</v>
      </c>
      <c r="O85" s="13">
        <f>N85*VLOOKUP('Données projet'!$B$9,Paramètres!$A$1:$I$89,3,0)*VLOOKUP('Données projet'!$B$9,Paramètres!$A$1:$I$89,5,0)</f>
        <v>394.64661599999999</v>
      </c>
      <c r="P85" s="13">
        <f t="shared" si="87"/>
        <v>90.690499158874985</v>
      </c>
      <c r="Q85" s="20">
        <f t="shared" si="54"/>
        <v>845.29547556837406</v>
      </c>
      <c r="R85" s="59">
        <f t="shared" si="55"/>
        <v>1138.6288089017073</v>
      </c>
      <c r="S85" s="59">
        <f ca="1">AVERAGE(OFFSET($R$3,0,0,'Données projet'!$E$9+1,1))-AVERAGE(OFFSET($H$3,0,0,'Données projet'!$E$9+1,1))</f>
        <v>695.0879239758051</v>
      </c>
      <c r="T85" s="59">
        <f t="shared" si="88"/>
        <v>226.22150997227476</v>
      </c>
      <c r="U85" s="15">
        <f>IF(ISNA(VLOOKUP(A85,'Données projet'!$A$35:$I$55,3,0)),0,VLOOKUP(A85,'Données projet'!$A$35:$I$55,3,0))</f>
        <v>7</v>
      </c>
      <c r="V85" s="15">
        <f>IF(ISNA(VLOOKUP(A85,'Données projet'!$A$35:$I$55,4,0)),0,VLOOKUP(A85,'Données projet'!$A$35:$I$55,4,0))</f>
        <v>58.140000000000043</v>
      </c>
      <c r="W85" s="16">
        <f>IF(ISNA(VLOOKUP(A85,'Données projet'!$A$35:$I$55,5,0)),0%,VLOOKUP(A85,'Données projet'!$A$35:$I$55,5,0)*VLOOKUP('Données projet'!$B$9,Paramètres!$A$1:$I$89,7,0))</f>
        <v>0.15049999999999999</v>
      </c>
      <c r="X85" s="16">
        <f>IF(ISNA(VLOOKUP(A85,'Données projet'!$A$35:$I$55,6,0)),0%,VLOOKUP(A85,'Données projet'!$A$35:$I$55,6,0)*VLOOKUP('Données projet'!$B$9,Paramètres!$A$1:$I$89,7,0))</f>
        <v>8.6000000000000007E-2</v>
      </c>
      <c r="Y85" s="16">
        <f>IF(ISNA(VLOOKUP(A85,'Données projet'!$A$35:$I$55,7,0)),0%,VLOOKUP(A85,'Données projet'!$A$35:$I$55,7,0))</f>
        <v>0.1</v>
      </c>
      <c r="Z85" s="21">
        <f>EXP(-LN(2)/35)*Z84+(1-EXP(-LN(2)/35))/(LN(2)/35)*V85*W85*VLOOKUP('Données projet'!$B$9,Paramètres!$A$1:$I$89,3,0)*0.475*44/12</f>
        <v>32.971397908241109</v>
      </c>
      <c r="AA85" s="21">
        <f>EXP(-LN(2)/25)*AA84+(1-EXP(-LN(2)/25))/(LN(2)/25)*Calculateur!V85*Calculateur!X85*VLOOKUP('Données projet'!$B$9,Paramètres!$A$1:$I$89,3,0)*0.475*44/12</f>
        <v>37.126114373591477</v>
      </c>
      <c r="AB85" s="21">
        <f>EXP(-LN(2)/2)*AB84+(1-EXP(-LN(2)/2))/(LN(2)/2)*V85*Y85*VLOOKUP('Données projet'!$B$9,Paramètres!$A$1:$I$89,3,0)*0.475*44/12</f>
        <v>5.3922211495490986</v>
      </c>
      <c r="AC85" s="22">
        <f t="shared" si="57"/>
        <v>75.489733431381694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1.1368683772161603E-13</v>
      </c>
      <c r="AJ85" s="13">
        <f>AI85*VLOOKUP('Données projet'!$B$10,Paramètres!$A$1:$I$89,3,0)*VLOOKUP('Données projet'!$B$10,Paramètres!$A$1:$I$89,5,0)</f>
        <v>6.7984728957526396E-14</v>
      </c>
      <c r="AK85" s="13">
        <f t="shared" si="89"/>
        <v>1.0682447123141398E-12</v>
      </c>
      <c r="AL85" s="20">
        <f t="shared" si="58"/>
        <v>1.978932943548152E-12</v>
      </c>
      <c r="AM85" s="59">
        <f t="shared" si="59"/>
        <v>293.3333333333353</v>
      </c>
      <c r="AN85" s="59">
        <f ca="1">AVERAGE(OFFSET($AM$3,0,0,'Données projet'!$E$10+1,1))-AVERAGE(OFFSET($H$3,0,0,'Données projet'!$E$10+1,1))</f>
        <v>388.12151914648013</v>
      </c>
      <c r="AO85" s="59">
        <f t="shared" si="90"/>
        <v>481.43684454382793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106.37720432607919</v>
      </c>
      <c r="AV85" s="21">
        <f>EXP(-LN(2)/25)*AV84+(1-EXP(-LN(2)/25))/(LN(2)/25)*Calculateur!AQ85*Calculateur!AS85*VLOOKUP('Données projet'!$B$10,Paramètres!$A$1:$I$89,3,0)*0.475*44/12</f>
        <v>29.991324949998951</v>
      </c>
      <c r="AW85" s="21">
        <f>EXP(-LN(2)/2)*AW84+(1-EXP(-LN(2)/2))/(LN(2)/2)*AQ85*AT85*VLOOKUP('Données projet'!$B$10,Paramètres!$A$1:$I$89,3,0)*0.475*44/12</f>
        <v>9.4365615285693163E-3</v>
      </c>
      <c r="AX85" s="21">
        <f t="shared" si="60"/>
        <v>136.37796583760669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415.24818074059294</v>
      </c>
      <c r="BJ85" s="59">
        <f t="shared" si="92"/>
        <v>404.45811532046872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48.484648538637437</v>
      </c>
      <c r="BQ85" s="21">
        <f>EXP(-LN(2)/25)*BQ84+(1-EXP(-LN(2)/25))/(LN(2)/25)*Calculateur!BL85*Calculateur!BN85*VLOOKUP('Données projet'!$B$11,Paramètres!$A$1:$I$89,3,0)*0.475*44/12</f>
        <v>47.11814663307878</v>
      </c>
      <c r="BR85" s="21">
        <f>EXP(-LN(2)/2)*BR84+(1-EXP(-LN(2)/2))/(LN(2)/2)*BL85*BO85*VLOOKUP('Données projet'!$B$11,Paramètres!$A$1:$I$89,3,0)*0.475*44/12</f>
        <v>37.330397975181043</v>
      </c>
      <c r="BS85" s="22">
        <f t="shared" si="63"/>
        <v>132.93319314689728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>
        <f>BY85*VLOOKUP('Données projet'!$B$12,Paramètres!$A$1:$I$89,3,0)*VLOOKUP('Données projet'!$B$12,Paramètres!$A$1:$I$89,5,0)</f>
        <v>0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384.34044781465661</v>
      </c>
      <c r="CE85" s="59">
        <f t="shared" si="94"/>
        <v>374.99493809709708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54.861775395606529</v>
      </c>
      <c r="CL85" s="21">
        <f>EXP(-LN(2)/25)*CL84+(1-EXP(-LN(2)/25))/(LN(2)/25)*Calculateur!CG85*Calculateur!CI85*VLOOKUP('Données projet'!$B$12,Paramètres!$A$1:$I$89,3,0)*0.475*44/12</f>
        <v>53.315539156301114</v>
      </c>
      <c r="CM85" s="21">
        <f>EXP(-LN(2)/2)*CM84+(1-EXP(-LN(2)/2))/(LN(2)/2)*CG85*CJ85*VLOOKUP('Données projet'!$B$12,Paramètres!$A$1:$I$89,3,0)*0.475*44/12</f>
        <v>34.270529288690788</v>
      </c>
      <c r="CN85" s="22">
        <f t="shared" si="66"/>
        <v>142.44784384059844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5.6843418860808015E-13</v>
      </c>
      <c r="CU85" s="17">
        <f>CT85*VLOOKUP('Données projet'!$B$13,Paramètres!$A$1:$I$89,3,0)*VLOOKUP('Données projet'!$B$13,Paramètres!$A$1:$I$89,5,0)</f>
        <v>3.177547114319168E-13</v>
      </c>
      <c r="CV85" s="13">
        <f t="shared" si="95"/>
        <v>4.1725404435445377E-12</v>
      </c>
      <c r="CW85" s="20">
        <f t="shared" si="67"/>
        <v>7.820597394917325E-12</v>
      </c>
      <c r="CX85" s="59">
        <f t="shared" si="68"/>
        <v>293.33333333334116</v>
      </c>
      <c r="CY85" s="59">
        <f ca="1">AVERAGE(OFFSET($CX$3,0,0,'Données projet'!$E$13+1,1))-AVERAGE(OFFSET($H$3,0,0,'Données projet'!$E$13+1,1))</f>
        <v>386.66324266750968</v>
      </c>
      <c r="CZ85" s="59">
        <f t="shared" si="96"/>
        <v>356.22149461585769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181.94034425576862</v>
      </c>
      <c r="DG85" s="21">
        <f>EXP(-LN(2)/25)*DG84+(1-EXP(-LN(2)/25))/(LN(2)/25)*Calculateur!DB85*Calculateur!DD85*VLOOKUP('Données projet'!$B$13,Paramètres!$A$1:$I$89,3,0)*0.475*44/12</f>
        <v>55.033299007732303</v>
      </c>
      <c r="DH85" s="21">
        <f>EXP(-LN(2)/2)*DH84+(1-EXP(-LN(2)/2))/(LN(2)/2)*DB85*DE85*VLOOKUP('Données projet'!$B$13,Paramètres!$A$1:$I$89,3,0)*0.475*44/12</f>
        <v>1.1797738175440611</v>
      </c>
      <c r="DI85" s="22">
        <f t="shared" si="69"/>
        <v>238.15341708104498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>
        <f>DO85*VLOOKUP('Données projet'!$B$14,Paramètres!$A$1:$I$89,3,0)*VLOOKUP('Données projet'!$B$14,Paramètres!$A$1:$I$89,5,0)</f>
        <v>0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347.17417070871716</v>
      </c>
      <c r="DU85" s="59">
        <f t="shared" si="98"/>
        <v>339.56378046986441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39.741515195604457</v>
      </c>
      <c r="EB85" s="21">
        <f>EXP(-LN(2)/25)*EB84+(1-EXP(-LN(2)/25))/(LN(2)/25)*Calculateur!DW85*Calculateur!DY85*VLOOKUP('Données projet'!$B$14,Paramètres!$A$1:$I$89,3,0)*0.475*44/12</f>
        <v>38.621431666458008</v>
      </c>
      <c r="EC85" s="21">
        <f>EXP(-LN(2)/2)*EC84+(1-EXP(-LN(2)/2))/(LN(2)/2)*DW85*DZ85*VLOOKUP('Données projet'!$B$14,Paramètres!$A$1:$I$89,3,0)*0.475*44/12</f>
        <v>30.59868686490249</v>
      </c>
      <c r="ED85" s="22">
        <f t="shared" si="72"/>
        <v>108.96163372696496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>
        <f>EJ85*VLOOKUP('Données projet'!$B$15,Paramètres!$A$1:$I$89,3,0)*VLOOKUP('Données projet'!$B$15,Paramètres!$A$1:$I$89,5,0)</f>
        <v>0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384.34044781465661</v>
      </c>
      <c r="EP85" s="59">
        <f t="shared" si="100"/>
        <v>374.99493809709708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44.510497019076993</v>
      </c>
      <c r="EW85" s="21">
        <f>EXP(-LN(2)/25)*EW84+(1-EXP(-LN(2)/25))/(LN(2)/25)*Calculateur!ER85*Calculateur!ET85*VLOOKUP('Données projet'!$B$15,Paramètres!$A$1:$I$89,3,0)*0.475*44/12</f>
        <v>43.256003466432986</v>
      </c>
      <c r="EX85" s="21">
        <f>EXP(-LN(2)/2)*EX84+(1-EXP(-LN(2)/2))/(LN(2)/2)*ER85*EU85*VLOOKUP('Données projet'!$B$15,Paramètres!$A$1:$I$89,3,0)*0.475*44/12</f>
        <v>34.270529288690788</v>
      </c>
      <c r="EY85" s="22">
        <f t="shared" si="75"/>
        <v>122.03702977420076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>
        <f>FE85*VLOOKUP('Données projet'!$B$16,Paramètres!$A$1:$I$89,3,0)*VLOOKUP('Données projet'!$B$16,Paramètres!$A$1:$I$89,5,0)</f>
        <v>0</v>
      </c>
      <c r="FG85" s="13" t="e">
        <f t="shared" si="101"/>
        <v>#NUM!</v>
      </c>
      <c r="FH85" s="20" t="e">
        <f t="shared" si="76"/>
        <v>#NUM!</v>
      </c>
      <c r="FI85" s="59" t="e">
        <f t="shared" si="77"/>
        <v>#NUM!</v>
      </c>
      <c r="FJ85" s="59">
        <f ca="1">AVERAGE(OFFSET($FI$3,0,0,'Données projet'!$E$16+1,1))-AVERAGE(OFFSET($H$3,0,0,'Données projet'!$E$16+1,1))</f>
        <v>359.57284550600366</v>
      </c>
      <c r="FK85" s="59">
        <f t="shared" si="102"/>
        <v>351.38386928091433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41.331175803428636</v>
      </c>
      <c r="FR85" s="21">
        <f>EXP(-LN(2)/25)*FR84+(1-EXP(-LN(2)/25))/(LN(2)/25)*Calculateur!FM85*Calculateur!FO85*VLOOKUP('Données projet'!$B$16,Paramètres!$A$1:$I$89,3,0)*0.475*44/12</f>
        <v>40.166288933116334</v>
      </c>
      <c r="FS85" s="21">
        <f>EXP(-LN(2)/2)*FS84+(1-EXP(-LN(2)/2))/(LN(2)/2)*FM85*FP85*VLOOKUP('Données projet'!$B$16,Paramètres!$A$1:$I$89,3,0)*0.475*44/12</f>
        <v>31.822634339498599</v>
      </c>
      <c r="FT85" s="22">
        <f t="shared" si="78"/>
        <v>113.32009907604356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6">
        <f t="shared" si="56"/>
        <v>256.66666666666669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11.667500000000004</v>
      </c>
      <c r="N86" s="13">
        <f>IF('Données projet'!$A$36&gt;35,N85+M86-V85,IF(A86&lt;'Données projet'!$A$36,$K$205^A86,IF(A86='Données projet'!$A$36,'Données projet'!$B$36,N85+M86-V85)))</f>
        <v>389.69749999999993</v>
      </c>
      <c r="O86" s="13">
        <f>N86*VLOOKUP('Données projet'!$B$9,Paramètres!$A$1:$I$89,3,0)*VLOOKUP('Données projet'!$B$9,Paramètres!$A$1:$I$89,5,0)</f>
        <v>352.59829799999994</v>
      </c>
      <c r="P86" s="13">
        <f t="shared" si="87"/>
        <v>82.097297257859907</v>
      </c>
      <c r="Q86" s="20">
        <f t="shared" si="54"/>
        <v>757.09482840743919</v>
      </c>
      <c r="R86" s="59">
        <f t="shared" si="55"/>
        <v>1050.4281617407726</v>
      </c>
      <c r="S86" s="59">
        <f ca="1">AVERAGE(OFFSET($R$3,0,0,'Données projet'!$E$9+1,1))-AVERAGE(OFFSET($H$3,0,0,'Données projet'!$E$9+1,1))</f>
        <v>695.0879239758051</v>
      </c>
      <c r="T86" s="59">
        <f t="shared" si="88"/>
        <v>226.22150997227476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32.324848905827473</v>
      </c>
      <c r="AA86" s="21">
        <f>EXP(-LN(2)/25)*AA85+(1-EXP(-LN(2)/25))/(LN(2)/25)*Calculateur!V86*Calculateur!X86*VLOOKUP('Données projet'!$B$9,Paramètres!$A$1:$I$89,3,0)*0.475*44/12</f>
        <v>36.110898823668116</v>
      </c>
      <c r="AB86" s="21">
        <f>EXP(-LN(2)/2)*AB85+(1-EXP(-LN(2)/2))/(LN(2)/2)*V86*Y86*VLOOKUP('Données projet'!$B$9,Paramètres!$A$1:$I$89,3,0)*0.475*44/12</f>
        <v>3.8128761405036884</v>
      </c>
      <c r="AC86" s="22">
        <f t="shared" si="57"/>
        <v>72.248623869999278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1.1368683772161603E-13</v>
      </c>
      <c r="AJ86" s="13">
        <f>AI86*VLOOKUP('Données projet'!$B$10,Paramètres!$A$1:$I$89,3,0)*VLOOKUP('Données projet'!$B$10,Paramètres!$A$1:$I$89,5,0)</f>
        <v>6.7984728957526396E-14</v>
      </c>
      <c r="AK86" s="13">
        <f t="shared" si="89"/>
        <v>1.0682447123141398E-12</v>
      </c>
      <c r="AL86" s="20">
        <f t="shared" si="58"/>
        <v>1.978932943548152E-12</v>
      </c>
      <c r="AM86" s="59">
        <f t="shared" si="59"/>
        <v>293.3333333333353</v>
      </c>
      <c r="AN86" s="59">
        <f ca="1">AVERAGE(OFFSET($AM$3,0,0,'Données projet'!$E$10+1,1))-AVERAGE(OFFSET($H$3,0,0,'Données projet'!$E$10+1,1))</f>
        <v>388.12151914648013</v>
      </c>
      <c r="AO86" s="59">
        <f t="shared" si="90"/>
        <v>481.43684454382793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104.29121223293269</v>
      </c>
      <c r="AV86" s="21">
        <f>EXP(-LN(2)/25)*AV85+(1-EXP(-LN(2)/25))/(LN(2)/25)*Calculateur!AQ86*Calculateur!AS86*VLOOKUP('Données projet'!$B$10,Paramètres!$A$1:$I$89,3,0)*0.475*44/12</f>
        <v>29.171210592065997</v>
      </c>
      <c r="AW86" s="21">
        <f>EXP(-LN(2)/2)*AW85+(1-EXP(-LN(2)/2))/(LN(2)/2)*AQ86*AT86*VLOOKUP('Données projet'!$B$10,Paramètres!$A$1:$I$89,3,0)*0.475*44/12</f>
        <v>6.6726566479354561E-3</v>
      </c>
      <c r="AX86" s="21">
        <f t="shared" si="60"/>
        <v>133.46909548164663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415.24818074059294</v>
      </c>
      <c r="BJ86" s="59">
        <f t="shared" si="92"/>
        <v>404.45811532046872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47.533894153510303</v>
      </c>
      <c r="BQ86" s="21">
        <f>EXP(-LN(2)/25)*BQ85+(1-EXP(-LN(2)/25))/(LN(2)/25)*Calculateur!BL86*Calculateur!BN86*VLOOKUP('Données projet'!$B$11,Paramètres!$A$1:$I$89,3,0)*0.475*44/12</f>
        <v>45.829698435561596</v>
      </c>
      <c r="BR86" s="21">
        <f>EXP(-LN(2)/2)*BR85+(1-EXP(-LN(2)/2))/(LN(2)/2)*BL86*BO86*VLOOKUP('Données projet'!$B$11,Paramètres!$A$1:$I$89,3,0)*0.475*44/12</f>
        <v>26.39657755264308</v>
      </c>
      <c r="BS86" s="22">
        <f t="shared" si="63"/>
        <v>119.76017014171498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>
        <f>BY86*VLOOKUP('Données projet'!$B$12,Paramètres!$A$1:$I$89,3,0)*VLOOKUP('Données projet'!$B$12,Paramètres!$A$1:$I$89,5,0)</f>
        <v>0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384.34044781465661</v>
      </c>
      <c r="CE86" s="59">
        <f t="shared" si="94"/>
        <v>374.99493809709708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53.785969442477537</v>
      </c>
      <c r="CL86" s="21">
        <f>EXP(-LN(2)/25)*CL85+(1-EXP(-LN(2)/25))/(LN(2)/25)*Calculateur!CG86*Calculateur!CI86*VLOOKUP('Données projet'!$B$12,Paramètres!$A$1:$I$89,3,0)*0.475*44/12</f>
        <v>51.857622934329711</v>
      </c>
      <c r="CM86" s="21">
        <f>EXP(-LN(2)/2)*CM85+(1-EXP(-LN(2)/2))/(LN(2)/2)*CG86*CJ86*VLOOKUP('Données projet'!$B$12,Paramètres!$A$1:$I$89,3,0)*0.475*44/12</f>
        <v>24.232923654885447</v>
      </c>
      <c r="CN86" s="22">
        <f t="shared" si="66"/>
        <v>129.87651603169269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5.6843418860808015E-13</v>
      </c>
      <c r="CU86" s="17">
        <f>CT86*VLOOKUP('Données projet'!$B$13,Paramètres!$A$1:$I$89,3,0)*VLOOKUP('Données projet'!$B$13,Paramètres!$A$1:$I$89,5,0)</f>
        <v>3.177547114319168E-13</v>
      </c>
      <c r="CV86" s="13">
        <f t="shared" si="95"/>
        <v>4.1725404435445377E-12</v>
      </c>
      <c r="CW86" s="20">
        <f t="shared" si="67"/>
        <v>7.820597394917325E-12</v>
      </c>
      <c r="CX86" s="59">
        <f t="shared" si="68"/>
        <v>293.33333333334116</v>
      </c>
      <c r="CY86" s="59">
        <f ca="1">AVERAGE(OFFSET($CX$3,0,0,'Données projet'!$E$13+1,1))-AVERAGE(OFFSET($H$3,0,0,'Données projet'!$E$13+1,1))</f>
        <v>386.66324266750968</v>
      </c>
      <c r="CZ86" s="59">
        <f t="shared" si="96"/>
        <v>356.22149461585769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178.37260507756537</v>
      </c>
      <c r="DG86" s="21">
        <f>EXP(-LN(2)/25)*DG85+(1-EXP(-LN(2)/25))/(LN(2)/25)*Calculateur!DB86*Calculateur!DD86*VLOOKUP('Données projet'!$B$13,Paramètres!$A$1:$I$89,3,0)*0.475*44/12</f>
        <v>53.528410552290445</v>
      </c>
      <c r="DH86" s="21">
        <f>EXP(-LN(2)/2)*DH85+(1-EXP(-LN(2)/2))/(LN(2)/2)*DB86*DE86*VLOOKUP('Données projet'!$B$13,Paramètres!$A$1:$I$89,3,0)*0.475*44/12</f>
        <v>0.83422606665174626</v>
      </c>
      <c r="DI86" s="22">
        <f t="shared" si="69"/>
        <v>232.73524169650756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>
        <f>DO86*VLOOKUP('Données projet'!$B$14,Paramètres!$A$1:$I$89,3,0)*VLOOKUP('Données projet'!$B$14,Paramètres!$A$1:$I$89,5,0)</f>
        <v>0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347.17417070871716</v>
      </c>
      <c r="DU86" s="59">
        <f t="shared" si="98"/>
        <v>339.56378046986441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38.962208322549429</v>
      </c>
      <c r="EB86" s="21">
        <f>EXP(-LN(2)/25)*EB85+(1-EXP(-LN(2)/25))/(LN(2)/25)*Calculateur!DW86*Calculateur!DY86*VLOOKUP('Données projet'!$B$14,Paramètres!$A$1:$I$89,3,0)*0.475*44/12</f>
        <v>37.565326586525892</v>
      </c>
      <c r="EC86" s="21">
        <f>EXP(-LN(2)/2)*EC85+(1-EXP(-LN(2)/2))/(LN(2)/2)*DW86*DZ86*VLOOKUP('Données projet'!$B$14,Paramètres!$A$1:$I$89,3,0)*0.475*44/12</f>
        <v>21.636538977576294</v>
      </c>
      <c r="ED86" s="22">
        <f t="shared" si="72"/>
        <v>98.164073886651607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>
        <f>EJ86*VLOOKUP('Données projet'!$B$15,Paramètres!$A$1:$I$89,3,0)*VLOOKUP('Données projet'!$B$15,Paramètres!$A$1:$I$89,5,0)</f>
        <v>0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384.34044781465661</v>
      </c>
      <c r="EP86" s="59">
        <f t="shared" si="100"/>
        <v>374.99493809709708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43.637673321255363</v>
      </c>
      <c r="EW86" s="21">
        <f>EXP(-LN(2)/25)*EW85+(1-EXP(-LN(2)/25))/(LN(2)/25)*Calculateur!ER86*Calculateur!ET86*VLOOKUP('Données projet'!$B$15,Paramètres!$A$1:$I$89,3,0)*0.475*44/12</f>
        <v>42.073165776909015</v>
      </c>
      <c r="EX86" s="21">
        <f>EXP(-LN(2)/2)*EX85+(1-EXP(-LN(2)/2))/(LN(2)/2)*ER86*EU86*VLOOKUP('Données projet'!$B$15,Paramètres!$A$1:$I$89,3,0)*0.475*44/12</f>
        <v>24.232923654885447</v>
      </c>
      <c r="EY86" s="22">
        <f t="shared" si="75"/>
        <v>109.94376275304981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>
        <f>FE86*VLOOKUP('Données projet'!$B$16,Paramètres!$A$1:$I$89,3,0)*VLOOKUP('Données projet'!$B$16,Paramètres!$A$1:$I$89,5,0)</f>
        <v>0</v>
      </c>
      <c r="FG86" s="13" t="e">
        <f t="shared" si="101"/>
        <v>#NUM!</v>
      </c>
      <c r="FH86" s="20" t="e">
        <f t="shared" si="76"/>
        <v>#NUM!</v>
      </c>
      <c r="FI86" s="59" t="e">
        <f t="shared" si="77"/>
        <v>#NUM!</v>
      </c>
      <c r="FJ86" s="59">
        <f ca="1">AVERAGE(OFFSET($FI$3,0,0,'Données projet'!$E$16+1,1))-AVERAGE(OFFSET($H$3,0,0,'Données projet'!$E$16+1,1))</f>
        <v>359.57284550600366</v>
      </c>
      <c r="FK86" s="59">
        <f t="shared" si="102"/>
        <v>351.38386928091433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40.520696655451403</v>
      </c>
      <c r="FR86" s="21">
        <f>EXP(-LN(2)/25)*FR85+(1-EXP(-LN(2)/25))/(LN(2)/25)*Calculateur!FM86*Calculateur!FO86*VLOOKUP('Données projet'!$B$16,Paramètres!$A$1:$I$89,3,0)*0.475*44/12</f>
        <v>39.067939649986933</v>
      </c>
      <c r="FS86" s="21">
        <f>EXP(-LN(2)/2)*FS85+(1-EXP(-LN(2)/2))/(LN(2)/2)*FM86*FP86*VLOOKUP('Données projet'!$B$16,Paramètres!$A$1:$I$89,3,0)*0.475*44/12</f>
        <v>22.502000536679351</v>
      </c>
      <c r="FT86" s="22">
        <f t="shared" si="78"/>
        <v>102.09063684211769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6">
        <f t="shared" si="56"/>
        <v>256.66666666666669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11.667500000000004</v>
      </c>
      <c r="N87" s="13">
        <f>IF('Données projet'!$A$36&gt;35,N86+M87-V86,IF(A87&lt;'Données projet'!$A$36,$K$205^A87,IF(A87='Données projet'!$A$36,'Données projet'!$B$36,N86+M87-V86)))</f>
        <v>401.36499999999995</v>
      </c>
      <c r="O87" s="13">
        <f>N87*VLOOKUP('Données projet'!$B$9,Paramètres!$A$1:$I$89,3,0)*VLOOKUP('Données projet'!$B$9,Paramètres!$A$1:$I$89,5,0)</f>
        <v>363.15505199999996</v>
      </c>
      <c r="P87" s="13">
        <f t="shared" si="87"/>
        <v>84.265428925746718</v>
      </c>
      <c r="Q87" s="20">
        <f t="shared" si="54"/>
        <v>779.25733761234221</v>
      </c>
      <c r="R87" s="59">
        <f t="shared" si="55"/>
        <v>1072.5906709456756</v>
      </c>
      <c r="S87" s="59">
        <f ca="1">AVERAGE(OFFSET($R$3,0,0,'Données projet'!$E$9+1,1))-AVERAGE(OFFSET($H$3,0,0,'Données projet'!$E$9+1,1))</f>
        <v>695.0879239758051</v>
      </c>
      <c r="T87" s="59">
        <f t="shared" si="88"/>
        <v>226.22150997227476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31.690978334995215</v>
      </c>
      <c r="AA87" s="21">
        <f>EXP(-LN(2)/25)*AA86+(1-EXP(-LN(2)/25))/(LN(2)/25)*Calculateur!V87*Calculateur!X87*VLOOKUP('Données projet'!$B$9,Paramètres!$A$1:$I$89,3,0)*0.475*44/12</f>
        <v>35.123444396345278</v>
      </c>
      <c r="AB87" s="21">
        <f>EXP(-LN(2)/2)*AB86+(1-EXP(-LN(2)/2))/(LN(2)/2)*V87*Y87*VLOOKUP('Données projet'!$B$9,Paramètres!$A$1:$I$89,3,0)*0.475*44/12</f>
        <v>2.6961105747745497</v>
      </c>
      <c r="AC87" s="22">
        <f t="shared" si="57"/>
        <v>69.51053330611505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1.1368683772161603E-13</v>
      </c>
      <c r="AJ87" s="13">
        <f>AI87*VLOOKUP('Données projet'!$B$10,Paramètres!$A$1:$I$89,3,0)*VLOOKUP('Données projet'!$B$10,Paramètres!$A$1:$I$89,5,0)</f>
        <v>6.7984728957526396E-14</v>
      </c>
      <c r="AK87" s="13">
        <f t="shared" si="89"/>
        <v>1.0682447123141398E-12</v>
      </c>
      <c r="AL87" s="20">
        <f t="shared" si="58"/>
        <v>1.978932943548152E-12</v>
      </c>
      <c r="AM87" s="59">
        <f t="shared" si="59"/>
        <v>293.3333333333353</v>
      </c>
      <c r="AN87" s="59">
        <f ca="1">AVERAGE(OFFSET($AM$3,0,0,'Données projet'!$E$10+1,1))-AVERAGE(OFFSET($H$3,0,0,'Données projet'!$E$10+1,1))</f>
        <v>388.12151914648013</v>
      </c>
      <c r="AO87" s="59">
        <f t="shared" si="90"/>
        <v>481.43684454382793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102.24612517240324</v>
      </c>
      <c r="AV87" s="21">
        <f>EXP(-LN(2)/25)*AV86+(1-EXP(-LN(2)/25))/(LN(2)/25)*Calculateur!AQ87*Calculateur!AS87*VLOOKUP('Données projet'!$B$10,Paramètres!$A$1:$I$89,3,0)*0.475*44/12</f>
        <v>28.373522304378657</v>
      </c>
      <c r="AW87" s="21">
        <f>EXP(-LN(2)/2)*AW86+(1-EXP(-LN(2)/2))/(LN(2)/2)*AQ87*AT87*VLOOKUP('Données projet'!$B$10,Paramètres!$A$1:$I$89,3,0)*0.475*44/12</f>
        <v>4.7182807642846582E-3</v>
      </c>
      <c r="AX87" s="21">
        <f t="shared" si="60"/>
        <v>130.62436575754617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415.24818074059294</v>
      </c>
      <c r="BJ87" s="59">
        <f t="shared" si="92"/>
        <v>404.45811532046872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46.601783481972596</v>
      </c>
      <c r="BQ87" s="21">
        <f>EXP(-LN(2)/25)*BQ86+(1-EXP(-LN(2)/25))/(LN(2)/25)*Calculateur!BL87*Calculateur!BN87*VLOOKUP('Données projet'!$B$11,Paramètres!$A$1:$I$89,3,0)*0.475*44/12</f>
        <v>44.576482921762071</v>
      </c>
      <c r="BR87" s="21">
        <f>EXP(-LN(2)/2)*BR86+(1-EXP(-LN(2)/2))/(LN(2)/2)*BL87*BO87*VLOOKUP('Données projet'!$B$11,Paramètres!$A$1:$I$89,3,0)*0.475*44/12</f>
        <v>18.665198987590525</v>
      </c>
      <c r="BS87" s="22">
        <f t="shared" si="63"/>
        <v>109.8434653913252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>
        <f>BY87*VLOOKUP('Données projet'!$B$12,Paramètres!$A$1:$I$89,3,0)*VLOOKUP('Données projet'!$B$12,Paramètres!$A$1:$I$89,5,0)</f>
        <v>0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384.34044781465661</v>
      </c>
      <c r="CE87" s="59">
        <f t="shared" si="94"/>
        <v>374.99493809709708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52.731259387912566</v>
      </c>
      <c r="CL87" s="21">
        <f>EXP(-LN(2)/25)*CL86+(1-EXP(-LN(2)/25))/(LN(2)/25)*Calculateur!CG87*Calculateur!CI87*VLOOKUP('Données projet'!$B$12,Paramètres!$A$1:$I$89,3,0)*0.475*44/12</f>
        <v>50.439573508116595</v>
      </c>
      <c r="CM87" s="21">
        <f>EXP(-LN(2)/2)*CM86+(1-EXP(-LN(2)/2))/(LN(2)/2)*CG87*CJ87*VLOOKUP('Données projet'!$B$12,Paramètres!$A$1:$I$89,3,0)*0.475*44/12</f>
        <v>17.135264644345398</v>
      </c>
      <c r="CN87" s="22">
        <f t="shared" si="66"/>
        <v>120.30609754037457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5.6843418860808015E-13</v>
      </c>
      <c r="CU87" s="17">
        <f>CT87*VLOOKUP('Données projet'!$B$13,Paramètres!$A$1:$I$89,3,0)*VLOOKUP('Données projet'!$B$13,Paramètres!$A$1:$I$89,5,0)</f>
        <v>3.177547114319168E-13</v>
      </c>
      <c r="CV87" s="13">
        <f t="shared" si="95"/>
        <v>4.1725404435445377E-12</v>
      </c>
      <c r="CW87" s="20">
        <f t="shared" si="67"/>
        <v>7.820597394917325E-12</v>
      </c>
      <c r="CX87" s="59">
        <f t="shared" si="68"/>
        <v>293.33333333334116</v>
      </c>
      <c r="CY87" s="59">
        <f ca="1">AVERAGE(OFFSET($CX$3,0,0,'Données projet'!$E$13+1,1))-AVERAGE(OFFSET($H$3,0,0,'Données projet'!$E$13+1,1))</f>
        <v>386.66324266750968</v>
      </c>
      <c r="CZ87" s="59">
        <f t="shared" si="96"/>
        <v>356.22149461585769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174.87482708854066</v>
      </c>
      <c r="DG87" s="21">
        <f>EXP(-LN(2)/25)*DG86+(1-EXP(-LN(2)/25))/(LN(2)/25)*Calculateur!DB87*Calculateur!DD87*VLOOKUP('Données projet'!$B$13,Paramètres!$A$1:$I$89,3,0)*0.475*44/12</f>
        <v>52.064673350801293</v>
      </c>
      <c r="DH87" s="21">
        <f>EXP(-LN(2)/2)*DH86+(1-EXP(-LN(2)/2))/(LN(2)/2)*DB87*DE87*VLOOKUP('Données projet'!$B$13,Paramètres!$A$1:$I$89,3,0)*0.475*44/12</f>
        <v>0.58988690877203054</v>
      </c>
      <c r="DI87" s="22">
        <f t="shared" si="69"/>
        <v>227.52938734811397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>
        <f>DO87*VLOOKUP('Données projet'!$B$14,Paramètres!$A$1:$I$89,3,0)*VLOOKUP('Données projet'!$B$14,Paramètres!$A$1:$I$89,5,0)</f>
        <v>0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347.17417070871716</v>
      </c>
      <c r="DU87" s="59">
        <f t="shared" si="98"/>
        <v>339.56378046986441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38.198183181944749</v>
      </c>
      <c r="EB87" s="21">
        <f>EXP(-LN(2)/25)*EB86+(1-EXP(-LN(2)/25))/(LN(2)/25)*Calculateur!DW87*Calculateur!DY87*VLOOKUP('Données projet'!$B$14,Paramètres!$A$1:$I$89,3,0)*0.475*44/12</f>
        <v>36.538100755542672</v>
      </c>
      <c r="EC87" s="21">
        <f>EXP(-LN(2)/2)*EC86+(1-EXP(-LN(2)/2))/(LN(2)/2)*DW87*DZ87*VLOOKUP('Données projet'!$B$14,Paramètres!$A$1:$I$89,3,0)*0.475*44/12</f>
        <v>15.299343432451249</v>
      </c>
      <c r="ED87" s="22">
        <f t="shared" si="72"/>
        <v>90.03562736993868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>
        <f>EJ87*VLOOKUP('Données projet'!$B$15,Paramètres!$A$1:$I$89,3,0)*VLOOKUP('Données projet'!$B$15,Paramètres!$A$1:$I$89,5,0)</f>
        <v>0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384.34044781465661</v>
      </c>
      <c r="EP87" s="59">
        <f t="shared" si="100"/>
        <v>374.99493809709708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42.781965163778125</v>
      </c>
      <c r="EW87" s="21">
        <f>EXP(-LN(2)/25)*EW86+(1-EXP(-LN(2)/25))/(LN(2)/25)*Calculateur!ER87*Calculateur!ET87*VLOOKUP('Données projet'!$B$15,Paramètres!$A$1:$I$89,3,0)*0.475*44/12</f>
        <v>40.92267284620781</v>
      </c>
      <c r="EX87" s="21">
        <f>EXP(-LN(2)/2)*EX86+(1-EXP(-LN(2)/2))/(LN(2)/2)*ER87*EU87*VLOOKUP('Données projet'!$B$15,Paramètres!$A$1:$I$89,3,0)*0.475*44/12</f>
        <v>17.135264644345398</v>
      </c>
      <c r="EY87" s="22">
        <f t="shared" si="75"/>
        <v>100.83990265433133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>
        <f>FE87*VLOOKUP('Données projet'!$B$16,Paramètres!$A$1:$I$89,3,0)*VLOOKUP('Données projet'!$B$16,Paramètres!$A$1:$I$89,5,0)</f>
        <v>0</v>
      </c>
      <c r="FG87" s="13" t="e">
        <f t="shared" si="101"/>
        <v>#NUM!</v>
      </c>
      <c r="FH87" s="20" t="e">
        <f t="shared" si="76"/>
        <v>#NUM!</v>
      </c>
      <c r="FI87" s="59" t="e">
        <f t="shared" si="77"/>
        <v>#NUM!</v>
      </c>
      <c r="FJ87" s="59">
        <f ca="1">AVERAGE(OFFSET($FI$3,0,0,'Données projet'!$E$16+1,1))-AVERAGE(OFFSET($H$3,0,0,'Données projet'!$E$16+1,1))</f>
        <v>359.57284550600366</v>
      </c>
      <c r="FK87" s="59">
        <f t="shared" si="102"/>
        <v>351.38386928091433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39.726110509222536</v>
      </c>
      <c r="FR87" s="21">
        <f>EXP(-LN(2)/25)*FR86+(1-EXP(-LN(2)/25))/(LN(2)/25)*Calculateur!FM87*Calculateur!FO87*VLOOKUP('Données projet'!$B$16,Paramètres!$A$1:$I$89,3,0)*0.475*44/12</f>
        <v>37.999624785764382</v>
      </c>
      <c r="FS87" s="21">
        <f>EXP(-LN(2)/2)*FS86+(1-EXP(-LN(2)/2))/(LN(2)/2)*FM87*FP87*VLOOKUP('Données projet'!$B$16,Paramètres!$A$1:$I$89,3,0)*0.475*44/12</f>
        <v>15.911317169749301</v>
      </c>
      <c r="FT87" s="22">
        <f t="shared" si="78"/>
        <v>93.637052464736215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6">
        <f t="shared" si="56"/>
        <v>256.66666666666669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11.667500000000004</v>
      </c>
      <c r="N88" s="13">
        <f>IF('Données projet'!$A$36&gt;35,N87+M88-V87,IF(A88&lt;'Données projet'!$A$36,$K$205^A88,IF(A88='Données projet'!$A$36,'Données projet'!$B$36,N87+M88-V87)))</f>
        <v>413.03249999999997</v>
      </c>
      <c r="O88" s="13">
        <f>N88*VLOOKUP('Données projet'!$B$9,Paramètres!$A$1:$I$89,3,0)*VLOOKUP('Données projet'!$B$9,Paramètres!$A$1:$I$89,5,0)</f>
        <v>373.71180599999997</v>
      </c>
      <c r="P88" s="13">
        <f t="shared" si="87"/>
        <v>86.426235603807172</v>
      </c>
      <c r="Q88" s="20">
        <f t="shared" si="54"/>
        <v>801.40708912663069</v>
      </c>
      <c r="R88" s="59">
        <f t="shared" si="55"/>
        <v>1094.7404224599641</v>
      </c>
      <c r="S88" s="59">
        <f ca="1">AVERAGE(OFFSET($R$3,0,0,'Données projet'!$E$9+1,1))-AVERAGE(OFFSET($H$3,0,0,'Données projet'!$E$9+1,1))</f>
        <v>695.0879239758051</v>
      </c>
      <c r="T88" s="59">
        <f t="shared" si="88"/>
        <v>226.22150997227476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31.069537579434105</v>
      </c>
      <c r="AA88" s="21">
        <f>EXP(-LN(2)/25)*AA87+(1-EXP(-LN(2)/25))/(LN(2)/25)*Calculateur!V88*Calculateur!X88*VLOOKUP('Données projet'!$B$9,Paramètres!$A$1:$I$89,3,0)*0.475*44/12</f>
        <v>34.162991962265551</v>
      </c>
      <c r="AB88" s="21">
        <f>EXP(-LN(2)/2)*AB87+(1-EXP(-LN(2)/2))/(LN(2)/2)*V88*Y88*VLOOKUP('Données projet'!$B$9,Paramètres!$A$1:$I$89,3,0)*0.475*44/12</f>
        <v>1.9064380702518446</v>
      </c>
      <c r="AC88" s="22">
        <f t="shared" si="57"/>
        <v>67.138967611951486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1.1368683772161603E-13</v>
      </c>
      <c r="AJ88" s="13">
        <f>AI88*VLOOKUP('Données projet'!$B$10,Paramètres!$A$1:$I$89,3,0)*VLOOKUP('Données projet'!$B$10,Paramètres!$A$1:$I$89,5,0)</f>
        <v>6.7984728957526396E-14</v>
      </c>
      <c r="AK88" s="13">
        <f t="shared" si="89"/>
        <v>1.0682447123141398E-12</v>
      </c>
      <c r="AL88" s="20">
        <f t="shared" si="58"/>
        <v>1.978932943548152E-12</v>
      </c>
      <c r="AM88" s="59">
        <f t="shared" si="59"/>
        <v>293.3333333333353</v>
      </c>
      <c r="AN88" s="59">
        <f ca="1">AVERAGE(OFFSET($AM$3,0,0,'Données projet'!$E$10+1,1))-AVERAGE(OFFSET($H$3,0,0,'Données projet'!$E$10+1,1))</f>
        <v>388.12151914648013</v>
      </c>
      <c r="AO88" s="59">
        <f t="shared" si="90"/>
        <v>481.43684454382793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100.24114102175083</v>
      </c>
      <c r="AV88" s="21">
        <f>EXP(-LN(2)/25)*AV87+(1-EXP(-LN(2)/25))/(LN(2)/25)*Calculateur!AQ88*Calculateur!AS88*VLOOKUP('Données projet'!$B$10,Paramètres!$A$1:$I$89,3,0)*0.475*44/12</f>
        <v>27.597646844866734</v>
      </c>
      <c r="AW88" s="21">
        <f>EXP(-LN(2)/2)*AW87+(1-EXP(-LN(2)/2))/(LN(2)/2)*AQ88*AT88*VLOOKUP('Données projet'!$B$10,Paramètres!$A$1:$I$89,3,0)*0.475*44/12</f>
        <v>3.336328323967728E-3</v>
      </c>
      <c r="AX88" s="21">
        <f t="shared" si="60"/>
        <v>127.84212419494153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415.24818074059294</v>
      </c>
      <c r="BJ88" s="59">
        <f t="shared" si="92"/>
        <v>404.45811532046872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45.68795093217237</v>
      </c>
      <c r="BQ88" s="21">
        <f>EXP(-LN(2)/25)*BQ87+(1-EXP(-LN(2)/25))/(LN(2)/25)*Calculateur!BL88*Calculateur!BN88*VLOOKUP('Données projet'!$B$11,Paramètres!$A$1:$I$89,3,0)*0.475*44/12</f>
        <v>43.357536652091134</v>
      </c>
      <c r="BR88" s="21">
        <f>EXP(-LN(2)/2)*BR87+(1-EXP(-LN(2)/2))/(LN(2)/2)*BL88*BO88*VLOOKUP('Données projet'!$B$11,Paramètres!$A$1:$I$89,3,0)*0.475*44/12</f>
        <v>13.198288776321542</v>
      </c>
      <c r="BS88" s="22">
        <f t="shared" si="63"/>
        <v>102.24377636058504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>
        <f>BY88*VLOOKUP('Données projet'!$B$12,Paramètres!$A$1:$I$89,3,0)*VLOOKUP('Données projet'!$B$12,Paramètres!$A$1:$I$89,5,0)</f>
        <v>0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384.34044781465661</v>
      </c>
      <c r="CE88" s="59">
        <f t="shared" si="94"/>
        <v>374.99493809709708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51.697231554208003</v>
      </c>
      <c r="CL88" s="21">
        <f>EXP(-LN(2)/25)*CL87+(1-EXP(-LN(2)/25))/(LN(2)/25)*Calculateur!CG88*Calculateur!CI88*VLOOKUP('Données projet'!$B$12,Paramètres!$A$1:$I$89,3,0)*0.475*44/12</f>
        <v>49.060300718035258</v>
      </c>
      <c r="CM88" s="21">
        <f>EXP(-LN(2)/2)*CM87+(1-EXP(-LN(2)/2))/(LN(2)/2)*CG88*CJ88*VLOOKUP('Données projet'!$B$12,Paramètres!$A$1:$I$89,3,0)*0.475*44/12</f>
        <v>12.116461827442727</v>
      </c>
      <c r="CN88" s="22">
        <f t="shared" si="66"/>
        <v>112.87399409968597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5.6843418860808015E-13</v>
      </c>
      <c r="CU88" s="17">
        <f>CT88*VLOOKUP('Données projet'!$B$13,Paramètres!$A$1:$I$89,3,0)*VLOOKUP('Données projet'!$B$13,Paramètres!$A$1:$I$89,5,0)</f>
        <v>3.177547114319168E-13</v>
      </c>
      <c r="CV88" s="13">
        <f t="shared" si="95"/>
        <v>4.1725404435445377E-12</v>
      </c>
      <c r="CW88" s="20">
        <f t="shared" si="67"/>
        <v>7.820597394917325E-12</v>
      </c>
      <c r="CX88" s="59">
        <f t="shared" si="68"/>
        <v>293.33333333334116</v>
      </c>
      <c r="CY88" s="59">
        <f ca="1">AVERAGE(OFFSET($CX$3,0,0,'Données projet'!$E$13+1,1))-AVERAGE(OFFSET($H$3,0,0,'Données projet'!$E$13+1,1))</f>
        <v>386.66324266750968</v>
      </c>
      <c r="CZ88" s="59">
        <f t="shared" si="96"/>
        <v>356.22149461585769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171.4456383924468</v>
      </c>
      <c r="DG88" s="21">
        <f>EXP(-LN(2)/25)*DG87+(1-EXP(-LN(2)/25))/(LN(2)/25)*Calculateur!DB88*Calculateur!DD88*VLOOKUP('Données projet'!$B$13,Paramètres!$A$1:$I$89,3,0)*0.475*44/12</f>
        <v>50.640962120061452</v>
      </c>
      <c r="DH88" s="21">
        <f>EXP(-LN(2)/2)*DH87+(1-EXP(-LN(2)/2))/(LN(2)/2)*DB88*DE88*VLOOKUP('Données projet'!$B$13,Paramètres!$A$1:$I$89,3,0)*0.475*44/12</f>
        <v>0.41711303332587313</v>
      </c>
      <c r="DI88" s="22">
        <f t="shared" si="69"/>
        <v>222.50371354583413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>
        <f>DO88*VLOOKUP('Données projet'!$B$14,Paramètres!$A$1:$I$89,3,0)*VLOOKUP('Données projet'!$B$14,Paramètres!$A$1:$I$89,5,0)</f>
        <v>0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347.17417070871716</v>
      </c>
      <c r="DU88" s="59">
        <f t="shared" si="98"/>
        <v>339.56378046986441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37.449140108338007</v>
      </c>
      <c r="EB88" s="21">
        <f>EXP(-LN(2)/25)*EB87+(1-EXP(-LN(2)/25))/(LN(2)/25)*Calculateur!DW88*Calculateur!DY88*VLOOKUP('Données projet'!$B$14,Paramètres!$A$1:$I$89,3,0)*0.475*44/12</f>
        <v>35.538964468927148</v>
      </c>
      <c r="EC88" s="21">
        <f>EXP(-LN(2)/2)*EC87+(1-EXP(-LN(2)/2))/(LN(2)/2)*DW88*DZ88*VLOOKUP('Données projet'!$B$14,Paramètres!$A$1:$I$89,3,0)*0.475*44/12</f>
        <v>10.818269488788149</v>
      </c>
      <c r="ED88" s="22">
        <f t="shared" si="72"/>
        <v>83.806374066053294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>
        <f>EJ88*VLOOKUP('Données projet'!$B$15,Paramètres!$A$1:$I$89,3,0)*VLOOKUP('Données projet'!$B$15,Paramètres!$A$1:$I$89,5,0)</f>
        <v>0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384.34044781465661</v>
      </c>
      <c r="EP88" s="59">
        <f t="shared" si="100"/>
        <v>374.99493809709708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41.943036921338575</v>
      </c>
      <c r="EW88" s="21">
        <f>EXP(-LN(2)/25)*EW87+(1-EXP(-LN(2)/25))/(LN(2)/25)*Calculateur!ER88*Calculateur!ET88*VLOOKUP('Données projet'!$B$15,Paramètres!$A$1:$I$89,3,0)*0.475*44/12</f>
        <v>39.80364020519842</v>
      </c>
      <c r="EX88" s="21">
        <f>EXP(-LN(2)/2)*EX87+(1-EXP(-LN(2)/2))/(LN(2)/2)*ER88*EU88*VLOOKUP('Données projet'!$B$15,Paramètres!$A$1:$I$89,3,0)*0.475*44/12</f>
        <v>12.116461827442727</v>
      </c>
      <c r="EY88" s="22">
        <f t="shared" si="75"/>
        <v>93.863138953979728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>
        <f>FE88*VLOOKUP('Données projet'!$B$16,Paramètres!$A$1:$I$89,3,0)*VLOOKUP('Données projet'!$B$16,Paramètres!$A$1:$I$89,5,0)</f>
        <v>0</v>
      </c>
      <c r="FG88" s="13" t="e">
        <f t="shared" si="101"/>
        <v>#NUM!</v>
      </c>
      <c r="FH88" s="20" t="e">
        <f t="shared" si="76"/>
        <v>#NUM!</v>
      </c>
      <c r="FI88" s="59" t="e">
        <f t="shared" si="77"/>
        <v>#NUM!</v>
      </c>
      <c r="FJ88" s="59">
        <f ca="1">AVERAGE(OFFSET($FI$3,0,0,'Données projet'!$E$16+1,1))-AVERAGE(OFFSET($H$3,0,0,'Données projet'!$E$16+1,1))</f>
        <v>359.57284550600366</v>
      </c>
      <c r="FK88" s="59">
        <f t="shared" si="102"/>
        <v>351.38386928091433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38.947105712671529</v>
      </c>
      <c r="FR88" s="21">
        <f>EXP(-LN(2)/25)*FR87+(1-EXP(-LN(2)/25))/(LN(2)/25)*Calculateur!FM88*Calculateur!FO88*VLOOKUP('Données projet'!$B$16,Paramètres!$A$1:$I$89,3,0)*0.475*44/12</f>
        <v>36.960523047684234</v>
      </c>
      <c r="FS88" s="21">
        <f>EXP(-LN(2)/2)*FS87+(1-EXP(-LN(2)/2))/(LN(2)/2)*FM88*FP88*VLOOKUP('Données projet'!$B$16,Paramètres!$A$1:$I$89,3,0)*0.475*44/12</f>
        <v>11.251000268339677</v>
      </c>
      <c r="FT88" s="22">
        <f t="shared" si="78"/>
        <v>87.158629028695444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6">
        <f t="shared" si="56"/>
        <v>256.66666666666669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11.667500000000004</v>
      </c>
      <c r="N89" s="13">
        <f>IF('Données projet'!$A$36&gt;35,N88+M89-V88,IF(A89&lt;'Données projet'!$A$36,$K$205^A89,IF(A89='Données projet'!$A$36,'Données projet'!$B$36,N88+M89-V88)))</f>
        <v>424.7</v>
      </c>
      <c r="O89" s="13">
        <f>N89*VLOOKUP('Données projet'!$B$9,Paramètres!$A$1:$I$89,3,0)*VLOOKUP('Données projet'!$B$9,Paramètres!$A$1:$I$89,5,0)</f>
        <v>384.26855999999998</v>
      </c>
      <c r="P89" s="13">
        <f t="shared" si="87"/>
        <v>88.579947979334634</v>
      </c>
      <c r="Q89" s="20">
        <f t="shared" si="54"/>
        <v>823.54448473067441</v>
      </c>
      <c r="R89" s="59">
        <f t="shared" si="55"/>
        <v>1116.8778180640077</v>
      </c>
      <c r="S89" s="59">
        <f ca="1">AVERAGE(OFFSET($R$3,0,0,'Données projet'!$E$9+1,1))-AVERAGE(OFFSET($H$3,0,0,'Données projet'!$E$9+1,1))</f>
        <v>695.0879239758051</v>
      </c>
      <c r="T89" s="59">
        <f t="shared" si="88"/>
        <v>226.22150997227476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30.460282898048114</v>
      </c>
      <c r="AA89" s="21">
        <f>EXP(-LN(2)/25)*AA88+(1-EXP(-LN(2)/25))/(LN(2)/25)*Calculateur!V89*Calculateur!X89*VLOOKUP('Données projet'!$B$9,Paramètres!$A$1:$I$89,3,0)*0.475*44/12</f>
        <v>33.22880315050373</v>
      </c>
      <c r="AB89" s="21">
        <f>EXP(-LN(2)/2)*AB88+(1-EXP(-LN(2)/2))/(LN(2)/2)*V89*Y89*VLOOKUP('Données projet'!$B$9,Paramètres!$A$1:$I$89,3,0)*0.475*44/12</f>
        <v>1.3480552873872751</v>
      </c>
      <c r="AC89" s="22">
        <f t="shared" si="57"/>
        <v>65.037141335939111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1.1368683772161603E-13</v>
      </c>
      <c r="AJ89" s="13">
        <f>AI89*VLOOKUP('Données projet'!$B$10,Paramètres!$A$1:$I$89,3,0)*VLOOKUP('Données projet'!$B$10,Paramètres!$A$1:$I$89,5,0)</f>
        <v>6.7984728957526396E-14</v>
      </c>
      <c r="AK89" s="13">
        <f t="shared" si="89"/>
        <v>1.0682447123141398E-12</v>
      </c>
      <c r="AL89" s="20">
        <f t="shared" si="58"/>
        <v>1.978932943548152E-12</v>
      </c>
      <c r="AM89" s="59">
        <f t="shared" si="59"/>
        <v>293.3333333333353</v>
      </c>
      <c r="AN89" s="59">
        <f ca="1">AVERAGE(OFFSET($AM$3,0,0,'Données projet'!$E$10+1,1))-AVERAGE(OFFSET($H$3,0,0,'Données projet'!$E$10+1,1))</f>
        <v>388.12151914648013</v>
      </c>
      <c r="AO89" s="59">
        <f t="shared" si="90"/>
        <v>481.43684454382793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98.27547338737314</v>
      </c>
      <c r="AV89" s="21">
        <f>EXP(-LN(2)/25)*AV88+(1-EXP(-LN(2)/25))/(LN(2)/25)*Calculateur!AQ89*Calculateur!AS89*VLOOKUP('Données projet'!$B$10,Paramètres!$A$1:$I$89,3,0)*0.475*44/12</f>
        <v>26.84298774059668</v>
      </c>
      <c r="AW89" s="21">
        <f>EXP(-LN(2)/2)*AW88+(1-EXP(-LN(2)/2))/(LN(2)/2)*AQ89*AT89*VLOOKUP('Données projet'!$B$10,Paramètres!$A$1:$I$89,3,0)*0.475*44/12</f>
        <v>2.3591403821423291E-3</v>
      </c>
      <c r="AX89" s="21">
        <f t="shared" si="60"/>
        <v>125.12082026835196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415.24818074059294</v>
      </c>
      <c r="BJ89" s="59">
        <f t="shared" si="92"/>
        <v>404.45811532046872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44.792038081290912</v>
      </c>
      <c r="BQ89" s="21">
        <f>EXP(-LN(2)/25)*BQ88+(1-EXP(-LN(2)/25))/(LN(2)/25)*Calculateur!BL89*Calculateur!BN89*VLOOKUP('Données projet'!$B$11,Paramètres!$A$1:$I$89,3,0)*0.475*44/12</f>
        <v>42.171922532265945</v>
      </c>
      <c r="BR89" s="21">
        <f>EXP(-LN(2)/2)*BR88+(1-EXP(-LN(2)/2))/(LN(2)/2)*BL89*BO89*VLOOKUP('Données projet'!$B$11,Paramètres!$A$1:$I$89,3,0)*0.475*44/12</f>
        <v>9.3325994937952625</v>
      </c>
      <c r="BS89" s="22">
        <f t="shared" si="63"/>
        <v>96.296560107352107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>
        <f>BY89*VLOOKUP('Données projet'!$B$12,Paramètres!$A$1:$I$89,3,0)*VLOOKUP('Données projet'!$B$12,Paramètres!$A$1:$I$89,5,0)</f>
        <v>0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384.34044781465661</v>
      </c>
      <c r="CE89" s="59">
        <f t="shared" si="94"/>
        <v>374.99493809709708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50.683480375627688</v>
      </c>
      <c r="CL89" s="21">
        <f>EXP(-LN(2)/25)*CL88+(1-EXP(-LN(2)/25))/(LN(2)/25)*Calculateur!CG89*Calculateur!CI89*VLOOKUP('Données projet'!$B$12,Paramètres!$A$1:$I$89,3,0)*0.475*44/12</f>
        <v>47.718744214931498</v>
      </c>
      <c r="CM89" s="21">
        <f>EXP(-LN(2)/2)*CM88+(1-EXP(-LN(2)/2))/(LN(2)/2)*CG89*CJ89*VLOOKUP('Données projet'!$B$12,Paramètres!$A$1:$I$89,3,0)*0.475*44/12</f>
        <v>8.5676323221727007</v>
      </c>
      <c r="CN89" s="22">
        <f t="shared" si="66"/>
        <v>106.96985691273188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5.6843418860808015E-13</v>
      </c>
      <c r="CU89" s="17">
        <f>CT89*VLOOKUP('Données projet'!$B$13,Paramètres!$A$1:$I$89,3,0)*VLOOKUP('Données projet'!$B$13,Paramètres!$A$1:$I$89,5,0)</f>
        <v>3.177547114319168E-13</v>
      </c>
      <c r="CV89" s="13">
        <f t="shared" si="95"/>
        <v>4.1725404435445377E-12</v>
      </c>
      <c r="CW89" s="20">
        <f t="shared" si="67"/>
        <v>7.820597394917325E-12</v>
      </c>
      <c r="CX89" s="59">
        <f t="shared" si="68"/>
        <v>293.33333333334116</v>
      </c>
      <c r="CY89" s="59">
        <f ca="1">AVERAGE(OFFSET($CX$3,0,0,'Données projet'!$E$13+1,1))-AVERAGE(OFFSET($H$3,0,0,'Données projet'!$E$13+1,1))</f>
        <v>386.66324266750968</v>
      </c>
      <c r="CZ89" s="59">
        <f t="shared" si="96"/>
        <v>356.22149461585769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168.08369399508476</v>
      </c>
      <c r="DG89" s="21">
        <f>EXP(-LN(2)/25)*DG88+(1-EXP(-LN(2)/25))/(LN(2)/25)*Calculateur!DB89*Calculateur!DD89*VLOOKUP('Données projet'!$B$13,Paramètres!$A$1:$I$89,3,0)*0.475*44/12</f>
        <v>49.256182347795914</v>
      </c>
      <c r="DH89" s="21">
        <f>EXP(-LN(2)/2)*DH88+(1-EXP(-LN(2)/2))/(LN(2)/2)*DB89*DE89*VLOOKUP('Données projet'!$B$13,Paramètres!$A$1:$I$89,3,0)*0.475*44/12</f>
        <v>0.29494345438601527</v>
      </c>
      <c r="DI89" s="22">
        <f t="shared" si="69"/>
        <v>217.63481979726669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>
        <f>DO89*VLOOKUP('Données projet'!$B$14,Paramètres!$A$1:$I$89,3,0)*VLOOKUP('Données projet'!$B$14,Paramètres!$A$1:$I$89,5,0)</f>
        <v>0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347.17417070871716</v>
      </c>
      <c r="DU89" s="59">
        <f t="shared" si="98"/>
        <v>339.56378046986441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36.714785312533529</v>
      </c>
      <c r="EB89" s="21">
        <f>EXP(-LN(2)/25)*EB88+(1-EXP(-LN(2)/25))/(LN(2)/25)*Calculateur!DW89*Calculateur!DY89*VLOOKUP('Données projet'!$B$14,Paramètres!$A$1:$I$89,3,0)*0.475*44/12</f>
        <v>34.567149616611417</v>
      </c>
      <c r="EC89" s="21">
        <f>EXP(-LN(2)/2)*EC88+(1-EXP(-LN(2)/2))/(LN(2)/2)*DW89*DZ89*VLOOKUP('Données projet'!$B$14,Paramètres!$A$1:$I$89,3,0)*0.475*44/12</f>
        <v>7.6496717162256251</v>
      </c>
      <c r="ED89" s="22">
        <f t="shared" si="72"/>
        <v>78.931606645370564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>
        <f>EJ89*VLOOKUP('Données projet'!$B$15,Paramètres!$A$1:$I$89,3,0)*VLOOKUP('Données projet'!$B$15,Paramètres!$A$1:$I$89,5,0)</f>
        <v>0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384.34044781465661</v>
      </c>
      <c r="EP89" s="59">
        <f t="shared" si="100"/>
        <v>374.99493809709708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41.120559550037562</v>
      </c>
      <c r="EW89" s="21">
        <f>EXP(-LN(2)/25)*EW88+(1-EXP(-LN(2)/25))/(LN(2)/25)*Calculateur!ER89*Calculateur!ET89*VLOOKUP('Données projet'!$B$15,Paramètres!$A$1:$I$89,3,0)*0.475*44/12</f>
        <v>38.715207570604804</v>
      </c>
      <c r="EX89" s="21">
        <f>EXP(-LN(2)/2)*EX88+(1-EXP(-LN(2)/2))/(LN(2)/2)*ER89*EU89*VLOOKUP('Données projet'!$B$15,Paramètres!$A$1:$I$89,3,0)*0.475*44/12</f>
        <v>8.5676323221727007</v>
      </c>
      <c r="EY89" s="22">
        <f t="shared" si="75"/>
        <v>88.403399442815072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>
        <f>FE89*VLOOKUP('Données projet'!$B$16,Paramètres!$A$1:$I$89,3,0)*VLOOKUP('Données projet'!$B$16,Paramètres!$A$1:$I$89,5,0)</f>
        <v>0</v>
      </c>
      <c r="FG89" s="13" t="e">
        <f t="shared" si="101"/>
        <v>#NUM!</v>
      </c>
      <c r="FH89" s="20" t="e">
        <f t="shared" si="76"/>
        <v>#NUM!</v>
      </c>
      <c r="FI89" s="59" t="e">
        <f t="shared" si="77"/>
        <v>#NUM!</v>
      </c>
      <c r="FJ89" s="59">
        <f ca="1">AVERAGE(OFFSET($FI$3,0,0,'Données projet'!$E$16+1,1))-AVERAGE(OFFSET($H$3,0,0,'Données projet'!$E$16+1,1))</f>
        <v>359.57284550600366</v>
      </c>
      <c r="FK89" s="59">
        <f t="shared" si="102"/>
        <v>351.38386928091433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38.183376725034876</v>
      </c>
      <c r="FR89" s="21">
        <f>EXP(-LN(2)/25)*FR88+(1-EXP(-LN(2)/25))/(LN(2)/25)*Calculateur!FM89*Calculateur!FO89*VLOOKUP('Données projet'!$B$16,Paramètres!$A$1:$I$89,3,0)*0.475*44/12</f>
        <v>35.949835601275879</v>
      </c>
      <c r="FS89" s="21">
        <f>EXP(-LN(2)/2)*FS88+(1-EXP(-LN(2)/2))/(LN(2)/2)*FM89*FP89*VLOOKUP('Données projet'!$B$16,Paramètres!$A$1:$I$89,3,0)*0.475*44/12</f>
        <v>7.9556585848746524</v>
      </c>
      <c r="FT89" s="22">
        <f t="shared" si="78"/>
        <v>82.08887091118541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6">
        <f t="shared" si="56"/>
        <v>256.66666666666669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11.667500000000004</v>
      </c>
      <c r="N90" s="13">
        <f>IF('Données projet'!$A$36&gt;35,N89+M90-V89,IF(A90&lt;'Données projet'!$A$36,$K$205^A90,IF(A90='Données projet'!$A$36,'Données projet'!$B$36,N89+M90-V89)))</f>
        <v>436.36750000000001</v>
      </c>
      <c r="O90" s="13">
        <f>N90*VLOOKUP('Données projet'!$B$9,Paramètres!$A$1:$I$89,3,0)*VLOOKUP('Données projet'!$B$9,Paramètres!$A$1:$I$89,5,0)</f>
        <v>394.82531399999999</v>
      </c>
      <c r="P90" s="13">
        <f t="shared" si="87"/>
        <v>90.726783343228391</v>
      </c>
      <c r="Q90" s="20">
        <f t="shared" si="54"/>
        <v>845.66990287278952</v>
      </c>
      <c r="R90" s="59">
        <f t="shared" si="55"/>
        <v>1139.0032362061229</v>
      </c>
      <c r="S90" s="59">
        <f ca="1">AVERAGE(OFFSET($R$3,0,0,'Données projet'!$E$9+1,1))-AVERAGE(OFFSET($H$3,0,0,'Données projet'!$E$9+1,1))</f>
        <v>695.0879239758051</v>
      </c>
      <c r="T90" s="59">
        <f t="shared" si="88"/>
        <v>226.22150997227476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29.862975329355439</v>
      </c>
      <c r="AA90" s="21">
        <f>EXP(-LN(2)/25)*AA89+(1-EXP(-LN(2)/25))/(LN(2)/25)*Calculateur!V90*Calculateur!X90*VLOOKUP('Données projet'!$B$9,Paramètres!$A$1:$I$89,3,0)*0.475*44/12</f>
        <v>32.320159780926396</v>
      </c>
      <c r="AB90" s="21">
        <f>EXP(-LN(2)/2)*AB89+(1-EXP(-LN(2)/2))/(LN(2)/2)*V90*Y90*VLOOKUP('Données projet'!$B$9,Paramètres!$A$1:$I$89,3,0)*0.475*44/12</f>
        <v>0.95321903512592243</v>
      </c>
      <c r="AC90" s="22">
        <f t="shared" si="57"/>
        <v>63.136354145407765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1.1368683772161603E-13</v>
      </c>
      <c r="AJ90" s="13">
        <f>AI90*VLOOKUP('Données projet'!$B$10,Paramètres!$A$1:$I$89,3,0)*VLOOKUP('Données projet'!$B$10,Paramètres!$A$1:$I$89,5,0)</f>
        <v>6.7984728957526396E-14</v>
      </c>
      <c r="AK90" s="13">
        <f t="shared" si="89"/>
        <v>1.0682447123141398E-12</v>
      </c>
      <c r="AL90" s="20">
        <f t="shared" si="58"/>
        <v>1.978932943548152E-12</v>
      </c>
      <c r="AM90" s="59">
        <f t="shared" si="59"/>
        <v>293.3333333333353</v>
      </c>
      <c r="AN90" s="59">
        <f ca="1">AVERAGE(OFFSET($AM$3,0,0,'Données projet'!$E$10+1,1))-AVERAGE(OFFSET($H$3,0,0,'Données projet'!$E$10+1,1))</f>
        <v>388.12151914648013</v>
      </c>
      <c r="AO90" s="59">
        <f t="shared" si="90"/>
        <v>481.43684454382793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96.348351296366729</v>
      </c>
      <c r="AV90" s="21">
        <f>EXP(-LN(2)/25)*AV89+(1-EXP(-LN(2)/25))/(LN(2)/25)*Calculateur!AQ90*Calculateur!AS90*VLOOKUP('Données projet'!$B$10,Paramètres!$A$1:$I$89,3,0)*0.475*44/12</f>
        <v>26.108964829218689</v>
      </c>
      <c r="AW90" s="21">
        <f>EXP(-LN(2)/2)*AW89+(1-EXP(-LN(2)/2))/(LN(2)/2)*AQ90*AT90*VLOOKUP('Données projet'!$B$10,Paramètres!$A$1:$I$89,3,0)*0.475*44/12</f>
        <v>1.668164161983864E-3</v>
      </c>
      <c r="AX90" s="21">
        <f t="shared" si="60"/>
        <v>122.45898428974741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415.24818074059294</v>
      </c>
      <c r="BJ90" s="59">
        <f t="shared" si="92"/>
        <v>404.45811532046872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43.913693534962356</v>
      </c>
      <c r="BQ90" s="21">
        <f>EXP(-LN(2)/25)*BQ89+(1-EXP(-LN(2)/25))/(LN(2)/25)*Calculateur!BL90*Calculateur!BN90*VLOOKUP('Données projet'!$B$11,Paramètres!$A$1:$I$89,3,0)*0.475*44/12</f>
        <v>41.018729092896109</v>
      </c>
      <c r="BR90" s="21">
        <f>EXP(-LN(2)/2)*BR89+(1-EXP(-LN(2)/2))/(LN(2)/2)*BL90*BO90*VLOOKUP('Données projet'!$B$11,Paramètres!$A$1:$I$89,3,0)*0.475*44/12</f>
        <v>6.599144388160771</v>
      </c>
      <c r="BS90" s="22">
        <f t="shared" si="63"/>
        <v>91.531567016019238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>
        <f>BY90*VLOOKUP('Données projet'!$B$12,Paramètres!$A$1:$I$89,3,0)*VLOOKUP('Données projet'!$B$12,Paramètres!$A$1:$I$89,5,0)</f>
        <v>0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384.34044781465661</v>
      </c>
      <c r="CE90" s="59">
        <f t="shared" si="94"/>
        <v>374.99493809709708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49.689608239332166</v>
      </c>
      <c r="CL90" s="21">
        <f>EXP(-LN(2)/25)*CL89+(1-EXP(-LN(2)/25))/(LN(2)/25)*Calculateur!CG90*Calculateur!CI90*VLOOKUP('Données projet'!$B$12,Paramètres!$A$1:$I$89,3,0)*0.475*44/12</f>
        <v>46.413872644954502</v>
      </c>
      <c r="CM90" s="21">
        <f>EXP(-LN(2)/2)*CM89+(1-EXP(-LN(2)/2))/(LN(2)/2)*CG90*CJ90*VLOOKUP('Données projet'!$B$12,Paramètres!$A$1:$I$89,3,0)*0.475*44/12</f>
        <v>6.0582309137213644</v>
      </c>
      <c r="CN90" s="22">
        <f t="shared" si="66"/>
        <v>102.16171179800803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5.6843418860808015E-13</v>
      </c>
      <c r="CU90" s="17">
        <f>CT90*VLOOKUP('Données projet'!$B$13,Paramètres!$A$1:$I$89,3,0)*VLOOKUP('Données projet'!$B$13,Paramètres!$A$1:$I$89,5,0)</f>
        <v>3.177547114319168E-13</v>
      </c>
      <c r="CV90" s="13">
        <f t="shared" si="95"/>
        <v>4.1725404435445377E-12</v>
      </c>
      <c r="CW90" s="20">
        <f t="shared" si="67"/>
        <v>7.820597394917325E-12</v>
      </c>
      <c r="CX90" s="59">
        <f t="shared" si="68"/>
        <v>293.33333333334116</v>
      </c>
      <c r="CY90" s="59">
        <f ca="1">AVERAGE(OFFSET($CX$3,0,0,'Données projet'!$E$13+1,1))-AVERAGE(OFFSET($H$3,0,0,'Données projet'!$E$13+1,1))</f>
        <v>386.66324266750968</v>
      </c>
      <c r="CZ90" s="59">
        <f t="shared" si="96"/>
        <v>356.22149461585769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164.78767527677138</v>
      </c>
      <c r="DG90" s="21">
        <f>EXP(-LN(2)/25)*DG89+(1-EXP(-LN(2)/25))/(LN(2)/25)*Calculateur!DB90*Calculateur!DD90*VLOOKUP('Données projet'!$B$13,Paramètres!$A$1:$I$89,3,0)*0.475*44/12</f>
        <v>47.909269451225384</v>
      </c>
      <c r="DH90" s="21">
        <f>EXP(-LN(2)/2)*DH89+(1-EXP(-LN(2)/2))/(LN(2)/2)*DB90*DE90*VLOOKUP('Données projet'!$B$13,Paramètres!$A$1:$I$89,3,0)*0.475*44/12</f>
        <v>0.20855651666293656</v>
      </c>
      <c r="DI90" s="22">
        <f t="shared" si="69"/>
        <v>212.90550124465969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>
        <f>DO90*VLOOKUP('Données projet'!$B$14,Paramètres!$A$1:$I$89,3,0)*VLOOKUP('Données projet'!$B$14,Paramètres!$A$1:$I$89,5,0)</f>
        <v>0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347.17417070871716</v>
      </c>
      <c r="DU90" s="59">
        <f t="shared" si="98"/>
        <v>339.56378046986441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35.994830766362583</v>
      </c>
      <c r="EB90" s="21">
        <f>EXP(-LN(2)/25)*EB89+(1-EXP(-LN(2)/25))/(LN(2)/25)*Calculateur!DW90*Calculateur!DY90*VLOOKUP('Données projet'!$B$14,Paramètres!$A$1:$I$89,3,0)*0.475*44/12</f>
        <v>33.621909092537784</v>
      </c>
      <c r="EC90" s="21">
        <f>EXP(-LN(2)/2)*EC89+(1-EXP(-LN(2)/2))/(LN(2)/2)*DW90*DZ90*VLOOKUP('Données projet'!$B$14,Paramètres!$A$1:$I$89,3,0)*0.475*44/12</f>
        <v>5.4091347443940752</v>
      </c>
      <c r="ED90" s="22">
        <f t="shared" si="72"/>
        <v>75.02587460329444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>
        <f>EJ90*VLOOKUP('Données projet'!$B$15,Paramètres!$A$1:$I$89,3,0)*VLOOKUP('Données projet'!$B$15,Paramètres!$A$1:$I$89,5,0)</f>
        <v>0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384.34044781465661</v>
      </c>
      <c r="EP90" s="59">
        <f t="shared" si="100"/>
        <v>374.99493809709708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40.314210458326102</v>
      </c>
      <c r="EW90" s="21">
        <f>EXP(-LN(2)/25)*EW89+(1-EXP(-LN(2)/25))/(LN(2)/25)*Calculateur!ER90*Calculateur!ET90*VLOOKUP('Données projet'!$B$15,Paramètres!$A$1:$I$89,3,0)*0.475*44/12</f>
        <v>37.656538183642333</v>
      </c>
      <c r="EX90" s="21">
        <f>EXP(-LN(2)/2)*EX89+(1-EXP(-LN(2)/2))/(LN(2)/2)*ER90*EU90*VLOOKUP('Données projet'!$B$15,Paramètres!$A$1:$I$89,3,0)*0.475*44/12</f>
        <v>6.0582309137213644</v>
      </c>
      <c r="EY90" s="22">
        <f t="shared" si="75"/>
        <v>84.028979555689801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>
        <f>FE90*VLOOKUP('Données projet'!$B$16,Paramètres!$A$1:$I$89,3,0)*VLOOKUP('Données projet'!$B$16,Paramètres!$A$1:$I$89,5,0)</f>
        <v>0</v>
      </c>
      <c r="FG90" s="13" t="e">
        <f t="shared" si="101"/>
        <v>#NUM!</v>
      </c>
      <c r="FH90" s="20" t="e">
        <f t="shared" si="76"/>
        <v>#NUM!</v>
      </c>
      <c r="FI90" s="59" t="e">
        <f t="shared" si="77"/>
        <v>#NUM!</v>
      </c>
      <c r="FJ90" s="59">
        <f ca="1">AVERAGE(OFFSET($FI$3,0,0,'Données projet'!$E$16+1,1))-AVERAGE(OFFSET($H$3,0,0,'Données projet'!$E$16+1,1))</f>
        <v>359.57284550600366</v>
      </c>
      <c r="FK90" s="59">
        <f t="shared" si="102"/>
        <v>351.38386928091433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37.434623997017091</v>
      </c>
      <c r="FR90" s="21">
        <f>EXP(-LN(2)/25)*FR89+(1-EXP(-LN(2)/25))/(LN(2)/25)*Calculateur!FM90*Calculateur!FO90*VLOOKUP('Données projet'!$B$16,Paramètres!$A$1:$I$89,3,0)*0.475*44/12</f>
        <v>34.9667854562393</v>
      </c>
      <c r="FS90" s="21">
        <f>EXP(-LN(2)/2)*FS89+(1-EXP(-LN(2)/2))/(LN(2)/2)*FM90*FP90*VLOOKUP('Données projet'!$B$16,Paramètres!$A$1:$I$89,3,0)*0.475*44/12</f>
        <v>5.6255001341698394</v>
      </c>
      <c r="FT90" s="22">
        <f t="shared" si="78"/>
        <v>78.026909587426232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6">
        <f t="shared" si="56"/>
        <v>256.66666666666669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11.667500000000004</v>
      </c>
      <c r="N91" s="13">
        <f>IF('Données projet'!$A$36&gt;35,N90+M91-V90,IF(A91&lt;'Données projet'!$A$36,$K$205^A91,IF(A91='Données projet'!$A$36,'Données projet'!$B$36,N90+M91-V90)))</f>
        <v>448.03500000000003</v>
      </c>
      <c r="O91" s="13">
        <f>N91*VLOOKUP('Données projet'!$B$9,Paramètres!$A$1:$I$89,3,0)*VLOOKUP('Données projet'!$B$9,Paramètres!$A$1:$I$89,5,0)</f>
        <v>405.382068</v>
      </c>
      <c r="P91" s="13">
        <f t="shared" si="87"/>
        <v>92.866946705059107</v>
      </c>
      <c r="Q91" s="20">
        <f t="shared" si="54"/>
        <v>867.78370061131125</v>
      </c>
      <c r="R91" s="59">
        <f t="shared" si="55"/>
        <v>1161.1170339446446</v>
      </c>
      <c r="S91" s="59">
        <f ca="1">AVERAGE(OFFSET($R$3,0,0,'Données projet'!$E$9+1,1))-AVERAGE(OFFSET($H$3,0,0,'Données projet'!$E$9+1,1))</f>
        <v>695.0879239758051</v>
      </c>
      <c r="T91" s="59">
        <f t="shared" si="88"/>
        <v>226.22150997227476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29.277380597763187</v>
      </c>
      <c r="AA91" s="21">
        <f>EXP(-LN(2)/25)*AA90+(1-EXP(-LN(2)/25))/(LN(2)/25)*Calculateur!V91*Calculateur!X91*VLOOKUP('Données projet'!$B$9,Paramètres!$A$1:$I$89,3,0)*0.475*44/12</f>
        <v>31.436363312073631</v>
      </c>
      <c r="AB91" s="21">
        <f>EXP(-LN(2)/2)*AB90+(1-EXP(-LN(2)/2))/(LN(2)/2)*V91*Y91*VLOOKUP('Données projet'!$B$9,Paramètres!$A$1:$I$89,3,0)*0.475*44/12</f>
        <v>0.67402764369363766</v>
      </c>
      <c r="AC91" s="22">
        <f t="shared" si="57"/>
        <v>61.387771553530456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1.1368683772161603E-13</v>
      </c>
      <c r="AJ91" s="13">
        <f>AI91*VLOOKUP('Données projet'!$B$10,Paramètres!$A$1:$I$89,3,0)*VLOOKUP('Données projet'!$B$10,Paramètres!$A$1:$I$89,5,0)</f>
        <v>6.7984728957526396E-14</v>
      </c>
      <c r="AK91" s="13">
        <f t="shared" si="89"/>
        <v>1.0682447123141398E-12</v>
      </c>
      <c r="AL91" s="20">
        <f t="shared" si="58"/>
        <v>1.978932943548152E-12</v>
      </c>
      <c r="AM91" s="59">
        <f t="shared" si="59"/>
        <v>293.3333333333353</v>
      </c>
      <c r="AN91" s="59">
        <f ca="1">AVERAGE(OFFSET($AM$3,0,0,'Données projet'!$E$10+1,1))-AVERAGE(OFFSET($H$3,0,0,'Données projet'!$E$10+1,1))</f>
        <v>388.12151914648013</v>
      </c>
      <c r="AO91" s="59">
        <f t="shared" si="90"/>
        <v>481.43684454382793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94.459018894136534</v>
      </c>
      <c r="AV91" s="21">
        <f>EXP(-LN(2)/25)*AV90+(1-EXP(-LN(2)/25))/(LN(2)/25)*Calculateur!AQ91*Calculateur!AS91*VLOOKUP('Données projet'!$B$10,Paramètres!$A$1:$I$89,3,0)*0.475*44/12</f>
        <v>25.395013812952914</v>
      </c>
      <c r="AW91" s="21">
        <f>EXP(-LN(2)/2)*AW90+(1-EXP(-LN(2)/2))/(LN(2)/2)*AQ91*AT91*VLOOKUP('Données projet'!$B$10,Paramètres!$A$1:$I$89,3,0)*0.475*44/12</f>
        <v>1.1795701910711645E-3</v>
      </c>
      <c r="AX91" s="21">
        <f t="shared" si="60"/>
        <v>119.85521227728051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415.24818074059294</v>
      </c>
      <c r="BJ91" s="59">
        <f t="shared" si="92"/>
        <v>404.45811532046872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43.052572789450032</v>
      </c>
      <c r="BQ91" s="21">
        <f>EXP(-LN(2)/25)*BQ90+(1-EXP(-LN(2)/25))/(LN(2)/25)*Calculateur!BL91*Calculateur!BN91*VLOOKUP('Données projet'!$B$11,Paramètres!$A$1:$I$89,3,0)*0.475*44/12</f>
        <v>39.897069788769649</v>
      </c>
      <c r="BR91" s="21">
        <f>EXP(-LN(2)/2)*BR90+(1-EXP(-LN(2)/2))/(LN(2)/2)*BL91*BO91*VLOOKUP('Données projet'!$B$11,Paramètres!$A$1:$I$89,3,0)*0.475*44/12</f>
        <v>4.6662997468976313</v>
      </c>
      <c r="BS91" s="22">
        <f t="shared" si="63"/>
        <v>87.615942325117317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>
        <f>BY91*VLOOKUP('Données projet'!$B$12,Paramètres!$A$1:$I$89,3,0)*VLOOKUP('Données projet'!$B$12,Paramètres!$A$1:$I$89,5,0)</f>
        <v>0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384.34044781465661</v>
      </c>
      <c r="CE91" s="59">
        <f t="shared" si="94"/>
        <v>374.99493809709708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48.715225329427255</v>
      </c>
      <c r="CL91" s="21">
        <f>EXP(-LN(2)/25)*CL90+(1-EXP(-LN(2)/25))/(LN(2)/25)*Calculateur!CG91*Calculateur!CI91*VLOOKUP('Données projet'!$B$12,Paramètres!$A$1:$I$89,3,0)*0.475*44/12</f>
        <v>45.144682856678742</v>
      </c>
      <c r="CM91" s="21">
        <f>EXP(-LN(2)/2)*CM90+(1-EXP(-LN(2)/2))/(LN(2)/2)*CG91*CJ91*VLOOKUP('Données projet'!$B$12,Paramètres!$A$1:$I$89,3,0)*0.475*44/12</f>
        <v>4.2838161610863512</v>
      </c>
      <c r="CN91" s="22">
        <f t="shared" si="66"/>
        <v>98.143724347192347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5.6843418860808015E-13</v>
      </c>
      <c r="CU91" s="17">
        <f>CT91*VLOOKUP('Données projet'!$B$13,Paramètres!$A$1:$I$89,3,0)*VLOOKUP('Données projet'!$B$13,Paramètres!$A$1:$I$89,5,0)</f>
        <v>3.177547114319168E-13</v>
      </c>
      <c r="CV91" s="13">
        <f t="shared" si="95"/>
        <v>4.1725404435445377E-12</v>
      </c>
      <c r="CW91" s="20">
        <f t="shared" si="67"/>
        <v>7.820597394917325E-12</v>
      </c>
      <c r="CX91" s="59">
        <f t="shared" si="68"/>
        <v>293.33333333334116</v>
      </c>
      <c r="CY91" s="59">
        <f ca="1">AVERAGE(OFFSET($CX$3,0,0,'Données projet'!$E$13+1,1))-AVERAGE(OFFSET($H$3,0,0,'Données projet'!$E$13+1,1))</f>
        <v>386.66324266750968</v>
      </c>
      <c r="CZ91" s="59">
        <f t="shared" si="96"/>
        <v>356.22149461585769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161.55628947515123</v>
      </c>
      <c r="DG91" s="21">
        <f>EXP(-LN(2)/25)*DG90+(1-EXP(-LN(2)/25))/(LN(2)/25)*Calculateur!DB91*Calculateur!DD91*VLOOKUP('Données projet'!$B$13,Paramètres!$A$1:$I$89,3,0)*0.475*44/12</f>
        <v>46.599187958642645</v>
      </c>
      <c r="DH91" s="21">
        <f>EXP(-LN(2)/2)*DH90+(1-EXP(-LN(2)/2))/(LN(2)/2)*DB91*DE91*VLOOKUP('Données projet'!$B$13,Paramètres!$A$1:$I$89,3,0)*0.475*44/12</f>
        <v>0.14747172719300763</v>
      </c>
      <c r="DI91" s="22">
        <f t="shared" si="69"/>
        <v>208.30294916098688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>
        <f>DO91*VLOOKUP('Données projet'!$B$14,Paramètres!$A$1:$I$89,3,0)*VLOOKUP('Données projet'!$B$14,Paramètres!$A$1:$I$89,5,0)</f>
        <v>0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347.17417070871716</v>
      </c>
      <c r="DU91" s="59">
        <f t="shared" si="98"/>
        <v>339.56378046986441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35.288994089713135</v>
      </c>
      <c r="EB91" s="21">
        <f>EXP(-LN(2)/25)*EB90+(1-EXP(-LN(2)/25))/(LN(2)/25)*Calculateur!DW91*Calculateur!DY91*VLOOKUP('Données projet'!$B$14,Paramètres!$A$1:$I$89,3,0)*0.475*44/12</f>
        <v>32.702516220302982</v>
      </c>
      <c r="EC91" s="21">
        <f>EXP(-LN(2)/2)*EC90+(1-EXP(-LN(2)/2))/(LN(2)/2)*DW91*DZ91*VLOOKUP('Données projet'!$B$14,Paramètres!$A$1:$I$89,3,0)*0.475*44/12</f>
        <v>3.8248358581128135</v>
      </c>
      <c r="ED91" s="22">
        <f t="shared" si="72"/>
        <v>71.816346168128931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>
        <f>EJ91*VLOOKUP('Données projet'!$B$15,Paramètres!$A$1:$I$89,3,0)*VLOOKUP('Données projet'!$B$15,Paramètres!$A$1:$I$89,5,0)</f>
        <v>0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384.34044781465661</v>
      </c>
      <c r="EP91" s="59">
        <f t="shared" si="100"/>
        <v>374.99493809709708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39.523673380478719</v>
      </c>
      <c r="EW91" s="21">
        <f>EXP(-LN(2)/25)*EW90+(1-EXP(-LN(2)/25))/(LN(2)/25)*Calculateur!ER91*Calculateur!ET91*VLOOKUP('Données projet'!$B$15,Paramètres!$A$1:$I$89,3,0)*0.475*44/12</f>
        <v>36.626818166739355</v>
      </c>
      <c r="EX91" s="21">
        <f>EXP(-LN(2)/2)*EX90+(1-EXP(-LN(2)/2))/(LN(2)/2)*ER91*EU91*VLOOKUP('Données projet'!$B$15,Paramètres!$A$1:$I$89,3,0)*0.475*44/12</f>
        <v>4.2838161610863512</v>
      </c>
      <c r="EY91" s="22">
        <f t="shared" si="75"/>
        <v>80.434307708304431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>
        <f>FE91*VLOOKUP('Données projet'!$B$16,Paramètres!$A$1:$I$89,3,0)*VLOOKUP('Données projet'!$B$16,Paramètres!$A$1:$I$89,5,0)</f>
        <v>0</v>
      </c>
      <c r="FG91" s="13" t="e">
        <f t="shared" si="101"/>
        <v>#NUM!</v>
      </c>
      <c r="FH91" s="20" t="e">
        <f t="shared" si="76"/>
        <v>#NUM!</v>
      </c>
      <c r="FI91" s="59" t="e">
        <f t="shared" si="77"/>
        <v>#NUM!</v>
      </c>
      <c r="FJ91" s="59">
        <f ca="1">AVERAGE(OFFSET($FI$3,0,0,'Données projet'!$E$16+1,1))-AVERAGE(OFFSET($H$3,0,0,'Données projet'!$E$16+1,1))</f>
        <v>359.57284550600366</v>
      </c>
      <c r="FK91" s="59">
        <f t="shared" si="102"/>
        <v>351.38386928091433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36.700553853301663</v>
      </c>
      <c r="FR91" s="21">
        <f>EXP(-LN(2)/25)*FR90+(1-EXP(-LN(2)/25))/(LN(2)/25)*Calculateur!FM91*Calculateur!FO91*VLOOKUP('Données projet'!$B$16,Paramètres!$A$1:$I$89,3,0)*0.475*44/12</f>
        <v>34.010616869115104</v>
      </c>
      <c r="FS91" s="21">
        <f>EXP(-LN(2)/2)*FS90+(1-EXP(-LN(2)/2))/(LN(2)/2)*FM91*FP91*VLOOKUP('Données projet'!$B$16,Paramètres!$A$1:$I$89,3,0)*0.475*44/12</f>
        <v>3.9778292924373266</v>
      </c>
      <c r="FT91" s="22">
        <f t="shared" si="78"/>
        <v>74.689000014854088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6">
        <f t="shared" si="56"/>
        <v>256.66666666666669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11.667500000000004</v>
      </c>
      <c r="N92" s="13">
        <f>IF('Données projet'!$A$36&gt;35,N91+M92-V91,IF(A92&lt;'Données projet'!$A$36,$K$205^A92,IF(A92='Données projet'!$A$36,'Données projet'!$B$36,N91+M92-V91)))</f>
        <v>459.70250000000004</v>
      </c>
      <c r="O92" s="13">
        <f>N92*VLOOKUP('Données projet'!$B$9,Paramètres!$A$1:$I$89,3,0)*VLOOKUP('Données projet'!$B$9,Paramètres!$A$1:$I$89,5,0)</f>
        <v>415.93882200000002</v>
      </c>
      <c r="P92" s="13">
        <f t="shared" si="87"/>
        <v>95.000631788713704</v>
      </c>
      <c r="Q92" s="20">
        <f t="shared" si="54"/>
        <v>889.88621534867627</v>
      </c>
      <c r="R92" s="59">
        <f t="shared" si="55"/>
        <v>1183.2195486820096</v>
      </c>
      <c r="S92" s="59">
        <f ca="1">AVERAGE(OFFSET($R$3,0,0,'Données projet'!$E$9+1,1))-AVERAGE(OFFSET($H$3,0,0,'Données projet'!$E$9+1,1))</f>
        <v>695.0879239758051</v>
      </c>
      <c r="T92" s="59">
        <f t="shared" si="88"/>
        <v>226.22150997227476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28.70326902167994</v>
      </c>
      <c r="AA92" s="21">
        <f>EXP(-LN(2)/25)*AA91+(1-EXP(-LN(2)/25))/(LN(2)/25)*Calculateur!V92*Calculateur!X92*VLOOKUP('Données projet'!$B$9,Paramètres!$A$1:$I$89,3,0)*0.475*44/12</f>
        <v>30.57673430413848</v>
      </c>
      <c r="AB92" s="21">
        <f>EXP(-LN(2)/2)*AB91+(1-EXP(-LN(2)/2))/(LN(2)/2)*V92*Y92*VLOOKUP('Données projet'!$B$9,Paramètres!$A$1:$I$89,3,0)*0.475*44/12</f>
        <v>0.47660951756296127</v>
      </c>
      <c r="AC92" s="22">
        <f t="shared" si="57"/>
        <v>59.756612843381383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1.1368683772161603E-13</v>
      </c>
      <c r="AJ92" s="13">
        <f>AI92*VLOOKUP('Données projet'!$B$10,Paramètres!$A$1:$I$89,3,0)*VLOOKUP('Données projet'!$B$10,Paramètres!$A$1:$I$89,5,0)</f>
        <v>6.7984728957526396E-14</v>
      </c>
      <c r="AK92" s="13">
        <f t="shared" si="89"/>
        <v>1.0682447123141398E-12</v>
      </c>
      <c r="AL92" s="20">
        <f t="shared" si="58"/>
        <v>1.978932943548152E-12</v>
      </c>
      <c r="AM92" s="59">
        <f t="shared" si="59"/>
        <v>293.3333333333353</v>
      </c>
      <c r="AN92" s="59">
        <f ca="1">AVERAGE(OFFSET($AM$3,0,0,'Données projet'!$E$10+1,1))-AVERAGE(OFFSET($H$3,0,0,'Données projet'!$E$10+1,1))</f>
        <v>388.12151914648013</v>
      </c>
      <c r="AO92" s="59">
        <f t="shared" si="90"/>
        <v>481.43684454382793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92.606735147935098</v>
      </c>
      <c r="AV92" s="21">
        <f>EXP(-LN(2)/25)*AV91+(1-EXP(-LN(2)/25))/(LN(2)/25)*Calculateur!AQ92*Calculateur!AS92*VLOOKUP('Données projet'!$B$10,Paramètres!$A$1:$I$89,3,0)*0.475*44/12</f>
        <v>24.700585824771981</v>
      </c>
      <c r="AW92" s="21">
        <f>EXP(-LN(2)/2)*AW91+(1-EXP(-LN(2)/2))/(LN(2)/2)*AQ92*AT92*VLOOKUP('Données projet'!$B$10,Paramètres!$A$1:$I$89,3,0)*0.475*44/12</f>
        <v>8.3408208099193201E-4</v>
      </c>
      <c r="AX92" s="21">
        <f t="shared" si="60"/>
        <v>117.30815505478806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415.24818074059294</v>
      </c>
      <c r="BJ92" s="59">
        <f t="shared" si="92"/>
        <v>404.45811532046872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42.208338096525409</v>
      </c>
      <c r="BQ92" s="21">
        <f>EXP(-LN(2)/25)*BQ91+(1-EXP(-LN(2)/25))/(LN(2)/25)*Calculateur!BL92*Calculateur!BN92*VLOOKUP('Données projet'!$B$11,Paramètres!$A$1:$I$89,3,0)*0.475*44/12</f>
        <v>38.806082317300032</v>
      </c>
      <c r="BR92" s="21">
        <f>EXP(-LN(2)/2)*BR91+(1-EXP(-LN(2)/2))/(LN(2)/2)*BL92*BO92*VLOOKUP('Données projet'!$B$11,Paramètres!$A$1:$I$89,3,0)*0.475*44/12</f>
        <v>3.2995721940803855</v>
      </c>
      <c r="BS92" s="22">
        <f t="shared" si="63"/>
        <v>84.313992607905817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>
        <f>BY92*VLOOKUP('Données projet'!$B$12,Paramètres!$A$1:$I$89,3,0)*VLOOKUP('Données projet'!$B$12,Paramètres!$A$1:$I$89,5,0)</f>
        <v>0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384.34044781465661</v>
      </c>
      <c r="CE92" s="59">
        <f t="shared" si="94"/>
        <v>374.99493809709708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47.759949474070687</v>
      </c>
      <c r="CL92" s="21">
        <f>EXP(-LN(2)/25)*CL91+(1-EXP(-LN(2)/25))/(LN(2)/25)*Calculateur!CG92*Calculateur!CI92*VLOOKUP('Données projet'!$B$12,Paramètres!$A$1:$I$89,3,0)*0.475*44/12</f>
        <v>43.91019912990717</v>
      </c>
      <c r="CM92" s="21">
        <f>EXP(-LN(2)/2)*CM91+(1-EXP(-LN(2)/2))/(LN(2)/2)*CG92*CJ92*VLOOKUP('Données projet'!$B$12,Paramètres!$A$1:$I$89,3,0)*0.475*44/12</f>
        <v>3.0291154568606826</v>
      </c>
      <c r="CN92" s="22">
        <f t="shared" si="66"/>
        <v>94.69926406083853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5.6843418860808015E-13</v>
      </c>
      <c r="CU92" s="17">
        <f>CT92*VLOOKUP('Données projet'!$B$13,Paramètres!$A$1:$I$89,3,0)*VLOOKUP('Données projet'!$B$13,Paramètres!$A$1:$I$89,5,0)</f>
        <v>3.177547114319168E-13</v>
      </c>
      <c r="CV92" s="13">
        <f t="shared" si="95"/>
        <v>4.1725404435445377E-12</v>
      </c>
      <c r="CW92" s="20">
        <f t="shared" si="67"/>
        <v>7.820597394917325E-12</v>
      </c>
      <c r="CX92" s="59">
        <f t="shared" si="68"/>
        <v>293.33333333334116</v>
      </c>
      <c r="CY92" s="59">
        <f ca="1">AVERAGE(OFFSET($CX$3,0,0,'Données projet'!$E$13+1,1))-AVERAGE(OFFSET($H$3,0,0,'Données projet'!$E$13+1,1))</f>
        <v>386.66324266750968</v>
      </c>
      <c r="CZ92" s="59">
        <f t="shared" si="96"/>
        <v>356.22149461585769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158.38826917815013</v>
      </c>
      <c r="DG92" s="21">
        <f>EXP(-LN(2)/25)*DG91+(1-EXP(-LN(2)/25))/(LN(2)/25)*Calculateur!DB92*Calculateur!DD92*VLOOKUP('Données projet'!$B$13,Paramètres!$A$1:$I$89,3,0)*0.475*44/12</f>
        <v>45.324930713368772</v>
      </c>
      <c r="DH92" s="21">
        <f>EXP(-LN(2)/2)*DH91+(1-EXP(-LN(2)/2))/(LN(2)/2)*DB92*DE92*VLOOKUP('Données projet'!$B$13,Paramètres!$A$1:$I$89,3,0)*0.475*44/12</f>
        <v>0.10427825833146828</v>
      </c>
      <c r="DI92" s="22">
        <f t="shared" si="69"/>
        <v>203.81747814985039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>
        <f>DO92*VLOOKUP('Données projet'!$B$14,Paramètres!$A$1:$I$89,3,0)*VLOOKUP('Données projet'!$B$14,Paramètres!$A$1:$I$89,5,0)</f>
        <v>0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347.17417070871716</v>
      </c>
      <c r="DU92" s="59">
        <f t="shared" si="98"/>
        <v>339.56378046986441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34.596998439774922</v>
      </c>
      <c r="EB92" s="21">
        <f>EXP(-LN(2)/25)*EB91+(1-EXP(-LN(2)/25))/(LN(2)/25)*Calculateur!DW92*Calculateur!DY92*VLOOKUP('Données projet'!$B$14,Paramètres!$A$1:$I$89,3,0)*0.475*44/12</f>
        <v>31.808264194508212</v>
      </c>
      <c r="EC92" s="21">
        <f>EXP(-LN(2)/2)*EC91+(1-EXP(-LN(2)/2))/(LN(2)/2)*DW92*DZ92*VLOOKUP('Données projet'!$B$14,Paramètres!$A$1:$I$89,3,0)*0.475*44/12</f>
        <v>2.704567372197038</v>
      </c>
      <c r="ED92" s="22">
        <f t="shared" si="72"/>
        <v>69.109830006480166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>
        <f>EJ92*VLOOKUP('Données projet'!$B$15,Paramètres!$A$1:$I$89,3,0)*VLOOKUP('Données projet'!$B$15,Paramètres!$A$1:$I$89,5,0)</f>
        <v>0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384.34044781465661</v>
      </c>
      <c r="EP92" s="59">
        <f t="shared" si="100"/>
        <v>374.99493809709708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38.74863825254792</v>
      </c>
      <c r="EW92" s="21">
        <f>EXP(-LN(2)/25)*EW91+(1-EXP(-LN(2)/25))/(LN(2)/25)*Calculateur!ER92*Calculateur!ET92*VLOOKUP('Données projet'!$B$15,Paramètres!$A$1:$I$89,3,0)*0.475*44/12</f>
        <v>35.625255897849215</v>
      </c>
      <c r="EX92" s="21">
        <f>EXP(-LN(2)/2)*EX91+(1-EXP(-LN(2)/2))/(LN(2)/2)*ER92*EU92*VLOOKUP('Données projet'!$B$15,Paramètres!$A$1:$I$89,3,0)*0.475*44/12</f>
        <v>3.0291154568606826</v>
      </c>
      <c r="EY92" s="22">
        <f t="shared" si="75"/>
        <v>77.403009607257815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>
        <f>FE92*VLOOKUP('Données projet'!$B$16,Paramètres!$A$1:$I$89,3,0)*VLOOKUP('Données projet'!$B$16,Paramètres!$A$1:$I$89,5,0)</f>
        <v>0</v>
      </c>
      <c r="FG92" s="13" t="e">
        <f t="shared" si="101"/>
        <v>#NUM!</v>
      </c>
      <c r="FH92" s="20" t="e">
        <f t="shared" si="76"/>
        <v>#NUM!</v>
      </c>
      <c r="FI92" s="59" t="e">
        <f t="shared" si="77"/>
        <v>#NUM!</v>
      </c>
      <c r="FJ92" s="59">
        <f ca="1">AVERAGE(OFFSET($FI$3,0,0,'Données projet'!$E$16+1,1))-AVERAGE(OFFSET($H$3,0,0,'Données projet'!$E$16+1,1))</f>
        <v>359.57284550600366</v>
      </c>
      <c r="FK92" s="59">
        <f t="shared" si="102"/>
        <v>351.38386928091433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35.980878377365919</v>
      </c>
      <c r="FR92" s="21">
        <f>EXP(-LN(2)/25)*FR91+(1-EXP(-LN(2)/25))/(LN(2)/25)*Calculateur!FM92*Calculateur!FO92*VLOOKUP('Données projet'!$B$16,Paramètres!$A$1:$I$89,3,0)*0.475*44/12</f>
        <v>33.080594762288541</v>
      </c>
      <c r="FS92" s="21">
        <f>EXP(-LN(2)/2)*FS91+(1-EXP(-LN(2)/2))/(LN(2)/2)*FM92*FP92*VLOOKUP('Données projet'!$B$16,Paramètres!$A$1:$I$89,3,0)*0.475*44/12</f>
        <v>2.8127500670849201</v>
      </c>
      <c r="FT92" s="22">
        <f t="shared" si="78"/>
        <v>71.874223206739373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6">
        <f t="shared" si="56"/>
        <v>256.66666666666669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471.37</v>
      </c>
      <c r="L93" s="12">
        <f>VLOOKUP(A93,'Données projet'!$A$35:$I$55,9,0)</f>
        <v>11.667500000000004</v>
      </c>
      <c r="M93" s="12">
        <f t="array" ref="M93">INDEX(L:L,MIN(IF(ISNUMBER(L93:L289),ROW(L93:L289),"")))</f>
        <v>11.667500000000004</v>
      </c>
      <c r="N93" s="13">
        <f>IF('Données projet'!$A$36&gt;35,N92+M93-V92,IF(A93&lt;'Données projet'!$A$36,$K$205^A93,IF(A93='Données projet'!$A$36,'Données projet'!$B$36,N92+M93-V92)))</f>
        <v>471.37000000000006</v>
      </c>
      <c r="O93" s="13">
        <f>N93*VLOOKUP('Données projet'!$B$9,Paramètres!$A$1:$I$89,3,0)*VLOOKUP('Données projet'!$B$9,Paramètres!$A$1:$I$89,5,0)</f>
        <v>426.49557600000003</v>
      </c>
      <c r="P93" s="13">
        <f t="shared" si="87"/>
        <v>97.128021924116638</v>
      </c>
      <c r="Q93" s="20">
        <f t="shared" si="54"/>
        <v>911.9777663845033</v>
      </c>
      <c r="R93" s="59">
        <f t="shared" si="55"/>
        <v>1205.3110997178367</v>
      </c>
      <c r="S93" s="59">
        <f ca="1">AVERAGE(OFFSET($R$3,0,0,'Données projet'!$E$9+1,1))-AVERAGE(OFFSET($H$3,0,0,'Données projet'!$E$9+1,1))</f>
        <v>695.0879239758051</v>
      </c>
      <c r="T93" s="59">
        <f t="shared" si="88"/>
        <v>226.22150997227476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68.54000000000002</v>
      </c>
      <c r="W93" s="16">
        <f>IF(ISNA(VLOOKUP(A93,'Données projet'!$A$35:$I$55,5,0)),0%,VLOOKUP(A93,'Données projet'!$A$35:$I$55,5,0)*VLOOKUP('Données projet'!$B$9,Paramètres!$A$1:$I$89,7,0))</f>
        <v>0.15049999999999999</v>
      </c>
      <c r="X93" s="16">
        <f>IF(ISNA(VLOOKUP(A93,'Données projet'!$A$35:$I$55,6,0)),0%,VLOOKUP(A93,'Données projet'!$A$35:$I$55,6,0)*VLOOKUP('Données projet'!$B$9,Paramètres!$A$1:$I$89,7,0))</f>
        <v>8.6000000000000007E-2</v>
      </c>
      <c r="Y93" s="16">
        <f>IF(ISNA(VLOOKUP(A93,'Données projet'!$A$35:$I$55,7,0)),0%,VLOOKUP(A93,'Données projet'!$A$35:$I$55,7,0))</f>
        <v>0.1</v>
      </c>
      <c r="Z93" s="21">
        <f>EXP(-LN(2)/35)*Z92+(1-EXP(-LN(2)/35))/(LN(2)/35)*V93*W93*VLOOKUP('Données projet'!$B$9,Paramètres!$A$1:$I$89,3,0)*0.475*44/12</f>
        <v>38.458053803247623</v>
      </c>
      <c r="AA93" s="21">
        <f>EXP(-LN(2)/25)*AA92+(1-EXP(-LN(2)/25))/(LN(2)/25)*Calculateur!V93*Calculateur!X93*VLOOKUP('Données projet'!$B$9,Paramètres!$A$1:$I$89,3,0)*0.475*44/12</f>
        <v>35.61319127159561</v>
      </c>
      <c r="AB93" s="21">
        <f>EXP(-LN(2)/2)*AB92+(1-EXP(-LN(2)/2))/(LN(2)/2)*V93*Y93*VLOOKUP('Données projet'!$B$9,Paramètres!$A$1:$I$89,3,0)*0.475*44/12</f>
        <v>6.1882952279506034</v>
      </c>
      <c r="AC93" s="22">
        <f t="shared" si="57"/>
        <v>80.259540302793837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1.1368683772161603E-13</v>
      </c>
      <c r="AJ93" s="13">
        <f>AI93*VLOOKUP('Données projet'!$B$10,Paramètres!$A$1:$I$89,3,0)*VLOOKUP('Données projet'!$B$10,Paramètres!$A$1:$I$89,5,0)</f>
        <v>6.7984728957526396E-14</v>
      </c>
      <c r="AK93" s="13">
        <f t="shared" si="89"/>
        <v>1.0682447123141398E-12</v>
      </c>
      <c r="AL93" s="20">
        <f t="shared" si="58"/>
        <v>1.978932943548152E-12</v>
      </c>
      <c r="AM93" s="59">
        <f t="shared" si="59"/>
        <v>293.3333333333353</v>
      </c>
      <c r="AN93" s="59">
        <f ca="1">AVERAGE(OFFSET($AM$3,0,0,'Données projet'!$E$10+1,1))-AVERAGE(OFFSET($H$3,0,0,'Données projet'!$E$10+1,1))</f>
        <v>388.12151914648013</v>
      </c>
      <c r="AO93" s="59">
        <f t="shared" si="90"/>
        <v>481.43684454382793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90.790773556215143</v>
      </c>
      <c r="AV93" s="21">
        <f>EXP(-LN(2)/25)*AV92+(1-EXP(-LN(2)/25))/(LN(2)/25)*Calculateur!AQ93*Calculateur!AS93*VLOOKUP('Données projet'!$B$10,Paramètres!$A$1:$I$89,3,0)*0.475*44/12</f>
        <v>24.025147006446236</v>
      </c>
      <c r="AW93" s="21">
        <f>EXP(-LN(2)/2)*AW92+(1-EXP(-LN(2)/2))/(LN(2)/2)*AQ93*AT93*VLOOKUP('Données projet'!$B$10,Paramètres!$A$1:$I$89,3,0)*0.475*44/12</f>
        <v>5.8978509553558227E-4</v>
      </c>
      <c r="AX93" s="21">
        <f t="shared" si="60"/>
        <v>114.81651034775692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415.24818074059294</v>
      </c>
      <c r="BJ93" s="59">
        <f t="shared" si="92"/>
        <v>404.45811532046872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41.380658330996724</v>
      </c>
      <c r="BQ93" s="21">
        <f>EXP(-LN(2)/25)*BQ92+(1-EXP(-LN(2)/25))/(LN(2)/25)*Calculateur!BL93*Calculateur!BN93*VLOOKUP('Données projet'!$B$11,Paramètres!$A$1:$I$89,3,0)*0.475*44/12</f>
        <v>37.744927955610287</v>
      </c>
      <c r="BR93" s="21">
        <f>EXP(-LN(2)/2)*BR92+(1-EXP(-LN(2)/2))/(LN(2)/2)*BL93*BO93*VLOOKUP('Données projet'!$B$11,Paramètres!$A$1:$I$89,3,0)*0.475*44/12</f>
        <v>2.3331498734488156</v>
      </c>
      <c r="BS93" s="22">
        <f t="shared" si="63"/>
        <v>81.458736160055835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>
        <f>BY93*VLOOKUP('Données projet'!$B$12,Paramètres!$A$1:$I$89,3,0)*VLOOKUP('Données projet'!$B$12,Paramètres!$A$1:$I$89,5,0)</f>
        <v>0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384.34044781465661</v>
      </c>
      <c r="CE93" s="59">
        <f t="shared" si="94"/>
        <v>374.99493809709708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46.823405995576927</v>
      </c>
      <c r="CL93" s="21">
        <f>EXP(-LN(2)/25)*CL92+(1-EXP(-LN(2)/25))/(LN(2)/25)*Calculateur!CG93*Calculateur!CI93*VLOOKUP('Données projet'!$B$12,Paramètres!$A$1:$I$89,3,0)*0.475*44/12</f>
        <v>42.709472425562844</v>
      </c>
      <c r="CM93" s="21">
        <f>EXP(-LN(2)/2)*CM92+(1-EXP(-LN(2)/2))/(LN(2)/2)*CG93*CJ93*VLOOKUP('Données projet'!$B$12,Paramètres!$A$1:$I$89,3,0)*0.475*44/12</f>
        <v>2.1419080805431756</v>
      </c>
      <c r="CN93" s="22">
        <f t="shared" si="66"/>
        <v>91.674786501682945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5.6843418860808015E-13</v>
      </c>
      <c r="CU93" s="17">
        <f>CT93*VLOOKUP('Données projet'!$B$13,Paramètres!$A$1:$I$89,3,0)*VLOOKUP('Données projet'!$B$13,Paramètres!$A$1:$I$89,5,0)</f>
        <v>3.177547114319168E-13</v>
      </c>
      <c r="CV93" s="13">
        <f t="shared" si="95"/>
        <v>4.1725404435445377E-12</v>
      </c>
      <c r="CW93" s="20">
        <f t="shared" si="67"/>
        <v>7.820597394917325E-12</v>
      </c>
      <c r="CX93" s="59">
        <f t="shared" si="68"/>
        <v>293.33333333334116</v>
      </c>
      <c r="CY93" s="59">
        <f ca="1">AVERAGE(OFFSET($CX$3,0,0,'Données projet'!$E$13+1,1))-AVERAGE(OFFSET($H$3,0,0,'Données projet'!$E$13+1,1))</f>
        <v>386.66324266750968</v>
      </c>
      <c r="CZ93" s="59">
        <f t="shared" si="96"/>
        <v>356.22149461585769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155.28237182687161</v>
      </c>
      <c r="DG93" s="21">
        <f>EXP(-LN(2)/25)*DG92+(1-EXP(-LN(2)/25))/(LN(2)/25)*Calculateur!DB93*Calculateur!DD93*VLOOKUP('Données projet'!$B$13,Paramètres!$A$1:$I$89,3,0)*0.475*44/12</f>
        <v>44.085518099477191</v>
      </c>
      <c r="DH93" s="21">
        <f>EXP(-LN(2)/2)*DH92+(1-EXP(-LN(2)/2))/(LN(2)/2)*DB93*DE93*VLOOKUP('Données projet'!$B$13,Paramètres!$A$1:$I$89,3,0)*0.475*44/12</f>
        <v>7.3735863596503817E-2</v>
      </c>
      <c r="DI93" s="22">
        <f t="shared" si="69"/>
        <v>199.44162578994531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>
        <f>DO93*VLOOKUP('Données projet'!$B$14,Paramètres!$A$1:$I$89,3,0)*VLOOKUP('Données projet'!$B$14,Paramètres!$A$1:$I$89,5,0)</f>
        <v>0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347.17417070871716</v>
      </c>
      <c r="DU93" s="59">
        <f t="shared" si="98"/>
        <v>339.56378046986441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33.918572402456327</v>
      </c>
      <c r="EB93" s="21">
        <f>EXP(-LN(2)/25)*EB92+(1-EXP(-LN(2)/25))/(LN(2)/25)*Calculateur!DW93*Calculateur!DY93*VLOOKUP('Données projet'!$B$14,Paramètres!$A$1:$I$89,3,0)*0.475*44/12</f>
        <v>30.938465537385468</v>
      </c>
      <c r="EC93" s="21">
        <f>EXP(-LN(2)/2)*EC92+(1-EXP(-LN(2)/2))/(LN(2)/2)*DW93*DZ93*VLOOKUP('Données projet'!$B$14,Paramètres!$A$1:$I$89,3,0)*0.475*44/12</f>
        <v>1.912417929056407</v>
      </c>
      <c r="ED93" s="22">
        <f t="shared" si="72"/>
        <v>66.769455868898206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>
        <f>EJ93*VLOOKUP('Données projet'!$B$15,Paramètres!$A$1:$I$89,3,0)*VLOOKUP('Données projet'!$B$15,Paramètres!$A$1:$I$89,5,0)</f>
        <v>0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384.34044781465661</v>
      </c>
      <c r="EP93" s="59">
        <f t="shared" si="100"/>
        <v>374.99493809709708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37.988801090751096</v>
      </c>
      <c r="EW93" s="21">
        <f>EXP(-LN(2)/25)*EW92+(1-EXP(-LN(2)/25))/(LN(2)/25)*Calculateur!ER93*Calculateur!ET93*VLOOKUP('Données projet'!$B$15,Paramètres!$A$1:$I$89,3,0)*0.475*44/12</f>
        <v>34.651081401871743</v>
      </c>
      <c r="EX93" s="21">
        <f>EXP(-LN(2)/2)*EX92+(1-EXP(-LN(2)/2))/(LN(2)/2)*ER93*EU93*VLOOKUP('Données projet'!$B$15,Paramètres!$A$1:$I$89,3,0)*0.475*44/12</f>
        <v>2.1419080805431756</v>
      </c>
      <c r="EY93" s="22">
        <f t="shared" si="75"/>
        <v>74.781790573166006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>
        <f>FE93*VLOOKUP('Données projet'!$B$16,Paramètres!$A$1:$I$89,3,0)*VLOOKUP('Données projet'!$B$16,Paramètres!$A$1:$I$89,5,0)</f>
        <v>0</v>
      </c>
      <c r="FG93" s="13" t="e">
        <f t="shared" si="101"/>
        <v>#NUM!</v>
      </c>
      <c r="FH93" s="20" t="e">
        <f t="shared" si="76"/>
        <v>#NUM!</v>
      </c>
      <c r="FI93" s="59" t="e">
        <f t="shared" si="77"/>
        <v>#NUM!</v>
      </c>
      <c r="FJ93" s="59">
        <f ca="1">AVERAGE(OFFSET($FI$3,0,0,'Données projet'!$E$16+1,1))-AVERAGE(OFFSET($H$3,0,0,'Données projet'!$E$16+1,1))</f>
        <v>359.57284550600366</v>
      </c>
      <c r="FK93" s="59">
        <f t="shared" si="102"/>
        <v>351.38386928091433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35.275315298554581</v>
      </c>
      <c r="FR93" s="21">
        <f>EXP(-LN(2)/25)*FR92+(1-EXP(-LN(2)/25))/(LN(2)/25)*Calculateur!FM93*Calculateur!FO93*VLOOKUP('Données projet'!$B$16,Paramètres!$A$1:$I$89,3,0)*0.475*44/12</f>
        <v>32.176004158880886</v>
      </c>
      <c r="FS93" s="21">
        <f>EXP(-LN(2)/2)*FS92+(1-EXP(-LN(2)/2))/(LN(2)/2)*FM93*FP93*VLOOKUP('Données projet'!$B$16,Paramètres!$A$1:$I$89,3,0)*0.475*44/12</f>
        <v>1.9889146462186635</v>
      </c>
      <c r="FT93" s="22">
        <f t="shared" si="78"/>
        <v>69.44023410365412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6">
        <f t="shared" si="56"/>
        <v>256.66666666666669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11.283999999999997</v>
      </c>
      <c r="N94" s="13">
        <f>IF('Données projet'!$A$36&gt;35,N93+M94-V93,IF(A94&lt;'Données projet'!$A$36,$K$205^A94,IF(A94='Données projet'!$A$36,'Données projet'!$B$36,N93+M94-V93)))</f>
        <v>414.11400000000003</v>
      </c>
      <c r="O94" s="13">
        <f>N94*VLOOKUP('Données projet'!$B$9,Paramètres!$A$1:$I$89,3,0)*VLOOKUP('Données projet'!$B$9,Paramètres!$A$1:$I$89,5,0)</f>
        <v>374.69034720000002</v>
      </c>
      <c r="P94" s="13">
        <f t="shared" si="87"/>
        <v>86.626165379177522</v>
      </c>
      <c r="Q94" s="20">
        <f t="shared" si="54"/>
        <v>803.45959274206746</v>
      </c>
      <c r="R94" s="59">
        <f t="shared" si="55"/>
        <v>1096.7929260754008</v>
      </c>
      <c r="S94" s="59">
        <f ca="1">AVERAGE(OFFSET($R$3,0,0,'Données projet'!$E$9+1,1))-AVERAGE(OFFSET($H$3,0,0,'Données projet'!$E$9+1,1))</f>
        <v>695.0879239758051</v>
      </c>
      <c r="T94" s="59">
        <f t="shared" si="88"/>
        <v>226.22150997227476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37.703914825262558</v>
      </c>
      <c r="AA94" s="21">
        <f>EXP(-LN(2)/25)*AA93+(1-EXP(-LN(2)/25))/(LN(2)/25)*Calculateur!V94*Calculateur!X94*VLOOKUP('Données projet'!$B$9,Paramètres!$A$1:$I$89,3,0)*0.475*44/12</f>
        <v>34.639346683457497</v>
      </c>
      <c r="AB94" s="21">
        <f>EXP(-LN(2)/2)*AB93+(1-EXP(-LN(2)/2))/(LN(2)/2)*V94*Y94*VLOOKUP('Données projet'!$B$9,Paramètres!$A$1:$I$89,3,0)*0.475*44/12</f>
        <v>4.3757855196682236</v>
      </c>
      <c r="AC94" s="22">
        <f t="shared" si="57"/>
        <v>76.719047028388275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1.1368683772161603E-13</v>
      </c>
      <c r="AJ94" s="13">
        <f>AI94*VLOOKUP('Données projet'!$B$10,Paramètres!$A$1:$I$89,3,0)*VLOOKUP('Données projet'!$B$10,Paramètres!$A$1:$I$89,5,0)</f>
        <v>6.7984728957526396E-14</v>
      </c>
      <c r="AK94" s="13">
        <f t="shared" si="89"/>
        <v>1.0682447123141398E-12</v>
      </c>
      <c r="AL94" s="20">
        <f t="shared" si="58"/>
        <v>1.978932943548152E-12</v>
      </c>
      <c r="AM94" s="59">
        <f t="shared" si="59"/>
        <v>293.3333333333353</v>
      </c>
      <c r="AN94" s="59">
        <f ca="1">AVERAGE(OFFSET($AM$3,0,0,'Données projet'!$E$10+1,1))-AVERAGE(OFFSET($H$3,0,0,'Données projet'!$E$10+1,1))</f>
        <v>388.12151914648013</v>
      </c>
      <c r="AO94" s="59">
        <f t="shared" si="90"/>
        <v>481.43684454382793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89.010421863681614</v>
      </c>
      <c r="AV94" s="21">
        <f>EXP(-LN(2)/25)*AV93+(1-EXP(-LN(2)/25))/(LN(2)/25)*Calculateur!AQ94*Calculateur!AS94*VLOOKUP('Données projet'!$B$10,Paramètres!$A$1:$I$89,3,0)*0.475*44/12</f>
        <v>23.368178098127395</v>
      </c>
      <c r="AW94" s="21">
        <f>EXP(-LN(2)/2)*AW93+(1-EXP(-LN(2)/2))/(LN(2)/2)*AQ94*AT94*VLOOKUP('Données projet'!$B$10,Paramètres!$A$1:$I$89,3,0)*0.475*44/12</f>
        <v>4.17041040495966E-4</v>
      </c>
      <c r="AX94" s="21">
        <f t="shared" si="60"/>
        <v>112.37901700284951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415.24818074059294</v>
      </c>
      <c r="BJ94" s="59">
        <f t="shared" si="92"/>
        <v>404.45811532046872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40.569208860835246</v>
      </c>
      <c r="BQ94" s="21">
        <f>EXP(-LN(2)/25)*BQ93+(1-EXP(-LN(2)/25))/(LN(2)/25)*Calculateur!BL94*Calculateur!BN94*VLOOKUP('Données projet'!$B$11,Paramètres!$A$1:$I$89,3,0)*0.475*44/12</f>
        <v>36.712790915744627</v>
      </c>
      <c r="BR94" s="21">
        <f>EXP(-LN(2)/2)*BR93+(1-EXP(-LN(2)/2))/(LN(2)/2)*BL94*BO94*VLOOKUP('Données projet'!$B$11,Paramètres!$A$1:$I$89,3,0)*0.475*44/12</f>
        <v>1.6497860970401927</v>
      </c>
      <c r="BS94" s="22">
        <f t="shared" si="63"/>
        <v>78.931785873620072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>
        <f>BY94*VLOOKUP('Données projet'!$B$12,Paramètres!$A$1:$I$89,3,0)*VLOOKUP('Données projet'!$B$12,Paramètres!$A$1:$I$89,5,0)</f>
        <v>0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384.34044781465661</v>
      </c>
      <c r="CE94" s="59">
        <f t="shared" si="94"/>
        <v>374.99493809709708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45.90522756346131</v>
      </c>
      <c r="CL94" s="21">
        <f>EXP(-LN(2)/25)*CL93+(1-EXP(-LN(2)/25))/(LN(2)/25)*Calculateur!CG94*Calculateur!CI94*VLOOKUP('Données projet'!$B$12,Paramètres!$A$1:$I$89,3,0)*0.475*44/12</f>
        <v>41.541579656092289</v>
      </c>
      <c r="CM94" s="21">
        <f>EXP(-LN(2)/2)*CM93+(1-EXP(-LN(2)/2))/(LN(2)/2)*CG94*CJ94*VLOOKUP('Données projet'!$B$12,Paramètres!$A$1:$I$89,3,0)*0.475*44/12</f>
        <v>1.5145577284303413</v>
      </c>
      <c r="CN94" s="22">
        <f t="shared" si="66"/>
        <v>88.961364947983938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5.6843418860808015E-13</v>
      </c>
      <c r="CU94" s="17">
        <f>CT94*VLOOKUP('Données projet'!$B$13,Paramètres!$A$1:$I$89,3,0)*VLOOKUP('Données projet'!$B$13,Paramètres!$A$1:$I$89,5,0)</f>
        <v>3.177547114319168E-13</v>
      </c>
      <c r="CV94" s="13">
        <f t="shared" si="95"/>
        <v>4.1725404435445377E-12</v>
      </c>
      <c r="CW94" s="20">
        <f t="shared" si="67"/>
        <v>7.820597394917325E-12</v>
      </c>
      <c r="CX94" s="59">
        <f t="shared" si="68"/>
        <v>293.33333333334116</v>
      </c>
      <c r="CY94" s="59">
        <f ca="1">AVERAGE(OFFSET($CX$3,0,0,'Données projet'!$E$13+1,1))-AVERAGE(OFFSET($H$3,0,0,'Données projet'!$E$13+1,1))</f>
        <v>386.66324266750968</v>
      </c>
      <c r="CZ94" s="59">
        <f t="shared" si="96"/>
        <v>356.22149461585769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152.23737922824134</v>
      </c>
      <c r="DG94" s="21">
        <f>EXP(-LN(2)/25)*DG93+(1-EXP(-LN(2)/25))/(LN(2)/25)*Calculateur!DB94*Calculateur!DD94*VLOOKUP('Données projet'!$B$13,Paramètres!$A$1:$I$89,3,0)*0.475*44/12</f>
        <v>42.879997288690348</v>
      </c>
      <c r="DH94" s="21">
        <f>EXP(-LN(2)/2)*DH93+(1-EXP(-LN(2)/2))/(LN(2)/2)*DB94*DE94*VLOOKUP('Données projet'!$B$13,Paramètres!$A$1:$I$89,3,0)*0.475*44/12</f>
        <v>5.2139129165734141E-2</v>
      </c>
      <c r="DI94" s="22">
        <f t="shared" si="69"/>
        <v>195.16951564609744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>
        <f>DO94*VLOOKUP('Données projet'!$B$14,Paramètres!$A$1:$I$89,3,0)*VLOOKUP('Données projet'!$B$14,Paramètres!$A$1:$I$89,5,0)</f>
        <v>0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347.17417070871716</v>
      </c>
      <c r="DU94" s="59">
        <f t="shared" si="98"/>
        <v>339.56378046986441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33.253449885930529</v>
      </c>
      <c r="EB94" s="21">
        <f>EXP(-LN(2)/25)*EB93+(1-EXP(-LN(2)/25))/(LN(2)/25)*Calculateur!DW94*Calculateur!DY94*VLOOKUP('Données projet'!$B$14,Paramètres!$A$1:$I$89,3,0)*0.475*44/12</f>
        <v>30.092451570282471</v>
      </c>
      <c r="EC94" s="21">
        <f>EXP(-LN(2)/2)*EC93+(1-EXP(-LN(2)/2))/(LN(2)/2)*DW94*DZ94*VLOOKUP('Données projet'!$B$14,Paramètres!$A$1:$I$89,3,0)*0.475*44/12</f>
        <v>1.3522836860985192</v>
      </c>
      <c r="ED94" s="22">
        <f t="shared" si="72"/>
        <v>64.698185142311516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>
        <f>EJ94*VLOOKUP('Données projet'!$B$15,Paramètres!$A$1:$I$89,3,0)*VLOOKUP('Données projet'!$B$15,Paramètres!$A$1:$I$89,5,0)</f>
        <v>0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384.34044781465661</v>
      </c>
      <c r="EP94" s="59">
        <f t="shared" si="100"/>
        <v>374.99493809709708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37.243863872242201</v>
      </c>
      <c r="EW94" s="21">
        <f>EXP(-LN(2)/25)*EW93+(1-EXP(-LN(2)/25))/(LN(2)/25)*Calculateur!ER94*Calculateur!ET94*VLOOKUP('Données projet'!$B$15,Paramètres!$A$1:$I$89,3,0)*0.475*44/12</f>
        <v>33.703545758716388</v>
      </c>
      <c r="EX94" s="21">
        <f>EXP(-LN(2)/2)*EX93+(1-EXP(-LN(2)/2))/(LN(2)/2)*ER94*EU94*VLOOKUP('Données projet'!$B$15,Paramètres!$A$1:$I$89,3,0)*0.475*44/12</f>
        <v>1.5145577284303413</v>
      </c>
      <c r="EY94" s="22">
        <f t="shared" si="75"/>
        <v>72.461967359388936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>
        <f>FE94*VLOOKUP('Données projet'!$B$16,Paramètres!$A$1:$I$89,3,0)*VLOOKUP('Données projet'!$B$16,Paramètres!$A$1:$I$89,5,0)</f>
        <v>0</v>
      </c>
      <c r="FG94" s="13" t="e">
        <f t="shared" si="101"/>
        <v>#NUM!</v>
      </c>
      <c r="FH94" s="20" t="e">
        <f t="shared" si="76"/>
        <v>#NUM!</v>
      </c>
      <c r="FI94" s="59" t="e">
        <f t="shared" si="77"/>
        <v>#NUM!</v>
      </c>
      <c r="FJ94" s="59">
        <f ca="1">AVERAGE(OFFSET($FI$3,0,0,'Données projet'!$E$16+1,1))-AVERAGE(OFFSET($H$3,0,0,'Données projet'!$E$16+1,1))</f>
        <v>359.57284550600366</v>
      </c>
      <c r="FK94" s="59">
        <f t="shared" si="102"/>
        <v>351.38386928091433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34.583587881367748</v>
      </c>
      <c r="FR94" s="21">
        <f>EXP(-LN(2)/25)*FR93+(1-EXP(-LN(2)/25))/(LN(2)/25)*Calculateur!FM94*Calculateur!FO94*VLOOKUP('Données projet'!$B$16,Paramètres!$A$1:$I$89,3,0)*0.475*44/12</f>
        <v>31.296149633093769</v>
      </c>
      <c r="FS94" s="21">
        <f>EXP(-LN(2)/2)*FS93+(1-EXP(-LN(2)/2))/(LN(2)/2)*FM94*FP94*VLOOKUP('Données projet'!$B$16,Paramètres!$A$1:$I$89,3,0)*0.475*44/12</f>
        <v>1.4063750335424603</v>
      </c>
      <c r="FT94" s="22">
        <f t="shared" si="78"/>
        <v>67.28611254800397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6">
        <f t="shared" si="56"/>
        <v>256.66666666666669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11.283999999999997</v>
      </c>
      <c r="N95" s="13">
        <f>IF('Données projet'!$A$36&gt;35,N94+M95-V94,IF(A95&lt;'Données projet'!$A$36,$K$205^A95,IF(A95='Données projet'!$A$36,'Données projet'!$B$36,N94+M95-V94)))</f>
        <v>425.39800000000002</v>
      </c>
      <c r="O95" s="13">
        <f>N95*VLOOKUP('Données projet'!$B$9,Paramètres!$A$1:$I$89,3,0)*VLOOKUP('Données projet'!$B$9,Paramètres!$A$1:$I$89,5,0)</f>
        <v>384.90011040000002</v>
      </c>
      <c r="P95" s="13">
        <f t="shared" si="87"/>
        <v>88.708572204563708</v>
      </c>
      <c r="Q95" s="20">
        <f t="shared" si="54"/>
        <v>824.86845553628189</v>
      </c>
      <c r="R95" s="59">
        <f t="shared" si="55"/>
        <v>1118.2017888696153</v>
      </c>
      <c r="S95" s="59">
        <f ca="1">AVERAGE(OFFSET($R$3,0,0,'Données projet'!$E$9+1,1))-AVERAGE(OFFSET($H$3,0,0,'Données projet'!$E$9+1,1))</f>
        <v>695.0879239758051</v>
      </c>
      <c r="T95" s="59">
        <f t="shared" si="88"/>
        <v>226.22150997227476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36.964564052656428</v>
      </c>
      <c r="AA95" s="21">
        <f>EXP(-LN(2)/25)*AA94+(1-EXP(-LN(2)/25))/(LN(2)/25)*Calculateur!V95*Calculateur!X95*VLOOKUP('Données projet'!$B$9,Paramètres!$A$1:$I$89,3,0)*0.475*44/12</f>
        <v>33.692131926794282</v>
      </c>
      <c r="AB95" s="21">
        <f>EXP(-LN(2)/2)*AB94+(1-EXP(-LN(2)/2))/(LN(2)/2)*V95*Y95*VLOOKUP('Données projet'!$B$9,Paramètres!$A$1:$I$89,3,0)*0.475*44/12</f>
        <v>3.0941476139753021</v>
      </c>
      <c r="AC95" s="22">
        <f t="shared" si="57"/>
        <v>73.750843593426026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1.1368683772161603E-13</v>
      </c>
      <c r="AJ95" s="13">
        <f>AI95*VLOOKUP('Données projet'!$B$10,Paramètres!$A$1:$I$89,3,0)*VLOOKUP('Données projet'!$B$10,Paramètres!$A$1:$I$89,5,0)</f>
        <v>6.7984728957526396E-14</v>
      </c>
      <c r="AK95" s="13">
        <f t="shared" si="89"/>
        <v>1.0682447123141398E-12</v>
      </c>
      <c r="AL95" s="20">
        <f t="shared" si="58"/>
        <v>1.978932943548152E-12</v>
      </c>
      <c r="AM95" s="59">
        <f t="shared" si="59"/>
        <v>293.3333333333353</v>
      </c>
      <c r="AN95" s="59">
        <f ca="1">AVERAGE(OFFSET($AM$3,0,0,'Données projet'!$E$10+1,1))-AVERAGE(OFFSET($H$3,0,0,'Données projet'!$E$10+1,1))</f>
        <v>388.12151914648013</v>
      </c>
      <c r="AO95" s="59">
        <f t="shared" si="90"/>
        <v>481.43684454382793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87.264981781931368</v>
      </c>
      <c r="AV95" s="21">
        <f>EXP(-LN(2)/25)*AV94+(1-EXP(-LN(2)/25))/(LN(2)/25)*Calculateur!AQ95*Calculateur!AS95*VLOOKUP('Données projet'!$B$10,Paramètres!$A$1:$I$89,3,0)*0.475*44/12</f>
        <v>22.729174039155023</v>
      </c>
      <c r="AW95" s="21">
        <f>EXP(-LN(2)/2)*AW94+(1-EXP(-LN(2)/2))/(LN(2)/2)*AQ95*AT95*VLOOKUP('Données projet'!$B$10,Paramètres!$A$1:$I$89,3,0)*0.475*44/12</f>
        <v>2.9489254776779114E-4</v>
      </c>
      <c r="AX95" s="21">
        <f t="shared" si="60"/>
        <v>109.99445071363417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415.24818074059294</v>
      </c>
      <c r="BJ95" s="59">
        <f t="shared" si="92"/>
        <v>404.45811532046872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39.773671419848327</v>
      </c>
      <c r="BQ95" s="21">
        <f>EXP(-LN(2)/25)*BQ94+(1-EXP(-LN(2)/25))/(LN(2)/25)*Calculateur!BL95*Calculateur!BN95*VLOOKUP('Données projet'!$B$11,Paramètres!$A$1:$I$89,3,0)*0.475*44/12</f>
        <v>35.708877717511825</v>
      </c>
      <c r="BR95" s="21">
        <f>EXP(-LN(2)/2)*BR94+(1-EXP(-LN(2)/2))/(LN(2)/2)*BL95*BO95*VLOOKUP('Données projet'!$B$11,Paramètres!$A$1:$I$89,3,0)*0.475*44/12</f>
        <v>1.1665749367244078</v>
      </c>
      <c r="BS95" s="22">
        <f t="shared" si="63"/>
        <v>76.649124074084554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>
        <f>BY95*VLOOKUP('Données projet'!$B$12,Paramètres!$A$1:$I$89,3,0)*VLOOKUP('Données projet'!$B$12,Paramètres!$A$1:$I$89,5,0)</f>
        <v>0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384.34044781465661</v>
      </c>
      <c r="CE95" s="59">
        <f t="shared" si="94"/>
        <v>374.99493809709708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45.005054050365935</v>
      </c>
      <c r="CL95" s="21">
        <f>EXP(-LN(2)/25)*CL94+(1-EXP(-LN(2)/25))/(LN(2)/25)*Calculateur!CG95*Calculateur!CI95*VLOOKUP('Données projet'!$B$12,Paramètres!$A$1:$I$89,3,0)*0.475*44/12</f>
        <v>40.405622975819718</v>
      </c>
      <c r="CM95" s="21">
        <f>EXP(-LN(2)/2)*CM94+(1-EXP(-LN(2)/2))/(LN(2)/2)*CG95*CJ95*VLOOKUP('Données projet'!$B$12,Paramètres!$A$1:$I$89,3,0)*0.475*44/12</f>
        <v>1.0709540402715878</v>
      </c>
      <c r="CN95" s="22">
        <f t="shared" si="66"/>
        <v>86.48163106645724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5.6843418860808015E-13</v>
      </c>
      <c r="CU95" s="17">
        <f>CT95*VLOOKUP('Données projet'!$B$13,Paramètres!$A$1:$I$89,3,0)*VLOOKUP('Données projet'!$B$13,Paramètres!$A$1:$I$89,5,0)</f>
        <v>3.177547114319168E-13</v>
      </c>
      <c r="CV95" s="13">
        <f t="shared" si="95"/>
        <v>4.1725404435445377E-12</v>
      </c>
      <c r="CW95" s="20">
        <f t="shared" si="67"/>
        <v>7.820597394917325E-12</v>
      </c>
      <c r="CX95" s="59">
        <f t="shared" si="68"/>
        <v>293.33333333334116</v>
      </c>
      <c r="CY95" s="59">
        <f ca="1">AVERAGE(OFFSET($CX$3,0,0,'Données projet'!$E$13+1,1))-AVERAGE(OFFSET($H$3,0,0,'Données projet'!$E$13+1,1))</f>
        <v>386.66324266750968</v>
      </c>
      <c r="CZ95" s="59">
        <f t="shared" si="96"/>
        <v>356.22149461585769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149.25209707720813</v>
      </c>
      <c r="DG95" s="21">
        <f>EXP(-LN(2)/25)*DG94+(1-EXP(-LN(2)/25))/(LN(2)/25)*Calculateur!DB95*Calculateur!DD95*VLOOKUP('Données projet'!$B$13,Paramètres!$A$1:$I$89,3,0)*0.475*44/12</f>
        <v>41.707441507870058</v>
      </c>
      <c r="DH95" s="21">
        <f>EXP(-LN(2)/2)*DH94+(1-EXP(-LN(2)/2))/(LN(2)/2)*DB95*DE95*VLOOKUP('Données projet'!$B$13,Paramètres!$A$1:$I$89,3,0)*0.475*44/12</f>
        <v>3.6867931798251909E-2</v>
      </c>
      <c r="DI95" s="22">
        <f t="shared" si="69"/>
        <v>190.99640651687642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>
        <f>DO95*VLOOKUP('Données projet'!$B$14,Paramètres!$A$1:$I$89,3,0)*VLOOKUP('Données projet'!$B$14,Paramètres!$A$1:$I$89,5,0)</f>
        <v>0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347.17417070871716</v>
      </c>
      <c r="DU95" s="59">
        <f t="shared" si="98"/>
        <v>339.56378046986441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32.601370016269122</v>
      </c>
      <c r="EB95" s="21">
        <f>EXP(-LN(2)/25)*EB94+(1-EXP(-LN(2)/25))/(LN(2)/25)*Calculateur!DW95*Calculateur!DY95*VLOOKUP('Données projet'!$B$14,Paramètres!$A$1:$I$89,3,0)*0.475*44/12</f>
        <v>29.269571899599846</v>
      </c>
      <c r="EC95" s="21">
        <f>EXP(-LN(2)/2)*EC94+(1-EXP(-LN(2)/2))/(LN(2)/2)*DW95*DZ95*VLOOKUP('Données projet'!$B$14,Paramètres!$A$1:$I$89,3,0)*0.475*44/12</f>
        <v>0.95620896452820359</v>
      </c>
      <c r="ED95" s="22">
        <f t="shared" si="72"/>
        <v>62.82715088039717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>
        <f>EJ95*VLOOKUP('Données projet'!$B$15,Paramètres!$A$1:$I$89,3,0)*VLOOKUP('Données projet'!$B$15,Paramètres!$A$1:$I$89,5,0)</f>
        <v>0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384.34044781465661</v>
      </c>
      <c r="EP95" s="59">
        <f t="shared" si="100"/>
        <v>374.99493809709708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36.513534418221425</v>
      </c>
      <c r="EW95" s="21">
        <f>EXP(-LN(2)/25)*EW94+(1-EXP(-LN(2)/25))/(LN(2)/25)*Calculateur!ER95*Calculateur!ET95*VLOOKUP('Données projet'!$B$15,Paramètres!$A$1:$I$89,3,0)*0.475*44/12</f>
        <v>32.781920527551847</v>
      </c>
      <c r="EX95" s="21">
        <f>EXP(-LN(2)/2)*EX94+(1-EXP(-LN(2)/2))/(LN(2)/2)*ER95*EU95*VLOOKUP('Données projet'!$B$15,Paramètres!$A$1:$I$89,3,0)*0.475*44/12</f>
        <v>1.0709540402715878</v>
      </c>
      <c r="EY95" s="22">
        <f t="shared" si="75"/>
        <v>70.36640898604486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>
        <f>FE95*VLOOKUP('Données projet'!$B$16,Paramètres!$A$1:$I$89,3,0)*VLOOKUP('Données projet'!$B$16,Paramètres!$A$1:$I$89,5,0)</f>
        <v>0</v>
      </c>
      <c r="FG95" s="13" t="e">
        <f t="shared" si="101"/>
        <v>#NUM!</v>
      </c>
      <c r="FH95" s="20" t="e">
        <f t="shared" si="76"/>
        <v>#NUM!</v>
      </c>
      <c r="FI95" s="59" t="e">
        <f t="shared" si="77"/>
        <v>#NUM!</v>
      </c>
      <c r="FJ95" s="59">
        <f ca="1">AVERAGE(OFFSET($FI$3,0,0,'Données projet'!$E$16+1,1))-AVERAGE(OFFSET($H$3,0,0,'Données projet'!$E$16+1,1))</f>
        <v>359.57284550600366</v>
      </c>
      <c r="FK95" s="59">
        <f t="shared" si="102"/>
        <v>351.38386928091433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33.905424816919883</v>
      </c>
      <c r="FR95" s="21">
        <f>EXP(-LN(2)/25)*FR94+(1-EXP(-LN(2)/25))/(LN(2)/25)*Calculateur!FM95*Calculateur!FO95*VLOOKUP('Données projet'!$B$16,Paramètres!$A$1:$I$89,3,0)*0.475*44/12</f>
        <v>30.440354775583838</v>
      </c>
      <c r="FS95" s="21">
        <f>EXP(-LN(2)/2)*FS94+(1-EXP(-LN(2)/2))/(LN(2)/2)*FM95*FP95*VLOOKUP('Données projet'!$B$16,Paramètres!$A$1:$I$89,3,0)*0.475*44/12</f>
        <v>0.99445732310933199</v>
      </c>
      <c r="FT95" s="22">
        <f t="shared" si="78"/>
        <v>65.340236915613048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6">
        <f t="shared" si="56"/>
        <v>256.66666666666669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11.283999999999997</v>
      </c>
      <c r="N96" s="13">
        <f>IF('Données projet'!$A$36&gt;35,N95+M96-V95,IF(A96&lt;'Données projet'!$A$36,$K$205^A96,IF(A96='Données projet'!$A$36,'Données projet'!$B$36,N95+M96-V95)))</f>
        <v>436.68200000000002</v>
      </c>
      <c r="O96" s="13">
        <f>N96*VLOOKUP('Données projet'!$B$9,Paramètres!$A$1:$I$89,3,0)*VLOOKUP('Données projet'!$B$9,Paramètres!$A$1:$I$89,5,0)</f>
        <v>395.10987360000001</v>
      </c>
      <c r="P96" s="13">
        <f t="shared" si="87"/>
        <v>90.784558517022006</v>
      </c>
      <c r="Q96" s="20">
        <f t="shared" si="54"/>
        <v>846.26613593714671</v>
      </c>
      <c r="R96" s="59">
        <f t="shared" si="55"/>
        <v>1139.5994692704801</v>
      </c>
      <c r="S96" s="59">
        <f ca="1">AVERAGE(OFFSET($R$3,0,0,'Données projet'!$E$9+1,1))-AVERAGE(OFFSET($H$3,0,0,'Données projet'!$E$9+1,1))</f>
        <v>695.0879239758051</v>
      </c>
      <c r="T96" s="59">
        <f t="shared" si="88"/>
        <v>226.22150997227476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36.239711497741659</v>
      </c>
      <c r="AA96" s="21">
        <f>EXP(-LN(2)/25)*AA95+(1-EXP(-LN(2)/25))/(LN(2)/25)*Calculateur!V96*Calculateur!X96*VLOOKUP('Données projet'!$B$9,Paramètres!$A$1:$I$89,3,0)*0.475*44/12</f>
        <v>32.770818807463876</v>
      </c>
      <c r="AB96" s="21">
        <f>EXP(-LN(2)/2)*AB95+(1-EXP(-LN(2)/2))/(LN(2)/2)*V96*Y96*VLOOKUP('Données projet'!$B$9,Paramètres!$A$1:$I$89,3,0)*0.475*44/12</f>
        <v>2.1878927598341122</v>
      </c>
      <c r="AC96" s="22">
        <f t="shared" si="57"/>
        <v>71.198423065039648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1.1368683772161603E-13</v>
      </c>
      <c r="AJ96" s="13">
        <f>AI96*VLOOKUP('Données projet'!$B$10,Paramètres!$A$1:$I$89,3,0)*VLOOKUP('Données projet'!$B$10,Paramètres!$A$1:$I$89,5,0)</f>
        <v>6.7984728957526396E-14</v>
      </c>
      <c r="AK96" s="13">
        <f t="shared" si="89"/>
        <v>1.0682447123141398E-12</v>
      </c>
      <c r="AL96" s="20">
        <f t="shared" si="58"/>
        <v>1.978932943548152E-12</v>
      </c>
      <c r="AM96" s="59">
        <f t="shared" si="59"/>
        <v>293.3333333333353</v>
      </c>
      <c r="AN96" s="59">
        <f ca="1">AVERAGE(OFFSET($AM$3,0,0,'Données projet'!$E$10+1,1))-AVERAGE(OFFSET($H$3,0,0,'Données projet'!$E$10+1,1))</f>
        <v>388.12151914648013</v>
      </c>
      <c r="AO96" s="59">
        <f t="shared" si="90"/>
        <v>481.43684454382793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85.553768715570911</v>
      </c>
      <c r="AV96" s="21">
        <f>EXP(-LN(2)/25)*AV95+(1-EXP(-LN(2)/25))/(LN(2)/25)*Calculateur!AQ96*Calculateur!AS96*VLOOKUP('Données projet'!$B$10,Paramètres!$A$1:$I$89,3,0)*0.475*44/12</f>
        <v>22.107643579779015</v>
      </c>
      <c r="AW96" s="21">
        <f>EXP(-LN(2)/2)*AW95+(1-EXP(-LN(2)/2))/(LN(2)/2)*AQ96*AT96*VLOOKUP('Données projet'!$B$10,Paramètres!$A$1:$I$89,3,0)*0.475*44/12</f>
        <v>2.08520520247983E-4</v>
      </c>
      <c r="AX96" s="21">
        <f t="shared" si="60"/>
        <v>107.66162081587017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415.24818074059294</v>
      </c>
      <c r="BJ96" s="59">
        <f t="shared" si="92"/>
        <v>404.45811532046872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38.993733982849236</v>
      </c>
      <c r="BQ96" s="21">
        <f>EXP(-LN(2)/25)*BQ95+(1-EXP(-LN(2)/25))/(LN(2)/25)*Calculateur!BL96*Calculateur!BN96*VLOOKUP('Données projet'!$B$11,Paramètres!$A$1:$I$89,3,0)*0.475*44/12</f>
        <v>34.732416578478201</v>
      </c>
      <c r="BR96" s="21">
        <f>EXP(-LN(2)/2)*BR95+(1-EXP(-LN(2)/2))/(LN(2)/2)*BL96*BO96*VLOOKUP('Données projet'!$B$11,Paramètres!$A$1:$I$89,3,0)*0.475*44/12</f>
        <v>0.82489304852009637</v>
      </c>
      <c r="BS96" s="22">
        <f t="shared" si="63"/>
        <v>74.55104360984754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>
        <f>BY96*VLOOKUP('Données projet'!$B$12,Paramètres!$A$1:$I$89,3,0)*VLOOKUP('Données projet'!$B$12,Paramètres!$A$1:$I$89,5,0)</f>
        <v>0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384.34044781465661</v>
      </c>
      <c r="CE96" s="59">
        <f t="shared" si="94"/>
        <v>374.99493809709708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44.122532390810733</v>
      </c>
      <c r="CL96" s="21">
        <f>EXP(-LN(2)/25)*CL95+(1-EXP(-LN(2)/25))/(LN(2)/25)*Calculateur!CG96*Calculateur!CI96*VLOOKUP('Données projet'!$B$12,Paramètres!$A$1:$I$89,3,0)*0.475*44/12</f>
        <v>39.300729090706561</v>
      </c>
      <c r="CM96" s="21">
        <f>EXP(-LN(2)/2)*CM95+(1-EXP(-LN(2)/2))/(LN(2)/2)*CG96*CJ96*VLOOKUP('Données projet'!$B$12,Paramètres!$A$1:$I$89,3,0)*0.475*44/12</f>
        <v>0.75727886421517066</v>
      </c>
      <c r="CN96" s="22">
        <f t="shared" si="66"/>
        <v>84.180540345732467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5.6843418860808015E-13</v>
      </c>
      <c r="CU96" s="17">
        <f>CT96*VLOOKUP('Données projet'!$B$13,Paramètres!$A$1:$I$89,3,0)*VLOOKUP('Données projet'!$B$13,Paramètres!$A$1:$I$89,5,0)</f>
        <v>3.177547114319168E-13</v>
      </c>
      <c r="CV96" s="13">
        <f t="shared" si="95"/>
        <v>4.1725404435445377E-12</v>
      </c>
      <c r="CW96" s="20">
        <f t="shared" si="67"/>
        <v>7.820597394917325E-12</v>
      </c>
      <c r="CX96" s="59">
        <f t="shared" si="68"/>
        <v>293.33333333334116</v>
      </c>
      <c r="CY96" s="59">
        <f ca="1">AVERAGE(OFFSET($CX$3,0,0,'Données projet'!$E$13+1,1))-AVERAGE(OFFSET($H$3,0,0,'Données projet'!$E$13+1,1))</f>
        <v>386.66324266750968</v>
      </c>
      <c r="CZ96" s="59">
        <f t="shared" si="96"/>
        <v>356.22149461585769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146.32535448831436</v>
      </c>
      <c r="DG96" s="21">
        <f>EXP(-LN(2)/25)*DG95+(1-EXP(-LN(2)/25))/(LN(2)/25)*Calculateur!DB96*Calculateur!DD96*VLOOKUP('Données projet'!$B$13,Paramètres!$A$1:$I$89,3,0)*0.475*44/12</f>
        <v>40.566949326538328</v>
      </c>
      <c r="DH96" s="21">
        <f>EXP(-LN(2)/2)*DH95+(1-EXP(-LN(2)/2))/(LN(2)/2)*DB96*DE96*VLOOKUP('Données projet'!$B$13,Paramètres!$A$1:$I$89,3,0)*0.475*44/12</f>
        <v>2.6069564582867071E-2</v>
      </c>
      <c r="DI96" s="22">
        <f t="shared" si="69"/>
        <v>186.91837337943554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>
        <f>DO96*VLOOKUP('Données projet'!$B$14,Paramètres!$A$1:$I$89,3,0)*VLOOKUP('Données projet'!$B$14,Paramètres!$A$1:$I$89,5,0)</f>
        <v>0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347.17417070871716</v>
      </c>
      <c r="DU96" s="59">
        <f t="shared" si="98"/>
        <v>339.56378046986441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31.962077035122327</v>
      </c>
      <c r="EB96" s="21">
        <f>EXP(-LN(2)/25)*EB95+(1-EXP(-LN(2)/25))/(LN(2)/25)*Calculateur!DW96*Calculateur!DY96*VLOOKUP('Données projet'!$B$14,Paramètres!$A$1:$I$89,3,0)*0.475*44/12</f>
        <v>28.4691939167854</v>
      </c>
      <c r="EC96" s="21">
        <f>EXP(-LN(2)/2)*EC95+(1-EXP(-LN(2)/2))/(LN(2)/2)*DW96*DZ96*VLOOKUP('Données projet'!$B$14,Paramètres!$A$1:$I$89,3,0)*0.475*44/12</f>
        <v>0.67614184304925973</v>
      </c>
      <c r="ED96" s="22">
        <f t="shared" si="72"/>
        <v>61.107412794956986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>
        <f>EJ96*VLOOKUP('Données projet'!$B$15,Paramètres!$A$1:$I$89,3,0)*VLOOKUP('Données projet'!$B$15,Paramètres!$A$1:$I$89,5,0)</f>
        <v>0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384.34044781465661</v>
      </c>
      <c r="EP96" s="59">
        <f t="shared" si="100"/>
        <v>374.99493809709708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35.797526279337013</v>
      </c>
      <c r="EW96" s="21">
        <f>EXP(-LN(2)/25)*EW95+(1-EXP(-LN(2)/25))/(LN(2)/25)*Calculateur!ER96*Calculateur!ET96*VLOOKUP('Données projet'!$B$15,Paramètres!$A$1:$I$89,3,0)*0.475*44/12</f>
        <v>31.885497186799665</v>
      </c>
      <c r="EX96" s="21">
        <f>EXP(-LN(2)/2)*EX95+(1-EXP(-LN(2)/2))/(LN(2)/2)*ER96*EU96*VLOOKUP('Données projet'!$B$15,Paramètres!$A$1:$I$89,3,0)*0.475*44/12</f>
        <v>0.75727886421517066</v>
      </c>
      <c r="EY96" s="22">
        <f t="shared" si="75"/>
        <v>68.440302330351841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>
        <f>FE96*VLOOKUP('Données projet'!$B$16,Paramètres!$A$1:$I$89,3,0)*VLOOKUP('Données projet'!$B$16,Paramètres!$A$1:$I$89,5,0)</f>
        <v>0</v>
      </c>
      <c r="FG96" s="13" t="e">
        <f t="shared" si="101"/>
        <v>#NUM!</v>
      </c>
      <c r="FH96" s="20" t="e">
        <f t="shared" si="76"/>
        <v>#NUM!</v>
      </c>
      <c r="FI96" s="59" t="e">
        <f t="shared" si="77"/>
        <v>#NUM!</v>
      </c>
      <c r="FJ96" s="59">
        <f ca="1">AVERAGE(OFFSET($FI$3,0,0,'Données projet'!$E$16+1,1))-AVERAGE(OFFSET($H$3,0,0,'Données projet'!$E$16+1,1))</f>
        <v>359.57284550600366</v>
      </c>
      <c r="FK96" s="59">
        <f t="shared" si="102"/>
        <v>351.38386928091433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33.240560116527213</v>
      </c>
      <c r="FR96" s="21">
        <f>EXP(-LN(2)/25)*FR95+(1-EXP(-LN(2)/25))/(LN(2)/25)*Calculateur!FM96*Calculateur!FO96*VLOOKUP('Données projet'!$B$16,Paramètres!$A$1:$I$89,3,0)*0.475*44/12</f>
        <v>29.607961673456813</v>
      </c>
      <c r="FS96" s="21">
        <f>EXP(-LN(2)/2)*FS95+(1-EXP(-LN(2)/2))/(LN(2)/2)*FM96*FP96*VLOOKUP('Données projet'!$B$16,Paramètres!$A$1:$I$89,3,0)*0.475*44/12</f>
        <v>0.70318751677123026</v>
      </c>
      <c r="FT96" s="22">
        <f t="shared" si="78"/>
        <v>63.551709306755257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6">
        <f t="shared" si="56"/>
        <v>256.66666666666669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11.283999999999997</v>
      </c>
      <c r="N97" s="13">
        <f>IF('Données projet'!$A$36&gt;35,N96+M97-V96,IF(A97&lt;'Données projet'!$A$36,$K$205^A97,IF(A97='Données projet'!$A$36,'Données projet'!$B$36,N96+M97-V96)))</f>
        <v>447.96600000000001</v>
      </c>
      <c r="O97" s="13">
        <f>N97*VLOOKUP('Données projet'!$B$9,Paramètres!$A$1:$I$89,3,0)*VLOOKUP('Données projet'!$B$9,Paramètres!$A$1:$I$89,5,0)</f>
        <v>405.31963679999996</v>
      </c>
      <c r="P97" s="13">
        <f t="shared" si="87"/>
        <v>92.854309299710778</v>
      </c>
      <c r="Q97" s="20">
        <f t="shared" si="54"/>
        <v>867.65295612366288</v>
      </c>
      <c r="R97" s="59">
        <f t="shared" si="55"/>
        <v>1160.9862894569962</v>
      </c>
      <c r="S97" s="59">
        <f ca="1">AVERAGE(OFFSET($R$3,0,0,'Données projet'!$E$9+1,1))-AVERAGE(OFFSET($H$3,0,0,'Données projet'!$E$9+1,1))</f>
        <v>695.0879239758051</v>
      </c>
      <c r="T97" s="59">
        <f t="shared" si="88"/>
        <v>226.22150997227476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35.529072859312365</v>
      </c>
      <c r="AA97" s="21">
        <f>EXP(-LN(2)/25)*AA96+(1-EXP(-LN(2)/25))/(LN(2)/25)*Calculateur!V97*Calculateur!X97*VLOOKUP('Données projet'!$B$9,Paramètres!$A$1:$I$89,3,0)*0.475*44/12</f>
        <v>31.874699043831313</v>
      </c>
      <c r="AB97" s="21">
        <f>EXP(-LN(2)/2)*AB96+(1-EXP(-LN(2)/2))/(LN(2)/2)*V97*Y97*VLOOKUP('Données projet'!$B$9,Paramètres!$A$1:$I$89,3,0)*0.475*44/12</f>
        <v>1.5470738069876513</v>
      </c>
      <c r="AC97" s="22">
        <f t="shared" si="57"/>
        <v>68.950845710131333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1.1368683772161603E-13</v>
      </c>
      <c r="AJ97" s="13">
        <f>AI97*VLOOKUP('Données projet'!$B$10,Paramètres!$A$1:$I$89,3,0)*VLOOKUP('Données projet'!$B$10,Paramètres!$A$1:$I$89,5,0)</f>
        <v>6.7984728957526396E-14</v>
      </c>
      <c r="AK97" s="13">
        <f t="shared" si="89"/>
        <v>1.0682447123141398E-12</v>
      </c>
      <c r="AL97" s="20">
        <f t="shared" si="58"/>
        <v>1.978932943548152E-12</v>
      </c>
      <c r="AM97" s="59">
        <f t="shared" si="59"/>
        <v>293.3333333333353</v>
      </c>
      <c r="AN97" s="59">
        <f ca="1">AVERAGE(OFFSET($AM$3,0,0,'Données projet'!$E$10+1,1))-AVERAGE(OFFSET($H$3,0,0,'Données projet'!$E$10+1,1))</f>
        <v>388.12151914648013</v>
      </c>
      <c r="AO97" s="59">
        <f t="shared" si="90"/>
        <v>481.43684454382793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83.876111493704869</v>
      </c>
      <c r="AV97" s="21">
        <f>EXP(-LN(2)/25)*AV96+(1-EXP(-LN(2)/25))/(LN(2)/25)*Calculateur!AQ97*Calculateur!AS97*VLOOKUP('Données projet'!$B$10,Paramètres!$A$1:$I$89,3,0)*0.475*44/12</f>
        <v>21.503108903499509</v>
      </c>
      <c r="AW97" s="21">
        <f>EXP(-LN(2)/2)*AW96+(1-EXP(-LN(2)/2))/(LN(2)/2)*AQ97*AT97*VLOOKUP('Données projet'!$B$10,Paramètres!$A$1:$I$89,3,0)*0.475*44/12</f>
        <v>1.4744627388389557E-4</v>
      </c>
      <c r="AX97" s="21">
        <f t="shared" si="60"/>
        <v>105.37936784347826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415.24818074059294</v>
      </c>
      <c r="BJ97" s="59">
        <f t="shared" si="92"/>
        <v>404.45811532046872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38.22909064327483</v>
      </c>
      <c r="BQ97" s="21">
        <f>EXP(-LN(2)/25)*BQ96+(1-EXP(-LN(2)/25))/(LN(2)/25)*Calculateur!BL97*Calculateur!BN97*VLOOKUP('Données projet'!$B$11,Paramètres!$A$1:$I$89,3,0)*0.475*44/12</f>
        <v>33.782656820641307</v>
      </c>
      <c r="BR97" s="21">
        <f>EXP(-LN(2)/2)*BR96+(1-EXP(-LN(2)/2))/(LN(2)/2)*BL97*BO97*VLOOKUP('Données projet'!$B$11,Paramètres!$A$1:$I$89,3,0)*0.475*44/12</f>
        <v>0.58328746836220391</v>
      </c>
      <c r="BS97" s="22">
        <f t="shared" si="63"/>
        <v>72.595034932278338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>
        <f>BY97*VLOOKUP('Données projet'!$B$12,Paramètres!$A$1:$I$89,3,0)*VLOOKUP('Données projet'!$B$12,Paramètres!$A$1:$I$89,5,0)</f>
        <v>0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384.34044781465661</v>
      </c>
      <c r="CE97" s="59">
        <f t="shared" si="94"/>
        <v>374.99493809709708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43.257316442714348</v>
      </c>
      <c r="CL97" s="21">
        <f>EXP(-LN(2)/25)*CL96+(1-EXP(-LN(2)/25))/(LN(2)/25)*Calculateur!CG97*Calculateur!CI97*VLOOKUP('Données projet'!$B$12,Paramètres!$A$1:$I$89,3,0)*0.475*44/12</f>
        <v>38.226048586985669</v>
      </c>
      <c r="CM97" s="21">
        <f>EXP(-LN(2)/2)*CM96+(1-EXP(-LN(2)/2))/(LN(2)/2)*CG97*CJ97*VLOOKUP('Données projet'!$B$12,Paramètres!$A$1:$I$89,3,0)*0.475*44/12</f>
        <v>0.5354770201357939</v>
      </c>
      <c r="CN97" s="22">
        <f t="shared" si="66"/>
        <v>82.018842049835825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5.6843418860808015E-13</v>
      </c>
      <c r="CU97" s="17">
        <f>CT97*VLOOKUP('Données projet'!$B$13,Paramètres!$A$1:$I$89,3,0)*VLOOKUP('Données projet'!$B$13,Paramètres!$A$1:$I$89,5,0)</f>
        <v>3.177547114319168E-13</v>
      </c>
      <c r="CV97" s="13">
        <f t="shared" si="95"/>
        <v>4.1725404435445377E-12</v>
      </c>
      <c r="CW97" s="20">
        <f t="shared" si="67"/>
        <v>7.820597394917325E-12</v>
      </c>
      <c r="CX97" s="59">
        <f t="shared" si="68"/>
        <v>293.33333333334116</v>
      </c>
      <c r="CY97" s="59">
        <f ca="1">AVERAGE(OFFSET($CX$3,0,0,'Données projet'!$E$13+1,1))-AVERAGE(OFFSET($H$3,0,0,'Données projet'!$E$13+1,1))</f>
        <v>386.66324266750968</v>
      </c>
      <c r="CZ97" s="59">
        <f t="shared" si="96"/>
        <v>356.22149461585769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143.45600353645207</v>
      </c>
      <c r="DG97" s="21">
        <f>EXP(-LN(2)/25)*DG96+(1-EXP(-LN(2)/25))/(LN(2)/25)*Calculateur!DB97*Calculateur!DD97*VLOOKUP('Données projet'!$B$13,Paramètres!$A$1:$I$89,3,0)*0.475*44/12</f>
        <v>39.45764396388099</v>
      </c>
      <c r="DH97" s="21">
        <f>EXP(-LN(2)/2)*DH96+(1-EXP(-LN(2)/2))/(LN(2)/2)*DB97*DE97*VLOOKUP('Données projet'!$B$13,Paramètres!$A$1:$I$89,3,0)*0.475*44/12</f>
        <v>1.8433965899125954E-2</v>
      </c>
      <c r="DI97" s="22">
        <f t="shared" si="69"/>
        <v>182.93208146623221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>
        <f>DO97*VLOOKUP('Données projet'!$B$14,Paramètres!$A$1:$I$89,3,0)*VLOOKUP('Données projet'!$B$14,Paramètres!$A$1:$I$89,5,0)</f>
        <v>0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347.17417070871716</v>
      </c>
      <c r="DU97" s="59">
        <f t="shared" si="98"/>
        <v>339.56378046986441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31.335320199405604</v>
      </c>
      <c r="EB97" s="21">
        <f>EXP(-LN(2)/25)*EB96+(1-EXP(-LN(2)/25))/(LN(2)/25)*Calculateur!DW97*Calculateur!DY97*VLOOKUP('Données projet'!$B$14,Paramètres!$A$1:$I$89,3,0)*0.475*44/12</f>
        <v>27.690702312001061</v>
      </c>
      <c r="EC97" s="21">
        <f>EXP(-LN(2)/2)*EC96+(1-EXP(-LN(2)/2))/(LN(2)/2)*DW97*DZ97*VLOOKUP('Données projet'!$B$14,Paramètres!$A$1:$I$89,3,0)*0.475*44/12</f>
        <v>0.4781044822641019</v>
      </c>
      <c r="ED97" s="22">
        <f t="shared" si="72"/>
        <v>59.504126993670766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>
        <f>EJ97*VLOOKUP('Données projet'!$B$15,Paramètres!$A$1:$I$89,3,0)*VLOOKUP('Données projet'!$B$15,Paramètres!$A$1:$I$89,5,0)</f>
        <v>0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384.34044781465661</v>
      </c>
      <c r="EP97" s="59">
        <f t="shared" si="100"/>
        <v>374.99493809709708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35.095558623334284</v>
      </c>
      <c r="EW97" s="21">
        <f>EXP(-LN(2)/25)*EW96+(1-EXP(-LN(2)/25))/(LN(2)/25)*Calculateur!ER97*Calculateur!ET97*VLOOKUP('Données projet'!$B$15,Paramètres!$A$1:$I$89,3,0)*0.475*44/12</f>
        <v>31.013586589441207</v>
      </c>
      <c r="EX97" s="21">
        <f>EXP(-LN(2)/2)*EX96+(1-EXP(-LN(2)/2))/(LN(2)/2)*ER97*EU97*VLOOKUP('Données projet'!$B$15,Paramètres!$A$1:$I$89,3,0)*0.475*44/12</f>
        <v>0.5354770201357939</v>
      </c>
      <c r="EY97" s="22">
        <f t="shared" si="75"/>
        <v>66.644622232911289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>
        <f>FE97*VLOOKUP('Données projet'!$B$16,Paramètres!$A$1:$I$89,3,0)*VLOOKUP('Données projet'!$B$16,Paramètres!$A$1:$I$89,5,0)</f>
        <v>0</v>
      </c>
      <c r="FG97" s="13" t="e">
        <f t="shared" si="101"/>
        <v>#NUM!</v>
      </c>
      <c r="FH97" s="20" t="e">
        <f t="shared" si="76"/>
        <v>#NUM!</v>
      </c>
      <c r="FI97" s="59" t="e">
        <f t="shared" si="77"/>
        <v>#NUM!</v>
      </c>
      <c r="FJ97" s="59">
        <f ca="1">AVERAGE(OFFSET($FI$3,0,0,'Données projet'!$E$16+1,1))-AVERAGE(OFFSET($H$3,0,0,'Données projet'!$E$16+1,1))</f>
        <v>359.57284550600366</v>
      </c>
      <c r="FK97" s="59">
        <f t="shared" si="102"/>
        <v>351.38386928091433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32.588733007381819</v>
      </c>
      <c r="FR97" s="21">
        <f>EXP(-LN(2)/25)*FR96+(1-EXP(-LN(2)/25))/(LN(2)/25)*Calculateur!FM97*Calculateur!FO97*VLOOKUP('Données projet'!$B$16,Paramètres!$A$1:$I$89,3,0)*0.475*44/12</f>
        <v>28.798330404481103</v>
      </c>
      <c r="FS97" s="21">
        <f>EXP(-LN(2)/2)*FS96+(1-EXP(-LN(2)/2))/(LN(2)/2)*FM97*FP97*VLOOKUP('Données projet'!$B$16,Paramètres!$A$1:$I$89,3,0)*0.475*44/12</f>
        <v>0.49722866155466605</v>
      </c>
      <c r="FT97" s="22">
        <f t="shared" si="78"/>
        <v>61.884292073417591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6">
        <f t="shared" si="56"/>
        <v>256.66666666666669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11.283999999999997</v>
      </c>
      <c r="N98" s="13">
        <f>IF('Données projet'!$A$36&gt;35,N97+M98-V97,IF(A98&lt;'Données projet'!$A$36,$K$205^A98,IF(A98='Données projet'!$A$36,'Données projet'!$B$36,N97+M98-V97)))</f>
        <v>459.25</v>
      </c>
      <c r="O98" s="13">
        <f>N98*VLOOKUP('Données projet'!$B$9,Paramètres!$A$1:$I$89,3,0)*VLOOKUP('Données projet'!$B$9,Paramètres!$A$1:$I$89,5,0)</f>
        <v>415.52940000000001</v>
      </c>
      <c r="P98" s="13">
        <f t="shared" si="87"/>
        <v>94.917999685477398</v>
      </c>
      <c r="Q98" s="20">
        <f t="shared" si="54"/>
        <v>889.02922111887312</v>
      </c>
      <c r="R98" s="59">
        <f t="shared" si="55"/>
        <v>1182.3625544522065</v>
      </c>
      <c r="S98" s="59">
        <f ca="1">AVERAGE(OFFSET($R$3,0,0,'Données projet'!$E$9+1,1))-AVERAGE(OFFSET($H$3,0,0,'Données projet'!$E$9+1,1))</f>
        <v>695.0879239758051</v>
      </c>
      <c r="T98" s="59">
        <f t="shared" si="88"/>
        <v>226.22150997227476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34.8323694111359</v>
      </c>
      <c r="AA98" s="21">
        <f>EXP(-LN(2)/25)*AA97+(1-EXP(-LN(2)/25))/(LN(2)/25)*Calculateur!V98*Calculateur!X98*VLOOKUP('Données projet'!$B$9,Paramètres!$A$1:$I$89,3,0)*0.475*44/12</f>
        <v>31.003083722260175</v>
      </c>
      <c r="AB98" s="21">
        <f>EXP(-LN(2)/2)*AB97+(1-EXP(-LN(2)/2))/(LN(2)/2)*V98*Y98*VLOOKUP('Données projet'!$B$9,Paramètres!$A$1:$I$89,3,0)*0.475*44/12</f>
        <v>1.0939463799170563</v>
      </c>
      <c r="AC98" s="22">
        <f t="shared" si="57"/>
        <v>66.929399513313129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1.1368683772161603E-13</v>
      </c>
      <c r="AJ98" s="13">
        <f>AI98*VLOOKUP('Données projet'!$B$10,Paramètres!$A$1:$I$89,3,0)*VLOOKUP('Données projet'!$B$10,Paramètres!$A$1:$I$89,5,0)</f>
        <v>6.7984728957526396E-14</v>
      </c>
      <c r="AK98" s="13">
        <f t="shared" si="89"/>
        <v>1.0682447123141398E-12</v>
      </c>
      <c r="AL98" s="20">
        <f t="shared" si="58"/>
        <v>1.978932943548152E-12</v>
      </c>
      <c r="AM98" s="59">
        <f t="shared" si="59"/>
        <v>293.3333333333353</v>
      </c>
      <c r="AN98" s="59">
        <f ca="1">AVERAGE(OFFSET($AM$3,0,0,'Données projet'!$E$10+1,1))-AVERAGE(OFFSET($H$3,0,0,'Données projet'!$E$10+1,1))</f>
        <v>388.12151914648013</v>
      </c>
      <c r="AO98" s="59">
        <f t="shared" si="90"/>
        <v>481.43684454382793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82.231352106689755</v>
      </c>
      <c r="AV98" s="21">
        <f>EXP(-LN(2)/25)*AV97+(1-EXP(-LN(2)/25))/(LN(2)/25)*Calculateur!AQ98*Calculateur!AS98*VLOOKUP('Données projet'!$B$10,Paramètres!$A$1:$I$89,3,0)*0.475*44/12</f>
        <v>20.915105259733963</v>
      </c>
      <c r="AW98" s="21">
        <f>EXP(-LN(2)/2)*AW97+(1-EXP(-LN(2)/2))/(LN(2)/2)*AQ98*AT98*VLOOKUP('Données projet'!$B$10,Paramètres!$A$1:$I$89,3,0)*0.475*44/12</f>
        <v>1.042602601239915E-4</v>
      </c>
      <c r="AX98" s="21">
        <f t="shared" si="60"/>
        <v>103.14656162668385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415.24818074059294</v>
      </c>
      <c r="BJ98" s="59">
        <f t="shared" si="92"/>
        <v>404.45811532046872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37.479441493203097</v>
      </c>
      <c r="BQ98" s="21">
        <f>EXP(-LN(2)/25)*BQ97+(1-EXP(-LN(2)/25))/(LN(2)/25)*Calculateur!BL98*Calculateur!BN98*VLOOKUP('Données projet'!$B$11,Paramètres!$A$1:$I$89,3,0)*0.475*44/12</f>
        <v>32.858868293328158</v>
      </c>
      <c r="BR98" s="21">
        <f>EXP(-LN(2)/2)*BR97+(1-EXP(-LN(2)/2))/(LN(2)/2)*BL98*BO98*VLOOKUP('Données projet'!$B$11,Paramètres!$A$1:$I$89,3,0)*0.475*44/12</f>
        <v>0.41244652426004819</v>
      </c>
      <c r="BS98" s="22">
        <f t="shared" si="63"/>
        <v>70.750756310791303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>
        <f>BY98*VLOOKUP('Données projet'!$B$12,Paramètres!$A$1:$I$89,3,0)*VLOOKUP('Données projet'!$B$12,Paramètres!$A$1:$I$89,5,0)</f>
        <v>0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384.34044781465661</v>
      </c>
      <c r="CE98" s="59">
        <f t="shared" si="94"/>
        <v>374.99493809709708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42.409066851630513</v>
      </c>
      <c r="CL98" s="21">
        <f>EXP(-LN(2)/25)*CL97+(1-EXP(-LN(2)/25))/(LN(2)/25)*Calculateur!CG98*Calculateur!CI98*VLOOKUP('Données projet'!$B$12,Paramètres!$A$1:$I$89,3,0)*0.475*44/12</f>
        <v>37.180755278154017</v>
      </c>
      <c r="CM98" s="21">
        <f>EXP(-LN(2)/2)*CM97+(1-EXP(-LN(2)/2))/(LN(2)/2)*CG98*CJ98*VLOOKUP('Données projet'!$B$12,Paramètres!$A$1:$I$89,3,0)*0.475*44/12</f>
        <v>0.37863943210758533</v>
      </c>
      <c r="CN98" s="22">
        <f t="shared" si="66"/>
        <v>79.968461561892113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5.6843418860808015E-13</v>
      </c>
      <c r="CU98" s="17">
        <f>CT98*VLOOKUP('Données projet'!$B$13,Paramètres!$A$1:$I$89,3,0)*VLOOKUP('Données projet'!$B$13,Paramètres!$A$1:$I$89,5,0)</f>
        <v>3.177547114319168E-13</v>
      </c>
      <c r="CV98" s="13">
        <f t="shared" si="95"/>
        <v>4.1725404435445377E-12</v>
      </c>
      <c r="CW98" s="20">
        <f t="shared" si="67"/>
        <v>7.820597394917325E-12</v>
      </c>
      <c r="CX98" s="59">
        <f t="shared" si="68"/>
        <v>293.33333333334116</v>
      </c>
      <c r="CY98" s="59">
        <f ca="1">AVERAGE(OFFSET($CX$3,0,0,'Données projet'!$E$13+1,1))-AVERAGE(OFFSET($H$3,0,0,'Données projet'!$E$13+1,1))</f>
        <v>386.66324266750968</v>
      </c>
      <c r="CZ98" s="59">
        <f t="shared" si="96"/>
        <v>356.22149461585769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140.64291880662455</v>
      </c>
      <c r="DG98" s="21">
        <f>EXP(-LN(2)/25)*DG97+(1-EXP(-LN(2)/25))/(LN(2)/25)*Calculateur!DB98*Calculateur!DD98*VLOOKUP('Données projet'!$B$13,Paramètres!$A$1:$I$89,3,0)*0.475*44/12</f>
        <v>38.378672614701351</v>
      </c>
      <c r="DH98" s="21">
        <f>EXP(-LN(2)/2)*DH97+(1-EXP(-LN(2)/2))/(LN(2)/2)*DB98*DE98*VLOOKUP('Données projet'!$B$13,Paramètres!$A$1:$I$89,3,0)*0.475*44/12</f>
        <v>1.3034782291433535E-2</v>
      </c>
      <c r="DI98" s="22">
        <f t="shared" si="69"/>
        <v>179.03462620361734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>
        <f>DO98*VLOOKUP('Données projet'!$B$14,Paramètres!$A$1:$I$89,3,0)*VLOOKUP('Données projet'!$B$14,Paramètres!$A$1:$I$89,5,0)</f>
        <v>0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347.17417070871716</v>
      </c>
      <c r="DU98" s="59">
        <f t="shared" si="98"/>
        <v>339.56378046986441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30.720853682953365</v>
      </c>
      <c r="EB98" s="21">
        <f>EXP(-LN(2)/25)*EB97+(1-EXP(-LN(2)/25))/(LN(2)/25)*Calculateur!DW98*Calculateur!DY98*VLOOKUP('Données projet'!$B$14,Paramètres!$A$1:$I$89,3,0)*0.475*44/12</f>
        <v>26.933498601088647</v>
      </c>
      <c r="EC98" s="21">
        <f>EXP(-LN(2)/2)*EC97+(1-EXP(-LN(2)/2))/(LN(2)/2)*DW98*DZ98*VLOOKUP('Données projet'!$B$14,Paramètres!$A$1:$I$89,3,0)*0.475*44/12</f>
        <v>0.33807092152462992</v>
      </c>
      <c r="ED98" s="22">
        <f t="shared" si="72"/>
        <v>57.992423205566645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>
        <f>EJ98*VLOOKUP('Données projet'!$B$15,Paramètres!$A$1:$I$89,3,0)*VLOOKUP('Données projet'!$B$15,Paramètres!$A$1:$I$89,5,0)</f>
        <v>0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384.34044781465661</v>
      </c>
      <c r="EP98" s="59">
        <f t="shared" si="100"/>
        <v>374.99493809709708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34.407356124907771</v>
      </c>
      <c r="EW98" s="21">
        <f>EXP(-LN(2)/25)*EW97+(1-EXP(-LN(2)/25))/(LN(2)/25)*Calculateur!ER98*Calculateur!ET98*VLOOKUP('Données projet'!$B$15,Paramètres!$A$1:$I$89,3,0)*0.475*44/12</f>
        <v>30.165518433219301</v>
      </c>
      <c r="EX98" s="21">
        <f>EXP(-LN(2)/2)*EX97+(1-EXP(-LN(2)/2))/(LN(2)/2)*ER98*EU98*VLOOKUP('Données projet'!$B$15,Paramètres!$A$1:$I$89,3,0)*0.475*44/12</f>
        <v>0.37863943210758533</v>
      </c>
      <c r="EY98" s="22">
        <f t="shared" si="75"/>
        <v>64.951513990234659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>
        <f>FE98*VLOOKUP('Données projet'!$B$16,Paramètres!$A$1:$I$89,3,0)*VLOOKUP('Données projet'!$B$16,Paramètres!$A$1:$I$89,5,0)</f>
        <v>0</v>
      </c>
      <c r="FG98" s="13" t="e">
        <f t="shared" si="101"/>
        <v>#NUM!</v>
      </c>
      <c r="FH98" s="20" t="e">
        <f t="shared" si="76"/>
        <v>#NUM!</v>
      </c>
      <c r="FI98" s="59" t="e">
        <f t="shared" si="77"/>
        <v>#NUM!</v>
      </c>
      <c r="FJ98" s="59">
        <f ca="1">AVERAGE(OFFSET($FI$3,0,0,'Données projet'!$E$16+1,1))-AVERAGE(OFFSET($H$3,0,0,'Données projet'!$E$16+1,1))</f>
        <v>359.57284550600366</v>
      </c>
      <c r="FK98" s="59">
        <f t="shared" si="102"/>
        <v>351.38386928091433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31.94968783027149</v>
      </c>
      <c r="FR98" s="21">
        <f>EXP(-LN(2)/25)*FR97+(1-EXP(-LN(2)/25))/(LN(2)/25)*Calculateur!FM98*Calculateur!FO98*VLOOKUP('Données projet'!$B$16,Paramètres!$A$1:$I$89,3,0)*0.475*44/12</f>
        <v>28.010838545132192</v>
      </c>
      <c r="FS98" s="21">
        <f>EXP(-LN(2)/2)*FS97+(1-EXP(-LN(2)/2))/(LN(2)/2)*FM98*FP98*VLOOKUP('Données projet'!$B$16,Paramètres!$A$1:$I$89,3,0)*0.475*44/12</f>
        <v>0.35159375838561518</v>
      </c>
      <c r="FT98" s="22">
        <f t="shared" si="78"/>
        <v>60.3121201337893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6">
        <f t="shared" si="56"/>
        <v>256.66666666666669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11.283999999999997</v>
      </c>
      <c r="N99" s="13">
        <f>IF('Données projet'!$A$36&gt;35,N98+M99-V98,IF(A99&lt;'Données projet'!$A$36,$K$205^A99,IF(A99='Données projet'!$A$36,'Données projet'!$B$36,N98+M99-V98)))</f>
        <v>470.53399999999999</v>
      </c>
      <c r="O99" s="13">
        <f>N99*VLOOKUP('Données projet'!$B$9,Paramètres!$A$1:$I$89,3,0)*VLOOKUP('Données projet'!$B$9,Paramètres!$A$1:$I$89,5,0)</f>
        <v>425.73916320000001</v>
      </c>
      <c r="P99" s="13">
        <f t="shared" si="87"/>
        <v>96.975795710339128</v>
      </c>
      <c r="Q99" s="20">
        <f t="shared" ref="Q99:Q130" si="107">(O99+P99)*0.475*44/12</f>
        <v>910.39522010217399</v>
      </c>
      <c r="R99" s="59">
        <f t="shared" si="55"/>
        <v>1203.7285534355074</v>
      </c>
      <c r="S99" s="59">
        <f ca="1">AVERAGE(OFFSET($R$3,0,0,'Données projet'!$E$9+1,1))-AVERAGE(OFFSET($H$3,0,0,'Données projet'!$E$9+1,1))</f>
        <v>695.0879239758051</v>
      </c>
      <c r="T99" s="59">
        <f t="shared" si="88"/>
        <v>226.22150997227476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34.149327892631035</v>
      </c>
      <c r="AA99" s="21">
        <f>EXP(-LN(2)/25)*AA98+(1-EXP(-LN(2)/25))/(LN(2)/25)*Calculateur!V99*Calculateur!X99*VLOOKUP('Données projet'!$B$9,Paramètres!$A$1:$I$89,3,0)*0.475*44/12</f>
        <v>30.155302767493655</v>
      </c>
      <c r="AB99" s="21">
        <f>EXP(-LN(2)/2)*AB98+(1-EXP(-LN(2)/2))/(LN(2)/2)*V99*Y99*VLOOKUP('Données projet'!$B$9,Paramètres!$A$1:$I$89,3,0)*0.475*44/12</f>
        <v>0.77353690349382576</v>
      </c>
      <c r="AC99" s="22">
        <f t="shared" si="57"/>
        <v>65.078167563618507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1.1368683772161603E-13</v>
      </c>
      <c r="AJ99" s="13">
        <f>AI99*VLOOKUP('Données projet'!$B$10,Paramètres!$A$1:$I$89,3,0)*VLOOKUP('Données projet'!$B$10,Paramètres!$A$1:$I$89,5,0)</f>
        <v>6.7984728957526396E-14</v>
      </c>
      <c r="AK99" s="13">
        <f t="shared" si="89"/>
        <v>1.0682447123141398E-12</v>
      </c>
      <c r="AL99" s="20">
        <f t="shared" si="58"/>
        <v>1.978932943548152E-12</v>
      </c>
      <c r="AM99" s="59">
        <f t="shared" si="59"/>
        <v>293.3333333333353</v>
      </c>
      <c r="AN99" s="59">
        <f ca="1">AVERAGE(OFFSET($AM$3,0,0,'Données projet'!$E$10+1,1))-AVERAGE(OFFSET($H$3,0,0,'Données projet'!$E$10+1,1))</f>
        <v>388.12151914648013</v>
      </c>
      <c r="AO99" s="59">
        <f t="shared" si="90"/>
        <v>481.43684454382793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80.618845448049839</v>
      </c>
      <c r="AV99" s="21">
        <f>EXP(-LN(2)/25)*AV98+(1-EXP(-LN(2)/25))/(LN(2)/25)*Calculateur!AQ99*Calculateur!AS99*VLOOKUP('Données projet'!$B$10,Paramètres!$A$1:$I$89,3,0)*0.475*44/12</f>
        <v>20.343180606528954</v>
      </c>
      <c r="AW99" s="21">
        <f>EXP(-LN(2)/2)*AW98+(1-EXP(-LN(2)/2))/(LN(2)/2)*AQ99*AT99*VLOOKUP('Données projet'!$B$10,Paramètres!$A$1:$I$89,3,0)*0.475*44/12</f>
        <v>7.3723136941947784E-5</v>
      </c>
      <c r="AX99" s="21">
        <f t="shared" si="60"/>
        <v>100.96209977771572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415.24818074059294</v>
      </c>
      <c r="BJ99" s="59">
        <f t="shared" si="92"/>
        <v>404.45811532046872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36.744492505723436</v>
      </c>
      <c r="BQ99" s="21">
        <f>EXP(-LN(2)/25)*BQ98+(1-EXP(-LN(2)/25))/(LN(2)/25)*Calculateur!BL99*Calculateur!BN99*VLOOKUP('Données projet'!$B$11,Paramètres!$A$1:$I$89,3,0)*0.475*44/12</f>
        <v>31.960340811874314</v>
      </c>
      <c r="BR99" s="21">
        <f>EXP(-LN(2)/2)*BR98+(1-EXP(-LN(2)/2))/(LN(2)/2)*BL99*BO99*VLOOKUP('Données projet'!$B$11,Paramètres!$A$1:$I$89,3,0)*0.475*44/12</f>
        <v>0.29164373418110195</v>
      </c>
      <c r="BS99" s="22">
        <f t="shared" si="63"/>
        <v>68.996477051778854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>
        <f>BY99*VLOOKUP('Données projet'!$B$12,Paramètres!$A$1:$I$89,3,0)*VLOOKUP('Données projet'!$B$12,Paramètres!$A$1:$I$89,5,0)</f>
        <v>0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384.34044781465661</v>
      </c>
      <c r="CE99" s="59">
        <f t="shared" si="94"/>
        <v>374.99493809709708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41.577450917646665</v>
      </c>
      <c r="CL99" s="21">
        <f>EXP(-LN(2)/25)*CL98+(1-EXP(-LN(2)/25))/(LN(2)/25)*Calculateur!CG99*Calculateur!CI99*VLOOKUP('Données projet'!$B$12,Paramètres!$A$1:$I$89,3,0)*0.475*44/12</f>
        <v>36.164045569821951</v>
      </c>
      <c r="CM99" s="21">
        <f>EXP(-LN(2)/2)*CM98+(1-EXP(-LN(2)/2))/(LN(2)/2)*CG99*CJ99*VLOOKUP('Données projet'!$B$12,Paramètres!$A$1:$I$89,3,0)*0.475*44/12</f>
        <v>0.26773851006789695</v>
      </c>
      <c r="CN99" s="22">
        <f t="shared" si="66"/>
        <v>78.009234997536524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5.6843418860808015E-13</v>
      </c>
      <c r="CU99" s="17">
        <f>CT99*VLOOKUP('Données projet'!$B$13,Paramètres!$A$1:$I$89,3,0)*VLOOKUP('Données projet'!$B$13,Paramètres!$A$1:$I$89,5,0)</f>
        <v>3.177547114319168E-13</v>
      </c>
      <c r="CV99" s="13">
        <f t="shared" si="95"/>
        <v>4.1725404435445377E-12</v>
      </c>
      <c r="CW99" s="20">
        <f t="shared" si="67"/>
        <v>7.820597394917325E-12</v>
      </c>
      <c r="CX99" s="59">
        <f t="shared" si="68"/>
        <v>293.33333333334116</v>
      </c>
      <c r="CY99" s="59">
        <f ca="1">AVERAGE(OFFSET($CX$3,0,0,'Données projet'!$E$13+1,1))-AVERAGE(OFFSET($H$3,0,0,'Données projet'!$E$13+1,1))</f>
        <v>386.66324266750968</v>
      </c>
      <c r="CZ99" s="59">
        <f t="shared" si="96"/>
        <v>356.22149461585769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137.88499695253668</v>
      </c>
      <c r="DG99" s="21">
        <f>EXP(-LN(2)/25)*DG98+(1-EXP(-LN(2)/25))/(LN(2)/25)*Calculateur!DB99*Calculateur!DD99*VLOOKUP('Données projet'!$B$13,Paramètres!$A$1:$I$89,3,0)*0.475*44/12</f>
        <v>37.329205793805663</v>
      </c>
      <c r="DH99" s="21">
        <f>EXP(-LN(2)/2)*DH98+(1-EXP(-LN(2)/2))/(LN(2)/2)*DB99*DE99*VLOOKUP('Données projet'!$B$13,Paramètres!$A$1:$I$89,3,0)*0.475*44/12</f>
        <v>9.2169829495629772E-3</v>
      </c>
      <c r="DI99" s="22">
        <f t="shared" si="69"/>
        <v>175.22341972929192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>
        <f>DO99*VLOOKUP('Données projet'!$B$14,Paramètres!$A$1:$I$89,3,0)*VLOOKUP('Données projet'!$B$14,Paramètres!$A$1:$I$89,5,0)</f>
        <v>0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347.17417070871716</v>
      </c>
      <c r="DU99" s="59">
        <f t="shared" si="98"/>
        <v>339.56378046986441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30.118436480101185</v>
      </c>
      <c r="EB99" s="21">
        <f>EXP(-LN(2)/25)*EB98+(1-EXP(-LN(2)/25))/(LN(2)/25)*Calculateur!DW99*Calculateur!DY99*VLOOKUP('Données projet'!$B$14,Paramètres!$A$1:$I$89,3,0)*0.475*44/12</f>
        <v>26.197000665470743</v>
      </c>
      <c r="EC99" s="21">
        <f>EXP(-LN(2)/2)*EC98+(1-EXP(-LN(2)/2))/(LN(2)/2)*DW99*DZ99*VLOOKUP('Données projet'!$B$14,Paramètres!$A$1:$I$89,3,0)*0.475*44/12</f>
        <v>0.23905224113205098</v>
      </c>
      <c r="ED99" s="22">
        <f t="shared" si="72"/>
        <v>56.554489386703978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>
        <f>EJ99*VLOOKUP('Données projet'!$B$15,Paramètres!$A$1:$I$89,3,0)*VLOOKUP('Données projet'!$B$15,Paramètres!$A$1:$I$89,5,0)</f>
        <v>0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384.34044781465661</v>
      </c>
      <c r="EP99" s="59">
        <f t="shared" si="100"/>
        <v>374.99493809709708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33.732648857713329</v>
      </c>
      <c r="EW99" s="21">
        <f>EXP(-LN(2)/25)*EW98+(1-EXP(-LN(2)/25))/(LN(2)/25)*Calculateur!ER99*Calculateur!ET99*VLOOKUP('Données projet'!$B$15,Paramètres!$A$1:$I$89,3,0)*0.475*44/12</f>
        <v>29.340640745327249</v>
      </c>
      <c r="EX99" s="21">
        <f>EXP(-LN(2)/2)*EX98+(1-EXP(-LN(2)/2))/(LN(2)/2)*ER99*EU99*VLOOKUP('Données projet'!$B$15,Paramètres!$A$1:$I$89,3,0)*0.475*44/12</f>
        <v>0.26773851006789695</v>
      </c>
      <c r="EY99" s="22">
        <f t="shared" si="75"/>
        <v>63.341028113108479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>
        <f>FE99*VLOOKUP('Données projet'!$B$16,Paramètres!$A$1:$I$89,3,0)*VLOOKUP('Données projet'!$B$16,Paramètres!$A$1:$I$89,5,0)</f>
        <v>0</v>
      </c>
      <c r="FG99" s="13" t="e">
        <f t="shared" si="101"/>
        <v>#NUM!</v>
      </c>
      <c r="FH99" s="20" t="e">
        <f t="shared" si="76"/>
        <v>#NUM!</v>
      </c>
      <c r="FI99" s="59" t="e">
        <f t="shared" si="77"/>
        <v>#NUM!</v>
      </c>
      <c r="FJ99" s="59">
        <f ca="1">AVERAGE(OFFSET($FI$3,0,0,'Données projet'!$E$16+1,1))-AVERAGE(OFFSET($H$3,0,0,'Données projet'!$E$16+1,1))</f>
        <v>359.57284550600366</v>
      </c>
      <c r="FK99" s="59">
        <f t="shared" si="102"/>
        <v>351.38386928091433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31.323173939305224</v>
      </c>
      <c r="FR99" s="21">
        <f>EXP(-LN(2)/25)*FR98+(1-EXP(-LN(2)/25))/(LN(2)/25)*Calculateur!FM99*Calculateur!FO99*VLOOKUP('Données projet'!$B$16,Paramètres!$A$1:$I$89,3,0)*0.475*44/12</f>
        <v>27.244880692089573</v>
      </c>
      <c r="FS99" s="21">
        <f>EXP(-LN(2)/2)*FS98+(1-EXP(-LN(2)/2))/(LN(2)/2)*FM99*FP99*VLOOKUP('Données projet'!$B$16,Paramètres!$A$1:$I$89,3,0)*0.475*44/12</f>
        <v>0.24861433077733308</v>
      </c>
      <c r="FT99" s="22">
        <f t="shared" si="78"/>
        <v>58.816668962172137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6">
        <f t="shared" si="56"/>
        <v>256.66666666666669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11.283999999999997</v>
      </c>
      <c r="N100" s="13">
        <f>IF('Données projet'!$A$36&gt;35,N99+M100-V99,IF(A100&lt;'Données projet'!$A$36,$K$205^A100,IF(A100='Données projet'!$A$36,'Données projet'!$B$36,N99+M100-V99)))</f>
        <v>481.81799999999998</v>
      </c>
      <c r="O100" s="13">
        <f>N100*VLOOKUP('Données projet'!$B$9,Paramètres!$A$1:$I$89,3,0)*VLOOKUP('Données projet'!$B$9,Paramètres!$A$1:$I$89,5,0)</f>
        <v>435.9489264</v>
      </c>
      <c r="P100" s="13">
        <f t="shared" si="87"/>
        <v>99.0278549926512</v>
      </c>
      <c r="Q100" s="20">
        <f t="shared" si="107"/>
        <v>931.75122759220085</v>
      </c>
      <c r="R100" s="59">
        <f t="shared" si="55"/>
        <v>1225.0845609255341</v>
      </c>
      <c r="S100" s="59">
        <f ca="1">AVERAGE(OFFSET($R$3,0,0,'Données projet'!$E$9+1,1))-AVERAGE(OFFSET($H$3,0,0,'Données projet'!$E$9+1,1))</f>
        <v>695.0879239758051</v>
      </c>
      <c r="T100" s="59">
        <f t="shared" si="88"/>
        <v>226.22150997227476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33.479680401689862</v>
      </c>
      <c r="AA100" s="21">
        <f>EXP(-LN(2)/25)*AA99+(1-EXP(-LN(2)/25))/(LN(2)/25)*Calculateur!V100*Calculateur!X100*VLOOKUP('Données projet'!$B$9,Paramètres!$A$1:$I$89,3,0)*0.475*44/12</f>
        <v>29.330704427518089</v>
      </c>
      <c r="AB100" s="21">
        <f>EXP(-LN(2)/2)*AB99+(1-EXP(-LN(2)/2))/(LN(2)/2)*V100*Y100*VLOOKUP('Données projet'!$B$9,Paramètres!$A$1:$I$89,3,0)*0.475*44/12</f>
        <v>0.54697318995852817</v>
      </c>
      <c r="AC100" s="22">
        <f t="shared" si="57"/>
        <v>63.357358019166476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1.1368683772161603E-13</v>
      </c>
      <c r="AJ100" s="13">
        <f>AI100*VLOOKUP('Données projet'!$B$10,Paramètres!$A$1:$I$89,3,0)*VLOOKUP('Données projet'!$B$10,Paramètres!$A$1:$I$89,5,0)</f>
        <v>6.7984728957526396E-14</v>
      </c>
      <c r="AK100" s="13">
        <f t="shared" si="89"/>
        <v>1.0682447123141398E-12</v>
      </c>
      <c r="AL100" s="20">
        <f t="shared" si="58"/>
        <v>1.978932943548152E-12</v>
      </c>
      <c r="AM100" s="59">
        <f t="shared" si="59"/>
        <v>293.3333333333353</v>
      </c>
      <c r="AN100" s="59">
        <f ca="1">AVERAGE(OFFSET($AM$3,0,0,'Données projet'!$E$10+1,1))-AVERAGE(OFFSET($H$3,0,0,'Données projet'!$E$10+1,1))</f>
        <v>388.12151914648013</v>
      </c>
      <c r="AO100" s="59">
        <f t="shared" si="90"/>
        <v>481.43684454382793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79.037959061453904</v>
      </c>
      <c r="AV100" s="21">
        <f>EXP(-LN(2)/25)*AV99+(1-EXP(-LN(2)/25))/(LN(2)/25)*Calculateur!AQ100*Calculateur!AS100*VLOOKUP('Données projet'!$B$10,Paramètres!$A$1:$I$89,3,0)*0.475*44/12</f>
        <v>19.786895263042044</v>
      </c>
      <c r="AW100" s="21">
        <f>EXP(-LN(2)/2)*AW99+(1-EXP(-LN(2)/2))/(LN(2)/2)*AQ100*AT100*VLOOKUP('Données projet'!$B$10,Paramètres!$A$1:$I$89,3,0)*0.475*44/12</f>
        <v>5.213013006199575E-5</v>
      </c>
      <c r="AX100" s="21">
        <f t="shared" si="60"/>
        <v>98.824906454626003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415.24818074059294</v>
      </c>
      <c r="BJ100" s="59">
        <f t="shared" si="92"/>
        <v>404.45811532046872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36.023955419613635</v>
      </c>
      <c r="BQ100" s="21">
        <f>EXP(-LN(2)/25)*BQ99+(1-EXP(-LN(2)/25))/(LN(2)/25)*Calculateur!BL100*Calculateur!BN100*VLOOKUP('Données projet'!$B$11,Paramètres!$A$1:$I$89,3,0)*0.475*44/12</f>
        <v>31.086383611652334</v>
      </c>
      <c r="BR100" s="21">
        <f>EXP(-LN(2)/2)*BR99+(1-EXP(-LN(2)/2))/(LN(2)/2)*BL100*BO100*VLOOKUP('Données projet'!$B$11,Paramètres!$A$1:$I$89,3,0)*0.475*44/12</f>
        <v>0.20622326213002409</v>
      </c>
      <c r="BS100" s="22">
        <f t="shared" si="63"/>
        <v>67.31656229339599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>
        <f>BY100*VLOOKUP('Données projet'!$B$12,Paramètres!$A$1:$I$89,3,0)*VLOOKUP('Données projet'!$B$12,Paramètres!$A$1:$I$89,5,0)</f>
        <v>0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384.34044781465661</v>
      </c>
      <c r="CE100" s="59">
        <f t="shared" si="94"/>
        <v>374.99493809709708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40.762142464892605</v>
      </c>
      <c r="CL100" s="21">
        <f>EXP(-LN(2)/25)*CL99+(1-EXP(-LN(2)/25))/(LN(2)/25)*Calculateur!CG100*Calculateur!CI100*VLOOKUP('Données projet'!$B$12,Paramètres!$A$1:$I$89,3,0)*0.475*44/12</f>
        <v>35.17513784193067</v>
      </c>
      <c r="CM100" s="21">
        <f>EXP(-LN(2)/2)*CM99+(1-EXP(-LN(2)/2))/(LN(2)/2)*CG100*CJ100*VLOOKUP('Données projet'!$B$12,Paramètres!$A$1:$I$89,3,0)*0.475*44/12</f>
        <v>0.18931971605379266</v>
      </c>
      <c r="CN100" s="22">
        <f t="shared" si="66"/>
        <v>76.126600022877071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5.6843418860808015E-13</v>
      </c>
      <c r="CU100" s="17">
        <f>CT100*VLOOKUP('Données projet'!$B$13,Paramètres!$A$1:$I$89,3,0)*VLOOKUP('Données projet'!$B$13,Paramètres!$A$1:$I$89,5,0)</f>
        <v>3.177547114319168E-13</v>
      </c>
      <c r="CV100" s="13">
        <f t="shared" si="95"/>
        <v>4.1725404435445377E-12</v>
      </c>
      <c r="CW100" s="20">
        <f t="shared" si="67"/>
        <v>7.820597394917325E-12</v>
      </c>
      <c r="CX100" s="59">
        <f t="shared" si="68"/>
        <v>293.33333333334116</v>
      </c>
      <c r="CY100" s="59">
        <f ca="1">AVERAGE(OFFSET($CX$3,0,0,'Données projet'!$E$13+1,1))-AVERAGE(OFFSET($H$3,0,0,'Données projet'!$E$13+1,1))</f>
        <v>386.66324266750968</v>
      </c>
      <c r="CZ100" s="59">
        <f t="shared" si="96"/>
        <v>356.22149461585769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135.18115626384125</v>
      </c>
      <c r="DG100" s="21">
        <f>EXP(-LN(2)/25)*DG99+(1-EXP(-LN(2)/25))/(LN(2)/25)*Calculateur!DB100*Calculateur!DD100*VLOOKUP('Données projet'!$B$13,Paramètres!$A$1:$I$89,3,0)*0.475*44/12</f>
        <v>36.308436698316434</v>
      </c>
      <c r="DH100" s="21">
        <f>EXP(-LN(2)/2)*DH99+(1-EXP(-LN(2)/2))/(LN(2)/2)*DB100*DE100*VLOOKUP('Données projet'!$B$13,Paramètres!$A$1:$I$89,3,0)*0.475*44/12</f>
        <v>6.5173911457167676E-3</v>
      </c>
      <c r="DI100" s="22">
        <f t="shared" si="69"/>
        <v>171.49611035330338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>
        <f>DO100*VLOOKUP('Données projet'!$B$14,Paramètres!$A$1:$I$89,3,0)*VLOOKUP('Données projet'!$B$14,Paramètres!$A$1:$I$89,5,0)</f>
        <v>0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347.17417070871716</v>
      </c>
      <c r="DU100" s="59">
        <f t="shared" si="98"/>
        <v>339.56378046986441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29.527832311158722</v>
      </c>
      <c r="EB100" s="21">
        <f>EXP(-LN(2)/25)*EB99+(1-EXP(-LN(2)/25))/(LN(2)/25)*Calculateur!DW100*Calculateur!DY100*VLOOKUP('Données projet'!$B$14,Paramètres!$A$1:$I$89,3,0)*0.475*44/12</f>
        <v>25.480642304633054</v>
      </c>
      <c r="EC100" s="21">
        <f>EXP(-LN(2)/2)*EC99+(1-EXP(-LN(2)/2))/(LN(2)/2)*DW100*DZ100*VLOOKUP('Données projet'!$B$14,Paramètres!$A$1:$I$89,3,0)*0.475*44/12</f>
        <v>0.16903546076231499</v>
      </c>
      <c r="ED100" s="22">
        <f t="shared" si="72"/>
        <v>55.177510076554093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>
        <f>EJ100*VLOOKUP('Données projet'!$B$15,Paramètres!$A$1:$I$89,3,0)*VLOOKUP('Données projet'!$B$15,Paramètres!$A$1:$I$89,5,0)</f>
        <v>0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384.34044781465661</v>
      </c>
      <c r="EP100" s="59">
        <f t="shared" si="100"/>
        <v>374.99493809709708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33.071172188497776</v>
      </c>
      <c r="EW100" s="21">
        <f>EXP(-LN(2)/25)*EW99+(1-EXP(-LN(2)/25))/(LN(2)/25)*Calculateur!ER100*Calculateur!ET100*VLOOKUP('Données projet'!$B$15,Paramètres!$A$1:$I$89,3,0)*0.475*44/12</f>
        <v>28.538319381189037</v>
      </c>
      <c r="EX100" s="21">
        <f>EXP(-LN(2)/2)*EX99+(1-EXP(-LN(2)/2))/(LN(2)/2)*ER100*EU100*VLOOKUP('Données projet'!$B$15,Paramètres!$A$1:$I$89,3,0)*0.475*44/12</f>
        <v>0.18931971605379266</v>
      </c>
      <c r="EY100" s="22">
        <f t="shared" si="75"/>
        <v>61.798811285740605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>
        <f>FE100*VLOOKUP('Données projet'!$B$16,Paramètres!$A$1:$I$89,3,0)*VLOOKUP('Données projet'!$B$16,Paramètres!$A$1:$I$89,5,0)</f>
        <v>0</v>
      </c>
      <c r="FG100" s="13" t="e">
        <f t="shared" si="101"/>
        <v>#NUM!</v>
      </c>
      <c r="FH100" s="20" t="e">
        <f t="shared" si="76"/>
        <v>#NUM!</v>
      </c>
      <c r="FI100" s="59" t="e">
        <f t="shared" si="77"/>
        <v>#NUM!</v>
      </c>
      <c r="FJ100" s="59">
        <f ca="1">AVERAGE(OFFSET($FI$3,0,0,'Données projet'!$E$16+1,1))-AVERAGE(OFFSET($H$3,0,0,'Données projet'!$E$16+1,1))</f>
        <v>359.57284550600366</v>
      </c>
      <c r="FK100" s="59">
        <f t="shared" si="102"/>
        <v>351.38386928091433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30.708945603605066</v>
      </c>
      <c r="FR100" s="21">
        <f>EXP(-LN(2)/25)*FR99+(1-EXP(-LN(2)/25))/(LN(2)/25)*Calculateur!FM100*Calculateur!FO100*VLOOKUP('Données projet'!$B$16,Paramètres!$A$1:$I$89,3,0)*0.475*44/12</f>
        <v>26.499867996818377</v>
      </c>
      <c r="FS100" s="21">
        <f>EXP(-LN(2)/2)*FS99+(1-EXP(-LN(2)/2))/(LN(2)/2)*FM100*FP100*VLOOKUP('Données projet'!$B$16,Paramètres!$A$1:$I$89,3,0)*0.475*44/12</f>
        <v>0.17579687919280762</v>
      </c>
      <c r="FT100" s="22">
        <f t="shared" si="78"/>
        <v>57.384610479616249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6">
        <f t="shared" si="56"/>
        <v>256.66666666666669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11.283999999999997</v>
      </c>
      <c r="N101" s="13">
        <f>IF('Données projet'!$A$36&gt;35,N100+M101-V100,IF(A101&lt;'Données projet'!$A$36,$K$205^A101,IF(A101='Données projet'!$A$36,'Données projet'!$B$36,N100+M101-V100)))</f>
        <v>493.10199999999998</v>
      </c>
      <c r="O101" s="13">
        <f>N101*VLOOKUP('Données projet'!$B$9,Paramètres!$A$1:$I$89,3,0)*VLOOKUP('Données projet'!$B$9,Paramètres!$A$1:$I$89,5,0)</f>
        <v>446.15868959999995</v>
      </c>
      <c r="P101" s="13">
        <f t="shared" si="87"/>
        <v>101.07432734685769</v>
      </c>
      <c r="Q101" s="20">
        <f t="shared" si="107"/>
        <v>953.09750451577702</v>
      </c>
      <c r="R101" s="59">
        <f t="shared" si="55"/>
        <v>1246.4308378491103</v>
      </c>
      <c r="S101" s="59">
        <f ca="1">AVERAGE(OFFSET($R$3,0,0,'Données projet'!$E$9+1,1))-AVERAGE(OFFSET($H$3,0,0,'Données projet'!$E$9+1,1))</f>
        <v>695.0879239758051</v>
      </c>
      <c r="T101" s="59">
        <f t="shared" si="88"/>
        <v>226.22150997227476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32.823164289601401</v>
      </c>
      <c r="AA101" s="21">
        <f>EXP(-LN(2)/25)*AA100+(1-EXP(-LN(2)/25))/(LN(2)/25)*Calculateur!V101*Calculateur!X101*VLOOKUP('Données projet'!$B$9,Paramètres!$A$1:$I$89,3,0)*0.475*44/12</f>
        <v>28.528654772512898</v>
      </c>
      <c r="AB101" s="21">
        <f>EXP(-LN(2)/2)*AB100+(1-EXP(-LN(2)/2))/(LN(2)/2)*V101*Y101*VLOOKUP('Données projet'!$B$9,Paramètres!$A$1:$I$89,3,0)*0.475*44/12</f>
        <v>0.38676845174691288</v>
      </c>
      <c r="AC101" s="22">
        <f t="shared" si="57"/>
        <v>61.738587513861212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1.1368683772161603E-13</v>
      </c>
      <c r="AJ101" s="13">
        <f>AI101*VLOOKUP('Données projet'!$B$10,Paramètres!$A$1:$I$89,3,0)*VLOOKUP('Données projet'!$B$10,Paramètres!$A$1:$I$89,5,0)</f>
        <v>6.7984728957526396E-14</v>
      </c>
      <c r="AK101" s="13">
        <f t="shared" si="89"/>
        <v>1.0682447123141398E-12</v>
      </c>
      <c r="AL101" s="20">
        <f t="shared" si="58"/>
        <v>1.978932943548152E-12</v>
      </c>
      <c r="AM101" s="59">
        <f t="shared" si="59"/>
        <v>293.3333333333353</v>
      </c>
      <c r="AN101" s="59">
        <f ca="1">AVERAGE(OFFSET($AM$3,0,0,'Données projet'!$E$10+1,1))-AVERAGE(OFFSET($H$3,0,0,'Données projet'!$E$10+1,1))</f>
        <v>388.12151914648013</v>
      </c>
      <c r="AO101" s="59">
        <f t="shared" si="90"/>
        <v>481.43684454382793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77.488072892653634</v>
      </c>
      <c r="AV101" s="21">
        <f>EXP(-LN(2)/25)*AV100+(1-EXP(-LN(2)/25))/(LN(2)/25)*Calculateur!AQ101*Calculateur!AS101*VLOOKUP('Données projet'!$B$10,Paramètres!$A$1:$I$89,3,0)*0.475*44/12</f>
        <v>19.245821571526562</v>
      </c>
      <c r="AW101" s="21">
        <f>EXP(-LN(2)/2)*AW100+(1-EXP(-LN(2)/2))/(LN(2)/2)*AQ101*AT101*VLOOKUP('Données projet'!$B$10,Paramètres!$A$1:$I$89,3,0)*0.475*44/12</f>
        <v>3.6861568470973892E-5</v>
      </c>
      <c r="AX101" s="21">
        <f t="shared" si="60"/>
        <v>96.733931325748671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415.24818074059294</v>
      </c>
      <c r="BJ101" s="59">
        <f t="shared" si="92"/>
        <v>404.45811532046872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35.31754762627822</v>
      </c>
      <c r="BQ101" s="21">
        <f>EXP(-LN(2)/25)*BQ100+(1-EXP(-LN(2)/25))/(LN(2)/25)*Calculateur!BL101*Calculateur!BN101*VLOOKUP('Données projet'!$B$11,Paramètres!$A$1:$I$89,3,0)*0.475*44/12</f>
        <v>30.236324817029836</v>
      </c>
      <c r="BR101" s="21">
        <f>EXP(-LN(2)/2)*BR100+(1-EXP(-LN(2)/2))/(LN(2)/2)*BL101*BO101*VLOOKUP('Données projet'!$B$11,Paramètres!$A$1:$I$89,3,0)*0.475*44/12</f>
        <v>0.14582186709055098</v>
      </c>
      <c r="BS101" s="22">
        <f t="shared" si="63"/>
        <v>65.699694310398598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>
        <f>BY101*VLOOKUP('Données projet'!$B$12,Paramètres!$A$1:$I$89,3,0)*VLOOKUP('Données projet'!$B$12,Paramètres!$A$1:$I$89,5,0)</f>
        <v>0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384.34044781465661</v>
      </c>
      <c r="CE101" s="59">
        <f t="shared" si="94"/>
        <v>374.99493809709708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39.962821713608001</v>
      </c>
      <c r="CL101" s="21">
        <f>EXP(-LN(2)/25)*CL100+(1-EXP(-LN(2)/25))/(LN(2)/25)*Calculateur!CG101*Calculateur!CI101*VLOOKUP('Données projet'!$B$12,Paramètres!$A$1:$I$89,3,0)*0.475*44/12</f>
        <v>34.21327184786297</v>
      </c>
      <c r="CM101" s="21">
        <f>EXP(-LN(2)/2)*CM100+(1-EXP(-LN(2)/2))/(LN(2)/2)*CG101*CJ101*VLOOKUP('Données projet'!$B$12,Paramètres!$A$1:$I$89,3,0)*0.475*44/12</f>
        <v>0.13386925503394848</v>
      </c>
      <c r="CN101" s="22">
        <f t="shared" si="66"/>
        <v>74.309962816504907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5.6843418860808015E-13</v>
      </c>
      <c r="CU101" s="17">
        <f>CT101*VLOOKUP('Données projet'!$B$13,Paramètres!$A$1:$I$89,3,0)*VLOOKUP('Données projet'!$B$13,Paramètres!$A$1:$I$89,5,0)</f>
        <v>3.177547114319168E-13</v>
      </c>
      <c r="CV101" s="13">
        <f t="shared" si="95"/>
        <v>4.1725404435445377E-12</v>
      </c>
      <c r="CW101" s="20">
        <f t="shared" si="67"/>
        <v>7.820597394917325E-12</v>
      </c>
      <c r="CX101" s="59">
        <f t="shared" si="68"/>
        <v>293.33333333334116</v>
      </c>
      <c r="CY101" s="59">
        <f ca="1">AVERAGE(OFFSET($CX$3,0,0,'Données projet'!$E$13+1,1))-AVERAGE(OFFSET($H$3,0,0,'Données projet'!$E$13+1,1))</f>
        <v>386.66324266750968</v>
      </c>
      <c r="CZ101" s="59">
        <f t="shared" si="96"/>
        <v>356.22149461585769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132.53033624187114</v>
      </c>
      <c r="DG101" s="21">
        <f>EXP(-LN(2)/25)*DG100+(1-EXP(-LN(2)/25))/(LN(2)/25)*Calculateur!DB101*Calculateur!DD101*VLOOKUP('Données projet'!$B$13,Paramètres!$A$1:$I$89,3,0)*0.475*44/12</f>
        <v>35.31558058742327</v>
      </c>
      <c r="DH101" s="21">
        <f>EXP(-LN(2)/2)*DH100+(1-EXP(-LN(2)/2))/(LN(2)/2)*DB101*DE101*VLOOKUP('Données projet'!$B$13,Paramètres!$A$1:$I$89,3,0)*0.475*44/12</f>
        <v>4.6084914747814886E-3</v>
      </c>
      <c r="DI101" s="22">
        <f t="shared" si="69"/>
        <v>167.85052532076921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>
        <f>DO101*VLOOKUP('Données projet'!$B$14,Paramètres!$A$1:$I$89,3,0)*VLOOKUP('Données projet'!$B$14,Paramètres!$A$1:$I$89,5,0)</f>
        <v>0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347.17417070871716</v>
      </c>
      <c r="DU101" s="59">
        <f t="shared" si="98"/>
        <v>339.56378046986441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28.948809529736248</v>
      </c>
      <c r="EB101" s="21">
        <f>EXP(-LN(2)/25)*EB100+(1-EXP(-LN(2)/25))/(LN(2)/25)*Calculateur!DW101*Calculateur!DY101*VLOOKUP('Données projet'!$B$14,Paramètres!$A$1:$I$89,3,0)*0.475*44/12</f>
        <v>24.783872800844122</v>
      </c>
      <c r="EC101" s="21">
        <f>EXP(-LN(2)/2)*EC100+(1-EXP(-LN(2)/2))/(LN(2)/2)*DW101*DZ101*VLOOKUP('Données projet'!$B$14,Paramètres!$A$1:$I$89,3,0)*0.475*44/12</f>
        <v>0.11952612056602552</v>
      </c>
      <c r="ED101" s="22">
        <f t="shared" si="72"/>
        <v>53.852208451146403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>
        <f>EJ101*VLOOKUP('Données projet'!$B$15,Paramètres!$A$1:$I$89,3,0)*VLOOKUP('Données projet'!$B$15,Paramètres!$A$1:$I$89,5,0)</f>
        <v>0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384.34044781465661</v>
      </c>
      <c r="EP101" s="59">
        <f t="shared" si="100"/>
        <v>374.99493809709708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32.422666673304605</v>
      </c>
      <c r="EW101" s="21">
        <f>EXP(-LN(2)/25)*EW100+(1-EXP(-LN(2)/25))/(LN(2)/25)*Calculateur!ER101*Calculateur!ET101*VLOOKUP('Données projet'!$B$15,Paramètres!$A$1:$I$89,3,0)*0.475*44/12</f>
        <v>27.75793753694543</v>
      </c>
      <c r="EX101" s="21">
        <f>EXP(-LN(2)/2)*EX100+(1-EXP(-LN(2)/2))/(LN(2)/2)*ER101*EU101*VLOOKUP('Données projet'!$B$15,Paramètres!$A$1:$I$89,3,0)*0.475*44/12</f>
        <v>0.13386925503394848</v>
      </c>
      <c r="EY101" s="22">
        <f t="shared" si="75"/>
        <v>60.314473465283989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>
        <f>FE101*VLOOKUP('Données projet'!$B$16,Paramètres!$A$1:$I$89,3,0)*VLOOKUP('Données projet'!$B$16,Paramètres!$A$1:$I$89,5,0)</f>
        <v>0</v>
      </c>
      <c r="FG101" s="13" t="e">
        <f t="shared" si="101"/>
        <v>#NUM!</v>
      </c>
      <c r="FH101" s="20" t="e">
        <f t="shared" si="76"/>
        <v>#NUM!</v>
      </c>
      <c r="FI101" s="59" t="e">
        <f t="shared" si="77"/>
        <v>#NUM!</v>
      </c>
      <c r="FJ101" s="59">
        <f ca="1">AVERAGE(OFFSET($FI$3,0,0,'Données projet'!$E$16+1,1))-AVERAGE(OFFSET($H$3,0,0,'Données projet'!$E$16+1,1))</f>
        <v>359.57284550600366</v>
      </c>
      <c r="FK101" s="59">
        <f t="shared" si="102"/>
        <v>351.38386928091433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30.106761910925695</v>
      </c>
      <c r="FR101" s="21">
        <f>EXP(-LN(2)/25)*FR100+(1-EXP(-LN(2)/25))/(LN(2)/25)*Calculateur!FM101*Calculateur!FO101*VLOOKUP('Données projet'!$B$16,Paramètres!$A$1:$I$89,3,0)*0.475*44/12</f>
        <v>25.775227712877886</v>
      </c>
      <c r="FS101" s="21">
        <f>EXP(-LN(2)/2)*FS100+(1-EXP(-LN(2)/2))/(LN(2)/2)*FM101*FP101*VLOOKUP('Données projet'!$B$16,Paramètres!$A$1:$I$89,3,0)*0.475*44/12</f>
        <v>0.12430716538866655</v>
      </c>
      <c r="FT101" s="22">
        <f t="shared" si="78"/>
        <v>56.006296789192241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6">
        <f t="shared" si="56"/>
        <v>256.66666666666669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11.283999999999997</v>
      </c>
      <c r="N102" s="13">
        <f>IF('Données projet'!$A$36&gt;35,N101+M102-V101,IF(A102&lt;'Données projet'!$A$36,$K$205^A102,IF(A102='Données projet'!$A$36,'Données projet'!$B$36,N101+M102-V101)))</f>
        <v>504.38599999999997</v>
      </c>
      <c r="O102" s="13">
        <f>N102*VLOOKUP('Données projet'!$B$9,Paramètres!$A$1:$I$89,3,0)*VLOOKUP('Données projet'!$B$9,Paramètres!$A$1:$I$89,5,0)</f>
        <v>456.36845279999994</v>
      </c>
      <c r="P102" s="13">
        <f t="shared" si="87"/>
        <v>103.11535533948117</v>
      </c>
      <c r="Q102" s="20">
        <f t="shared" si="107"/>
        <v>974.43429917626281</v>
      </c>
      <c r="R102" s="59">
        <f t="shared" si="55"/>
        <v>1267.7676325095961</v>
      </c>
      <c r="S102" s="59">
        <f ca="1">AVERAGE(OFFSET($R$3,0,0,'Données projet'!$E$9+1,1))-AVERAGE(OFFSET($H$3,0,0,'Données projet'!$E$9+1,1))</f>
        <v>695.0879239758051</v>
      </c>
      <c r="T102" s="59">
        <f t="shared" si="88"/>
        <v>226.22150997227476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32.179522058035708</v>
      </c>
      <c r="AA102" s="21">
        <f>EXP(-LN(2)/25)*AA101+(1-EXP(-LN(2)/25))/(LN(2)/25)*Calculateur!V102*Calculateur!X102*VLOOKUP('Données projet'!$B$9,Paramètres!$A$1:$I$89,3,0)*0.475*44/12</f>
        <v>27.74853720750178</v>
      </c>
      <c r="AB102" s="21">
        <f>EXP(-LN(2)/2)*AB101+(1-EXP(-LN(2)/2))/(LN(2)/2)*V102*Y102*VLOOKUP('Données projet'!$B$9,Paramètres!$A$1:$I$89,3,0)*0.475*44/12</f>
        <v>0.27348659497926409</v>
      </c>
      <c r="AC102" s="22">
        <f t="shared" si="57"/>
        <v>60.201545860516745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1.1368683772161603E-13</v>
      </c>
      <c r="AJ102" s="13">
        <f>AI102*VLOOKUP('Données projet'!$B$10,Paramètres!$A$1:$I$89,3,0)*VLOOKUP('Données projet'!$B$10,Paramètres!$A$1:$I$89,5,0)</f>
        <v>6.7984728957526396E-14</v>
      </c>
      <c r="AK102" s="13">
        <f t="shared" si="89"/>
        <v>1.0682447123141398E-12</v>
      </c>
      <c r="AL102" s="20">
        <f t="shared" si="58"/>
        <v>1.978932943548152E-12</v>
      </c>
      <c r="AM102" s="59">
        <f t="shared" si="59"/>
        <v>293.3333333333353</v>
      </c>
      <c r="AN102" s="59">
        <f ca="1">AVERAGE(OFFSET($AM$3,0,0,'Données projet'!$E$10+1,1))-AVERAGE(OFFSET($H$3,0,0,'Données projet'!$E$10+1,1))</f>
        <v>388.12151914648013</v>
      </c>
      <c r="AO102" s="59">
        <f t="shared" si="90"/>
        <v>481.43684454382793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75.968579046286322</v>
      </c>
      <c r="AV102" s="21">
        <f>EXP(-LN(2)/25)*AV101+(1-EXP(-LN(2)/25))/(LN(2)/25)*Calculateur!AQ102*Calculateur!AS102*VLOOKUP('Données projet'!$B$10,Paramètres!$A$1:$I$89,3,0)*0.475*44/12</f>
        <v>18.719543568559398</v>
      </c>
      <c r="AW102" s="21">
        <f>EXP(-LN(2)/2)*AW101+(1-EXP(-LN(2)/2))/(LN(2)/2)*AQ102*AT102*VLOOKUP('Données projet'!$B$10,Paramètres!$A$1:$I$89,3,0)*0.475*44/12</f>
        <v>2.6065065030997875E-5</v>
      </c>
      <c r="AX102" s="21">
        <f t="shared" si="60"/>
        <v>94.688148679910753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415.24818074059294</v>
      </c>
      <c r="BJ102" s="59">
        <f t="shared" si="92"/>
        <v>404.45811532046872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34.624992058903899</v>
      </c>
      <c r="BQ102" s="21">
        <f>EXP(-LN(2)/25)*BQ101+(1-EXP(-LN(2)/25))/(LN(2)/25)*Calculateur!BL102*Calculateur!BN102*VLOOKUP('Données projet'!$B$11,Paramètres!$A$1:$I$89,3,0)*0.475*44/12</f>
        <v>29.409510924848938</v>
      </c>
      <c r="BR102" s="21">
        <f>EXP(-LN(2)/2)*BR101+(1-EXP(-LN(2)/2))/(LN(2)/2)*BL102*BO102*VLOOKUP('Données projet'!$B$11,Paramètres!$A$1:$I$89,3,0)*0.475*44/12</f>
        <v>0.10311163106501205</v>
      </c>
      <c r="BS102" s="22">
        <f t="shared" si="63"/>
        <v>64.137614614817863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>
        <f>BY102*VLOOKUP('Données projet'!$B$12,Paramètres!$A$1:$I$89,3,0)*VLOOKUP('Données projet'!$B$12,Paramètres!$A$1:$I$89,5,0)</f>
        <v>0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384.34044781465661</v>
      </c>
      <c r="CE102" s="59">
        <f t="shared" si="94"/>
        <v>374.99493809709708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39.179175154718571</v>
      </c>
      <c r="CL102" s="21">
        <f>EXP(-LN(2)/25)*CL101+(1-EXP(-LN(2)/25))/(LN(2)/25)*Calculateur!CG102*Calculateur!CI102*VLOOKUP('Données projet'!$B$12,Paramètres!$A$1:$I$89,3,0)*0.475*44/12</f>
        <v>33.277708129985385</v>
      </c>
      <c r="CM102" s="21">
        <f>EXP(-LN(2)/2)*CM101+(1-EXP(-LN(2)/2))/(LN(2)/2)*CG102*CJ102*VLOOKUP('Données projet'!$B$12,Paramètres!$A$1:$I$89,3,0)*0.475*44/12</f>
        <v>9.4659858026896332E-2</v>
      </c>
      <c r="CN102" s="22">
        <f t="shared" si="66"/>
        <v>72.551543142730864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5.6843418860808015E-13</v>
      </c>
      <c r="CU102" s="17">
        <f>CT102*VLOOKUP('Données projet'!$B$13,Paramètres!$A$1:$I$89,3,0)*VLOOKUP('Données projet'!$B$13,Paramètres!$A$1:$I$89,5,0)</f>
        <v>3.177547114319168E-13</v>
      </c>
      <c r="CV102" s="13">
        <f t="shared" si="95"/>
        <v>4.1725404435445377E-12</v>
      </c>
      <c r="CW102" s="20">
        <f t="shared" si="67"/>
        <v>7.820597394917325E-12</v>
      </c>
      <c r="CX102" s="59">
        <f t="shared" si="68"/>
        <v>293.33333333334116</v>
      </c>
      <c r="CY102" s="59">
        <f ca="1">AVERAGE(OFFSET($CX$3,0,0,'Données projet'!$E$13+1,1))-AVERAGE(OFFSET($H$3,0,0,'Données projet'!$E$13+1,1))</f>
        <v>386.66324266750968</v>
      </c>
      <c r="CZ102" s="59">
        <f t="shared" si="96"/>
        <v>356.22149461585769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129.93149718369131</v>
      </c>
      <c r="DG102" s="21">
        <f>EXP(-LN(2)/25)*DG101+(1-EXP(-LN(2)/25))/(LN(2)/25)*Calculateur!DB102*Calculateur!DD102*VLOOKUP('Données projet'!$B$13,Paramètres!$A$1:$I$89,3,0)*0.475*44/12</f>
        <v>34.349874179094513</v>
      </c>
      <c r="DH102" s="21">
        <f>EXP(-LN(2)/2)*DH101+(1-EXP(-LN(2)/2))/(LN(2)/2)*DB102*DE102*VLOOKUP('Données projet'!$B$13,Paramètres!$A$1:$I$89,3,0)*0.475*44/12</f>
        <v>3.2586955728583838E-3</v>
      </c>
      <c r="DI102" s="22">
        <f t="shared" si="69"/>
        <v>164.28463005835869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>
        <f>DO102*VLOOKUP('Données projet'!$B$14,Paramètres!$A$1:$I$89,3,0)*VLOOKUP('Données projet'!$B$14,Paramètres!$A$1:$I$89,5,0)</f>
        <v>0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347.17417070871716</v>
      </c>
      <c r="DU102" s="59">
        <f t="shared" si="98"/>
        <v>339.56378046986441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28.381141031888447</v>
      </c>
      <c r="EB102" s="21">
        <f>EXP(-LN(2)/25)*EB101+(1-EXP(-LN(2)/25))/(LN(2)/25)*Calculateur!DW102*Calculateur!DY102*VLOOKUP('Données projet'!$B$14,Paramètres!$A$1:$I$89,3,0)*0.475*44/12</f>
        <v>24.106156495777814</v>
      </c>
      <c r="EC102" s="21">
        <f>EXP(-LN(2)/2)*EC101+(1-EXP(-LN(2)/2))/(LN(2)/2)*DW102*DZ102*VLOOKUP('Données projet'!$B$14,Paramètres!$A$1:$I$89,3,0)*0.475*44/12</f>
        <v>8.4517730381157508E-2</v>
      </c>
      <c r="ED102" s="22">
        <f t="shared" si="72"/>
        <v>52.571815258047415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>
        <f>EJ102*VLOOKUP('Données projet'!$B$15,Paramètres!$A$1:$I$89,3,0)*VLOOKUP('Données projet'!$B$15,Paramètres!$A$1:$I$89,5,0)</f>
        <v>0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384.34044781465661</v>
      </c>
      <c r="EP102" s="59">
        <f t="shared" si="100"/>
        <v>374.99493809709708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31.786877955715067</v>
      </c>
      <c r="EW102" s="21">
        <f>EXP(-LN(2)/25)*EW101+(1-EXP(-LN(2)/25))/(LN(2)/25)*Calculateur!ER102*Calculateur!ET102*VLOOKUP('Données projet'!$B$15,Paramètres!$A$1:$I$89,3,0)*0.475*44/12</f>
        <v>26.998895275271163</v>
      </c>
      <c r="EX102" s="21">
        <f>EXP(-LN(2)/2)*EX101+(1-EXP(-LN(2)/2))/(LN(2)/2)*ER102*EU102*VLOOKUP('Données projet'!$B$15,Paramètres!$A$1:$I$89,3,0)*0.475*44/12</f>
        <v>9.4659858026896332E-2</v>
      </c>
      <c r="EY102" s="22">
        <f t="shared" si="75"/>
        <v>58.880433089013124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>
        <f>FE102*VLOOKUP('Données projet'!$B$16,Paramètres!$A$1:$I$89,3,0)*VLOOKUP('Données projet'!$B$16,Paramètres!$A$1:$I$89,5,0)</f>
        <v>0</v>
      </c>
      <c r="FG102" s="13" t="e">
        <f t="shared" si="101"/>
        <v>#NUM!</v>
      </c>
      <c r="FH102" s="20" t="e">
        <f t="shared" si="76"/>
        <v>#NUM!</v>
      </c>
      <c r="FI102" s="59" t="e">
        <f t="shared" si="77"/>
        <v>#NUM!</v>
      </c>
      <c r="FJ102" s="59">
        <f ca="1">AVERAGE(OFFSET($FI$3,0,0,'Données projet'!$E$16+1,1))-AVERAGE(OFFSET($H$3,0,0,'Données projet'!$E$16+1,1))</f>
        <v>359.57284550600366</v>
      </c>
      <c r="FK102" s="59">
        <f t="shared" si="102"/>
        <v>351.38386928091433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29.516386673163982</v>
      </c>
      <c r="FR102" s="21">
        <f>EXP(-LN(2)/25)*FR101+(1-EXP(-LN(2)/25))/(LN(2)/25)*Calculateur!FM102*Calculateur!FO102*VLOOKUP('Données projet'!$B$16,Paramètres!$A$1:$I$89,3,0)*0.475*44/12</f>
        <v>25.070402755608924</v>
      </c>
      <c r="FS102" s="21">
        <f>EXP(-LN(2)/2)*FS101+(1-EXP(-LN(2)/2))/(LN(2)/2)*FM102*FP102*VLOOKUP('Données projet'!$B$16,Paramètres!$A$1:$I$89,3,0)*0.475*44/12</f>
        <v>8.7898439596403824E-2</v>
      </c>
      <c r="FT102" s="22">
        <f t="shared" si="78"/>
        <v>54.674687868369304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6">
        <f t="shared" si="56"/>
        <v>256.66666666666669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515.66999999999996</v>
      </c>
      <c r="L103" s="12">
        <f>VLOOKUP(A103,'Données projet'!$A$35:$I$55,9,0)</f>
        <v>11.283999999999997</v>
      </c>
      <c r="M103" s="12">
        <f t="array" ref="M103">INDEX(L:L,MIN(IF(ISNUMBER(L103:L299),ROW(L103:L299),"")))</f>
        <v>11.283999999999997</v>
      </c>
      <c r="N103" s="13">
        <f>IF('Données projet'!$A$36&gt;35,N102+M103-V102,IF(A103&lt;'Données projet'!$A$36,$K$205^A103,IF(A103='Données projet'!$A$36,'Données projet'!$B$36,N102+M103-V102)))</f>
        <v>515.66999999999996</v>
      </c>
      <c r="O103" s="13">
        <f>N103*VLOOKUP('Données projet'!$B$9,Paramètres!$A$1:$I$89,3,0)*VLOOKUP('Données projet'!$B$9,Paramètres!$A$1:$I$89,5,0)</f>
        <v>466.57821599999988</v>
      </c>
      <c r="P103" s="13">
        <f t="shared" si="87"/>
        <v>105.15107479395371</v>
      </c>
      <c r="Q103" s="20">
        <f t="shared" si="107"/>
        <v>995.76184813280258</v>
      </c>
      <c r="R103" s="59">
        <f t="shared" si="55"/>
        <v>1289.095181466136</v>
      </c>
      <c r="S103" s="59">
        <f ca="1">AVERAGE(OFFSET($R$3,0,0,'Données projet'!$E$9+1,1))-AVERAGE(OFFSET($H$3,0,0,'Données projet'!$E$9+1,1))</f>
        <v>695.0879239758051</v>
      </c>
      <c r="T103" s="59">
        <f t="shared" si="88"/>
        <v>226.22150997227476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93.039999999999964</v>
      </c>
      <c r="W103" s="16">
        <f>IF(ISNA(VLOOKUP(A103,'Données projet'!$A$35:$I$55,5,0)),0%,VLOOKUP(A103,'Données projet'!$A$35:$I$55,5,0)*VLOOKUP('Données projet'!$B$9,Paramètres!$A$1:$I$89,7,0))</f>
        <v>0.215</v>
      </c>
      <c r="X103" s="16">
        <f>IF(ISNA(VLOOKUP(A103,'Données projet'!$A$35:$I$55,6,0)),0%,VLOOKUP(A103,'Données projet'!$A$35:$I$55,6,0)*VLOOKUP('Données projet'!$B$9,Paramètres!$A$1:$I$89,7,0))</f>
        <v>8.6000000000000007E-2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51.556694072634123</v>
      </c>
      <c r="AA103" s="21">
        <f>EXP(-LN(2)/25)*AA102+(1-EXP(-LN(2)/25))/(LN(2)/25)*Calculateur!V103*Calculateur!X103*VLOOKUP('Données projet'!$B$9,Paramètres!$A$1:$I$89,3,0)*0.475*44/12</f>
        <v>34.961517172632867</v>
      </c>
      <c r="AB103" s="21">
        <f>EXP(-LN(2)/2)*AB102+(1-EXP(-LN(2)/2))/(LN(2)/2)*V103*Y103*VLOOKUP('Données projet'!$B$9,Paramètres!$A$1:$I$89,3,0)*0.475*44/12</f>
        <v>0.19338422587345644</v>
      </c>
      <c r="AC103" s="22">
        <f t="shared" si="57"/>
        <v>86.711595471140456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1.1368683772161603E-13</v>
      </c>
      <c r="AJ103" s="13">
        <f>AI103*VLOOKUP('Données projet'!$B$10,Paramètres!$A$1:$I$89,3,0)*VLOOKUP('Données projet'!$B$10,Paramètres!$A$1:$I$89,5,0)</f>
        <v>6.7984728957526396E-14</v>
      </c>
      <c r="AK103" s="13">
        <f t="shared" si="89"/>
        <v>1.0682447123141398E-12</v>
      </c>
      <c r="AL103" s="20">
        <f t="shared" si="58"/>
        <v>1.978932943548152E-12</v>
      </c>
      <c r="AM103" s="59">
        <f t="shared" si="59"/>
        <v>293.3333333333353</v>
      </c>
      <c r="AN103" s="59">
        <f ca="1">AVERAGE(OFFSET($AM$3,0,0,'Données projet'!$E$10+1,1))-AVERAGE(OFFSET($H$3,0,0,'Données projet'!$E$10+1,1))</f>
        <v>388.12151914648013</v>
      </c>
      <c r="AO103" s="59">
        <f t="shared" si="90"/>
        <v>481.43684454382793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74.478881547446534</v>
      </c>
      <c r="AV103" s="21">
        <f>EXP(-LN(2)/25)*AV102+(1-EXP(-LN(2)/25))/(LN(2)/25)*Calculateur!AQ103*Calculateur!AS103*VLOOKUP('Données projet'!$B$10,Paramètres!$A$1:$I$89,3,0)*0.475*44/12</f>
        <v>18.20765666525913</v>
      </c>
      <c r="AW103" s="21">
        <f>EXP(-LN(2)/2)*AW102+(1-EXP(-LN(2)/2))/(LN(2)/2)*AQ103*AT103*VLOOKUP('Données projet'!$B$10,Paramètres!$A$1:$I$89,3,0)*0.475*44/12</f>
        <v>1.8430784235486946E-5</v>
      </c>
      <c r="AX103" s="21">
        <f t="shared" si="60"/>
        <v>92.686556643489908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415.24818074059294</v>
      </c>
      <c r="BJ103" s="59">
        <f t="shared" si="92"/>
        <v>404.45811532046872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33.946017083788604</v>
      </c>
      <c r="BQ103" s="21">
        <f>EXP(-LN(2)/25)*BQ102+(1-EXP(-LN(2)/25))/(LN(2)/25)*Calculateur!BL103*Calculateur!BN103*VLOOKUP('Données projet'!$B$11,Paramètres!$A$1:$I$89,3,0)*0.475*44/12</f>
        <v>28.60530630202998</v>
      </c>
      <c r="BR103" s="21">
        <f>EXP(-LN(2)/2)*BR102+(1-EXP(-LN(2)/2))/(LN(2)/2)*BL103*BO103*VLOOKUP('Données projet'!$B$11,Paramètres!$A$1:$I$89,3,0)*0.475*44/12</f>
        <v>7.2910933545275489E-2</v>
      </c>
      <c r="BS103" s="22">
        <f t="shared" si="63"/>
        <v>62.624234319363858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>
        <f>BY103*VLOOKUP('Données projet'!$B$12,Paramètres!$A$1:$I$89,3,0)*VLOOKUP('Données projet'!$B$12,Paramètres!$A$1:$I$89,5,0)</f>
        <v>0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384.34044781465661</v>
      </c>
      <c r="CE103" s="59">
        <f t="shared" si="94"/>
        <v>374.99493809709708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38.410895426871761</v>
      </c>
      <c r="CL103" s="21">
        <f>EXP(-LN(2)/25)*CL102+(1-EXP(-LN(2)/25))/(LN(2)/25)*Calculateur!CG103*Calculateur!CI103*VLOOKUP('Données projet'!$B$12,Paramètres!$A$1:$I$89,3,0)*0.475*44/12</f>
        <v>32.367727451172321</v>
      </c>
      <c r="CM103" s="21">
        <f>EXP(-LN(2)/2)*CM102+(1-EXP(-LN(2)/2))/(LN(2)/2)*CG103*CJ103*VLOOKUP('Données projet'!$B$12,Paramètres!$A$1:$I$89,3,0)*0.475*44/12</f>
        <v>6.6934627516974238E-2</v>
      </c>
      <c r="CN103" s="22">
        <f t="shared" si="66"/>
        <v>70.845557505561047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5.6843418860808015E-13</v>
      </c>
      <c r="CU103" s="17">
        <f>CT103*VLOOKUP('Données projet'!$B$13,Paramètres!$A$1:$I$89,3,0)*VLOOKUP('Données projet'!$B$13,Paramètres!$A$1:$I$89,5,0)</f>
        <v>3.177547114319168E-13</v>
      </c>
      <c r="CV103" s="13">
        <f t="shared" si="95"/>
        <v>4.1725404435445377E-12</v>
      </c>
      <c r="CW103" s="20">
        <f t="shared" si="67"/>
        <v>7.820597394917325E-12</v>
      </c>
      <c r="CX103" s="59">
        <f t="shared" si="68"/>
        <v>293.33333333334116</v>
      </c>
      <c r="CY103" s="59">
        <f ca="1">AVERAGE(OFFSET($CX$3,0,0,'Données projet'!$E$13+1,1))-AVERAGE(OFFSET($H$3,0,0,'Données projet'!$E$13+1,1))</f>
        <v>386.66324266750968</v>
      </c>
      <c r="CZ103" s="59">
        <f t="shared" si="96"/>
        <v>356.22149461585769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127.38361977430708</v>
      </c>
      <c r="DG103" s="21">
        <f>EXP(-LN(2)/25)*DG102+(1-EXP(-LN(2)/25))/(LN(2)/25)*Calculateur!DB103*Calculateur!DD103*VLOOKUP('Données projet'!$B$13,Paramètres!$A$1:$I$89,3,0)*0.475*44/12</f>
        <v>33.410575063285798</v>
      </c>
      <c r="DH103" s="21">
        <f>EXP(-LN(2)/2)*DH102+(1-EXP(-LN(2)/2))/(LN(2)/2)*DB103*DE103*VLOOKUP('Données projet'!$B$13,Paramètres!$A$1:$I$89,3,0)*0.475*44/12</f>
        <v>2.3042457373907443E-3</v>
      </c>
      <c r="DI103" s="22">
        <f t="shared" si="69"/>
        <v>160.79649908333025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>
        <f>DO103*VLOOKUP('Données projet'!$B$14,Paramètres!$A$1:$I$89,3,0)*VLOOKUP('Données projet'!$B$14,Paramètres!$A$1:$I$89,5,0)</f>
        <v>0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347.17417070871716</v>
      </c>
      <c r="DU103" s="59">
        <f t="shared" si="98"/>
        <v>339.56378046986441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27.824604167039844</v>
      </c>
      <c r="EB103" s="21">
        <f>EXP(-LN(2)/25)*EB102+(1-EXP(-LN(2)/25))/(LN(2)/25)*Calculateur!DW103*Calculateur!DY103*VLOOKUP('Données projet'!$B$14,Paramètres!$A$1:$I$89,3,0)*0.475*44/12</f>
        <v>23.446972378713095</v>
      </c>
      <c r="EC103" s="21">
        <f>EXP(-LN(2)/2)*EC102+(1-EXP(-LN(2)/2))/(LN(2)/2)*DW103*DZ103*VLOOKUP('Données projet'!$B$14,Paramètres!$A$1:$I$89,3,0)*0.475*44/12</f>
        <v>5.9763060283012766E-2</v>
      </c>
      <c r="ED103" s="22">
        <f t="shared" si="72"/>
        <v>51.331339606035947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>
        <f>EJ103*VLOOKUP('Données projet'!$B$15,Paramètres!$A$1:$I$89,3,0)*VLOOKUP('Données projet'!$B$15,Paramètres!$A$1:$I$89,5,0)</f>
        <v>0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384.34044781465661</v>
      </c>
      <c r="EP103" s="59">
        <f t="shared" si="100"/>
        <v>374.99493809709708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31.163556667084634</v>
      </c>
      <c r="EW103" s="21">
        <f>EXP(-LN(2)/25)*EW102+(1-EXP(-LN(2)/25))/(LN(2)/25)*Calculateur!ER103*Calculateur!ET103*VLOOKUP('Données projet'!$B$15,Paramètres!$A$1:$I$89,3,0)*0.475*44/12</f>
        <v>26.260609064158679</v>
      </c>
      <c r="EX103" s="21">
        <f>EXP(-LN(2)/2)*EX102+(1-EXP(-LN(2)/2))/(LN(2)/2)*ER103*EU103*VLOOKUP('Données projet'!$B$15,Paramètres!$A$1:$I$89,3,0)*0.475*44/12</f>
        <v>6.6934627516974238E-2</v>
      </c>
      <c r="EY103" s="22">
        <f t="shared" si="75"/>
        <v>57.491100358760285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>
        <f>FE103*VLOOKUP('Données projet'!$B$16,Paramètres!$A$1:$I$89,3,0)*VLOOKUP('Données projet'!$B$16,Paramètres!$A$1:$I$89,5,0)</f>
        <v>0</v>
      </c>
      <c r="FG103" s="13" t="e">
        <f t="shared" si="101"/>
        <v>#NUM!</v>
      </c>
      <c r="FH103" s="20" t="e">
        <f t="shared" si="76"/>
        <v>#NUM!</v>
      </c>
      <c r="FI103" s="59" t="e">
        <f t="shared" si="77"/>
        <v>#NUM!</v>
      </c>
      <c r="FJ103" s="59">
        <f ca="1">AVERAGE(OFFSET($FI$3,0,0,'Données projet'!$E$16+1,1))-AVERAGE(OFFSET($H$3,0,0,'Données projet'!$E$16+1,1))</f>
        <v>359.57284550600366</v>
      </c>
      <c r="FK103" s="59">
        <f t="shared" si="102"/>
        <v>351.38386928091433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28.937588333721436</v>
      </c>
      <c r="FR103" s="21">
        <f>EXP(-LN(2)/25)*FR102+(1-EXP(-LN(2)/25))/(LN(2)/25)*Calculateur!FM103*Calculateur!FO103*VLOOKUP('Données projet'!$B$16,Paramètres!$A$1:$I$89,3,0)*0.475*44/12</f>
        <v>24.384851273861617</v>
      </c>
      <c r="FS103" s="21">
        <f>EXP(-LN(2)/2)*FS102+(1-EXP(-LN(2)/2))/(LN(2)/2)*FM103*FP103*VLOOKUP('Données projet'!$B$16,Paramètres!$A$1:$I$89,3,0)*0.475*44/12</f>
        <v>6.2153582694333291E-2</v>
      </c>
      <c r="FT103" s="22">
        <f t="shared" si="78"/>
        <v>53.384593190277386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6">
        <f t="shared" si="56"/>
        <v>256.66666666666669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10.840999999999998</v>
      </c>
      <c r="N104" s="13">
        <f>IF('Données projet'!$A$36&gt;35,N103+M104-V103,IF(A104&lt;'Données projet'!$A$36,$K$205^A104,IF(A104='Données projet'!$A$36,'Données projet'!$B$36,N103+M104-V103)))</f>
        <v>433.471</v>
      </c>
      <c r="O104" s="13">
        <f>N104*VLOOKUP('Données projet'!$B$9,Paramètres!$A$1:$I$89,3,0)*VLOOKUP('Données projet'!$B$9,Paramètres!$A$1:$I$89,5,0)</f>
        <v>392.20456079999997</v>
      </c>
      <c r="P104" s="13">
        <f t="shared" si="87"/>
        <v>90.194453866780407</v>
      </c>
      <c r="Q104" s="20">
        <f t="shared" si="107"/>
        <v>840.17828387797579</v>
      </c>
      <c r="R104" s="59">
        <f t="shared" si="55"/>
        <v>1133.5116172113092</v>
      </c>
      <c r="S104" s="59">
        <f ca="1">AVERAGE(OFFSET($R$3,0,0,'Données projet'!$E$9+1,1))-AVERAGE(OFFSET($H$3,0,0,'Données projet'!$E$9+1,1))</f>
        <v>695.0879239758051</v>
      </c>
      <c r="T104" s="59">
        <f t="shared" si="88"/>
        <v>226.22150997227476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50.545698748348073</v>
      </c>
      <c r="AA104" s="21">
        <f>EXP(-LN(2)/25)*AA103+(1-EXP(-LN(2)/25))/(LN(2)/25)*Calculateur!V104*Calculateur!X104*VLOOKUP('Données projet'!$B$9,Paramètres!$A$1:$I$89,3,0)*0.475*44/12</f>
        <v>34.005492647000942</v>
      </c>
      <c r="AB104" s="21">
        <f>EXP(-LN(2)/2)*AB103+(1-EXP(-LN(2)/2))/(LN(2)/2)*V104*Y104*VLOOKUP('Données projet'!$B$9,Paramètres!$A$1:$I$89,3,0)*0.475*44/12</f>
        <v>0.13674329748963204</v>
      </c>
      <c r="AC104" s="22">
        <f t="shared" si="57"/>
        <v>84.687934692838638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1.1368683772161603E-13</v>
      </c>
      <c r="AJ104" s="13">
        <f>AI104*VLOOKUP('Données projet'!$B$10,Paramètres!$A$1:$I$89,3,0)*VLOOKUP('Données projet'!$B$10,Paramètres!$A$1:$I$89,5,0)</f>
        <v>6.7984728957526396E-14</v>
      </c>
      <c r="AK104" s="13">
        <f t="shared" si="89"/>
        <v>1.0682447123141398E-12</v>
      </c>
      <c r="AL104" s="20">
        <f t="shared" si="58"/>
        <v>1.978932943548152E-12</v>
      </c>
      <c r="AM104" s="59">
        <f t="shared" si="59"/>
        <v>293.3333333333353</v>
      </c>
      <c r="AN104" s="59">
        <f ca="1">AVERAGE(OFFSET($AM$3,0,0,'Données projet'!$E$10+1,1))-AVERAGE(OFFSET($H$3,0,0,'Données projet'!$E$10+1,1))</f>
        <v>388.12151914648013</v>
      </c>
      <c r="AO104" s="59">
        <f t="shared" si="90"/>
        <v>481.43684454382793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73.018396107933242</v>
      </c>
      <c r="AV104" s="21">
        <f>EXP(-LN(2)/25)*AV103+(1-EXP(-LN(2)/25))/(LN(2)/25)*Calculateur!AQ104*Calculateur!AS104*VLOOKUP('Données projet'!$B$10,Paramètres!$A$1:$I$89,3,0)*0.475*44/12</f>
        <v>17.709767336248568</v>
      </c>
      <c r="AW104" s="21">
        <f>EXP(-LN(2)/2)*AW103+(1-EXP(-LN(2)/2))/(LN(2)/2)*AQ104*AT104*VLOOKUP('Données projet'!$B$10,Paramètres!$A$1:$I$89,3,0)*0.475*44/12</f>
        <v>1.3032532515498938E-5</v>
      </c>
      <c r="AX104" s="21">
        <f t="shared" si="60"/>
        <v>90.728176476714324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415.24818074059294</v>
      </c>
      <c r="BJ104" s="59">
        <f t="shared" si="92"/>
        <v>404.45811532046872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33.280356393801476</v>
      </c>
      <c r="BQ104" s="21">
        <f>EXP(-LN(2)/25)*BQ103+(1-EXP(-LN(2)/25))/(LN(2)/25)*Calculateur!BL104*Calculateur!BN104*VLOOKUP('Données projet'!$B$11,Paramètres!$A$1:$I$89,3,0)*0.475*44/12</f>
        <v>27.823092696913289</v>
      </c>
      <c r="BR104" s="21">
        <f>EXP(-LN(2)/2)*BR103+(1-EXP(-LN(2)/2))/(LN(2)/2)*BL104*BO104*VLOOKUP('Données projet'!$B$11,Paramètres!$A$1:$I$89,3,0)*0.475*44/12</f>
        <v>5.1555815532506023E-2</v>
      </c>
      <c r="BS104" s="22">
        <f t="shared" si="63"/>
        <v>61.155004906247271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384.34044781465661</v>
      </c>
      <c r="CE104" s="59">
        <f t="shared" si="94"/>
        <v>374.99493809709708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37.657681195883661</v>
      </c>
      <c r="CL104" s="21">
        <f>EXP(-LN(2)/25)*CL103+(1-EXP(-LN(2)/25))/(LN(2)/25)*Calculateur!CG104*Calculateur!CI104*VLOOKUP('Données projet'!$B$12,Paramètres!$A$1:$I$89,3,0)*0.475*44/12</f>
        <v>31.482630241875206</v>
      </c>
      <c r="CM104" s="21">
        <f>EXP(-LN(2)/2)*CM103+(1-EXP(-LN(2)/2))/(LN(2)/2)*CG104*CJ104*VLOOKUP('Données projet'!$B$12,Paramètres!$A$1:$I$89,3,0)*0.475*44/12</f>
        <v>4.7329929013448166E-2</v>
      </c>
      <c r="CN104" s="22">
        <f t="shared" si="66"/>
        <v>69.187641366772311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5.6843418860808015E-13</v>
      </c>
      <c r="CU104" s="17">
        <f>CT104*VLOOKUP('Données projet'!$B$13,Paramètres!$A$1:$I$89,3,0)*VLOOKUP('Données projet'!$B$13,Paramètres!$A$1:$I$89,5,0)</f>
        <v>3.177547114319168E-13</v>
      </c>
      <c r="CV104" s="13">
        <f t="shared" si="95"/>
        <v>4.1725404435445377E-12</v>
      </c>
      <c r="CW104" s="20">
        <f t="shared" si="67"/>
        <v>7.820597394917325E-12</v>
      </c>
      <c r="CX104" s="59">
        <f t="shared" si="68"/>
        <v>293.33333333334116</v>
      </c>
      <c r="CY104" s="59">
        <f ca="1">AVERAGE(OFFSET($CX$3,0,0,'Données projet'!$E$13+1,1))-AVERAGE(OFFSET($H$3,0,0,'Données projet'!$E$13+1,1))</f>
        <v>386.66324266750968</v>
      </c>
      <c r="CZ104" s="59">
        <f t="shared" si="96"/>
        <v>356.22149461585769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124.8857046868691</v>
      </c>
      <c r="DG104" s="21">
        <f>EXP(-LN(2)/25)*DG103+(1-EXP(-LN(2)/25))/(LN(2)/25)*Calculateur!DB104*Calculateur!DD104*VLOOKUP('Données projet'!$B$13,Paramètres!$A$1:$I$89,3,0)*0.475*44/12</f>
        <v>32.496961131194467</v>
      </c>
      <c r="DH104" s="21">
        <f>EXP(-LN(2)/2)*DH103+(1-EXP(-LN(2)/2))/(LN(2)/2)*DB104*DE104*VLOOKUP('Données projet'!$B$13,Paramètres!$A$1:$I$89,3,0)*0.475*44/12</f>
        <v>1.6293477864291919E-3</v>
      </c>
      <c r="DI104" s="22">
        <f t="shared" si="69"/>
        <v>157.38429516585001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>
        <f>DO104*VLOOKUP('Données projet'!$B$14,Paramètres!$A$1:$I$89,3,0)*VLOOKUP('Données projet'!$B$14,Paramètres!$A$1:$I$89,5,0)</f>
        <v>0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347.17417070871716</v>
      </c>
      <c r="DU104" s="59">
        <f t="shared" si="98"/>
        <v>339.56378046986441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27.278980650656955</v>
      </c>
      <c r="EB104" s="21">
        <f>EXP(-LN(2)/25)*EB103+(1-EXP(-LN(2)/25))/(LN(2)/25)*Calculateur!DW104*Calculateur!DY104*VLOOKUP('Données projet'!$B$14,Paramètres!$A$1:$I$89,3,0)*0.475*44/12</f>
        <v>22.805813685994497</v>
      </c>
      <c r="EC104" s="21">
        <f>EXP(-LN(2)/2)*EC103+(1-EXP(-LN(2)/2))/(LN(2)/2)*DW104*DZ104*VLOOKUP('Données projet'!$B$14,Paramètres!$A$1:$I$89,3,0)*0.475*44/12</f>
        <v>4.2258865190578761E-2</v>
      </c>
      <c r="ED104" s="22">
        <f t="shared" si="72"/>
        <v>50.127053201842031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>
        <f>EJ104*VLOOKUP('Données projet'!$B$15,Paramètres!$A$1:$I$89,3,0)*VLOOKUP('Données projet'!$B$15,Paramètres!$A$1:$I$89,5,0)</f>
        <v>0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384.34044781465661</v>
      </c>
      <c r="EP104" s="59">
        <f t="shared" si="100"/>
        <v>374.99493809709708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30.552458328735799</v>
      </c>
      <c r="EW104" s="21">
        <f>EXP(-LN(2)/25)*EW103+(1-EXP(-LN(2)/25))/(LN(2)/25)*Calculateur!ER104*Calculateur!ET104*VLOOKUP('Données projet'!$B$15,Paramètres!$A$1:$I$89,3,0)*0.475*44/12</f>
        <v>25.54251132831385</v>
      </c>
      <c r="EX104" s="21">
        <f>EXP(-LN(2)/2)*EX103+(1-EXP(-LN(2)/2))/(LN(2)/2)*ER104*EU104*VLOOKUP('Données projet'!$B$15,Paramètres!$A$1:$I$89,3,0)*0.475*44/12</f>
        <v>4.7329929013448166E-2</v>
      </c>
      <c r="EY104" s="22">
        <f t="shared" si="75"/>
        <v>56.142299586063096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>
        <f>FE104*VLOOKUP('Données projet'!$B$16,Paramètres!$A$1:$I$89,3,0)*VLOOKUP('Données projet'!$B$16,Paramètres!$A$1:$I$89,5,0)</f>
        <v>0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359.57284550600366</v>
      </c>
      <c r="FK104" s="59">
        <f t="shared" si="102"/>
        <v>351.38386928091433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28.370139876683233</v>
      </c>
      <c r="FR104" s="21">
        <f>EXP(-LN(2)/25)*FR103+(1-EXP(-LN(2)/25))/(LN(2)/25)*Calculateur!FM104*Calculateur!FO104*VLOOKUP('Données projet'!$B$16,Paramètres!$A$1:$I$89,3,0)*0.475*44/12</f>
        <v>23.718046233434276</v>
      </c>
      <c r="FS104" s="21">
        <f>EXP(-LN(2)/2)*FS103+(1-EXP(-LN(2)/2))/(LN(2)/2)*FM104*FP104*VLOOKUP('Données projet'!$B$16,Paramètres!$A$1:$I$89,3,0)*0.475*44/12</f>
        <v>4.3949219798201919E-2</v>
      </c>
      <c r="FT104" s="22">
        <f t="shared" si="78"/>
        <v>52.132135329915705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6">
        <f t="shared" si="56"/>
        <v>256.66666666666669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10.840999999999998</v>
      </c>
      <c r="N105" s="13">
        <f>IF('Données projet'!$A$36&gt;35,N104+M105-V104,IF(A105&lt;'Données projet'!$A$36,$K$205^A105,IF(A105='Données projet'!$A$36,'Données projet'!$B$36,N104+M105-V104)))</f>
        <v>444.31200000000001</v>
      </c>
      <c r="O105" s="13">
        <f>N105*VLOOKUP('Données projet'!$B$9,Paramètres!$A$1:$I$89,3,0)*VLOOKUP('Données projet'!$B$9,Paramètres!$A$1:$I$89,5,0)</f>
        <v>402.01349760000005</v>
      </c>
      <c r="P105" s="13">
        <f t="shared" si="87"/>
        <v>92.18475159332958</v>
      </c>
      <c r="Q105" s="20">
        <f t="shared" si="107"/>
        <v>860.72861734504897</v>
      </c>
      <c r="R105" s="59">
        <f t="shared" si="55"/>
        <v>1154.0619506783823</v>
      </c>
      <c r="S105" s="59">
        <f ca="1">AVERAGE(OFFSET($R$3,0,0,'Données projet'!$E$9+1,1))-AVERAGE(OFFSET($H$3,0,0,'Données projet'!$E$9+1,1))</f>
        <v>695.0879239758051</v>
      </c>
      <c r="T105" s="59">
        <f t="shared" si="88"/>
        <v>226.22150997227476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49.55452842572501</v>
      </c>
      <c r="AA105" s="21">
        <f>EXP(-LN(2)/25)*AA104+(1-EXP(-LN(2)/25))/(LN(2)/25)*Calculateur!V105*Calculateur!X105*VLOOKUP('Données projet'!$B$9,Paramètres!$A$1:$I$89,3,0)*0.475*44/12</f>
        <v>33.075610662297564</v>
      </c>
      <c r="AB105" s="21">
        <f>EXP(-LN(2)/2)*AB104+(1-EXP(-LN(2)/2))/(LN(2)/2)*V105*Y105*VLOOKUP('Données projet'!$B$9,Paramètres!$A$1:$I$89,3,0)*0.475*44/12</f>
        <v>9.6692112936728219E-2</v>
      </c>
      <c r="AC105" s="22">
        <f t="shared" si="57"/>
        <v>82.726831200959296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1.1368683772161603E-13</v>
      </c>
      <c r="AJ105" s="13">
        <f>AI105*VLOOKUP('Données projet'!$B$10,Paramètres!$A$1:$I$89,3,0)*VLOOKUP('Données projet'!$B$10,Paramètres!$A$1:$I$89,5,0)</f>
        <v>6.7984728957526396E-14</v>
      </c>
      <c r="AK105" s="13">
        <f t="shared" si="89"/>
        <v>1.0682447123141398E-12</v>
      </c>
      <c r="AL105" s="20">
        <f t="shared" si="58"/>
        <v>1.978932943548152E-12</v>
      </c>
      <c r="AM105" s="59">
        <f t="shared" si="59"/>
        <v>293.3333333333353</v>
      </c>
      <c r="AN105" s="59">
        <f ca="1">AVERAGE(OFFSET($AM$3,0,0,'Données projet'!$E$10+1,1))-AVERAGE(OFFSET($H$3,0,0,'Données projet'!$E$10+1,1))</f>
        <v>388.12151914648013</v>
      </c>
      <c r="AO105" s="59">
        <f t="shared" si="90"/>
        <v>481.43684454382793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71.586549897080644</v>
      </c>
      <c r="AV105" s="21">
        <f>EXP(-LN(2)/25)*AV104+(1-EXP(-LN(2)/25))/(LN(2)/25)*Calculateur!AQ105*Calculateur!AS105*VLOOKUP('Données projet'!$B$10,Paramètres!$A$1:$I$89,3,0)*0.475*44/12</f>
        <v>17.225492817122664</v>
      </c>
      <c r="AW105" s="21">
        <f>EXP(-LN(2)/2)*AW104+(1-EXP(-LN(2)/2))/(LN(2)/2)*AQ105*AT105*VLOOKUP('Données projet'!$B$10,Paramètres!$A$1:$I$89,3,0)*0.475*44/12</f>
        <v>9.215392117743473E-6</v>
      </c>
      <c r="AX105" s="21">
        <f t="shared" si="60"/>
        <v>88.812051929595413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415.24818074059294</v>
      </c>
      <c r="BJ105" s="59">
        <f t="shared" si="92"/>
        <v>404.45811532046872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32.627748903932066</v>
      </c>
      <c r="BQ105" s="21">
        <f>EXP(-LN(2)/25)*BQ104+(1-EXP(-LN(2)/25))/(LN(2)/25)*Calculateur!BL105*Calculateur!BN105*VLOOKUP('Données projet'!$B$11,Paramètres!$A$1:$I$89,3,0)*0.475*44/12</f>
        <v>27.062268763963342</v>
      </c>
      <c r="BR105" s="21">
        <f>EXP(-LN(2)/2)*BR104+(1-EXP(-LN(2)/2))/(LN(2)/2)*BL105*BO105*VLOOKUP('Données projet'!$B$11,Paramètres!$A$1:$I$89,3,0)*0.475*44/12</f>
        <v>3.6455466772637744E-2</v>
      </c>
      <c r="BS105" s="22">
        <f t="shared" si="63"/>
        <v>59.726473134668041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384.34044781465661</v>
      </c>
      <c r="CE105" s="59">
        <f t="shared" si="94"/>
        <v>374.99493809709708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36.919237036549923</v>
      </c>
      <c r="CL105" s="21">
        <f>EXP(-LN(2)/25)*CL104+(1-EXP(-LN(2)/25))/(LN(2)/25)*Calculateur!CG105*Calculateur!CI105*VLOOKUP('Données projet'!$B$12,Paramètres!$A$1:$I$89,3,0)*0.475*44/12</f>
        <v>30.621736062311559</v>
      </c>
      <c r="CM105" s="21">
        <f>EXP(-LN(2)/2)*CM104+(1-EXP(-LN(2)/2))/(LN(2)/2)*CG105*CJ105*VLOOKUP('Données projet'!$B$12,Paramètres!$A$1:$I$89,3,0)*0.475*44/12</f>
        <v>3.3467313758487119E-2</v>
      </c>
      <c r="CN105" s="22">
        <f t="shared" si="66"/>
        <v>67.574440412619978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5.6843418860808015E-13</v>
      </c>
      <c r="CU105" s="17">
        <f>CT105*VLOOKUP('Données projet'!$B$13,Paramètres!$A$1:$I$89,3,0)*VLOOKUP('Données projet'!$B$13,Paramètres!$A$1:$I$89,5,0)</f>
        <v>3.177547114319168E-13</v>
      </c>
      <c r="CV105" s="13">
        <f t="shared" si="95"/>
        <v>4.1725404435445377E-12</v>
      </c>
      <c r="CW105" s="20">
        <f t="shared" si="67"/>
        <v>7.820597394917325E-12</v>
      </c>
      <c r="CX105" s="59">
        <f t="shared" si="68"/>
        <v>293.33333333334116</v>
      </c>
      <c r="CY105" s="59">
        <f ca="1">AVERAGE(OFFSET($CX$3,0,0,'Données projet'!$E$13+1,1))-AVERAGE(OFFSET($H$3,0,0,'Données projet'!$E$13+1,1))</f>
        <v>386.66324266750968</v>
      </c>
      <c r="CZ105" s="59">
        <f t="shared" si="96"/>
        <v>356.22149461585769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122.43677219071803</v>
      </c>
      <c r="DG105" s="21">
        <f>EXP(-LN(2)/25)*DG104+(1-EXP(-LN(2)/25))/(LN(2)/25)*Calculateur!DB105*Calculateur!DD105*VLOOKUP('Données projet'!$B$13,Paramètres!$A$1:$I$89,3,0)*0.475*44/12</f>
        <v>31.608330020121041</v>
      </c>
      <c r="DH105" s="21">
        <f>EXP(-LN(2)/2)*DH104+(1-EXP(-LN(2)/2))/(LN(2)/2)*DB105*DE105*VLOOKUP('Données projet'!$B$13,Paramètres!$A$1:$I$89,3,0)*0.475*44/12</f>
        <v>1.1521228686953721E-3</v>
      </c>
      <c r="DI105" s="22">
        <f t="shared" si="69"/>
        <v>154.04625433370776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>
        <f>DO105*VLOOKUP('Données projet'!$B$14,Paramètres!$A$1:$I$89,3,0)*VLOOKUP('Données projet'!$B$14,Paramètres!$A$1:$I$89,5,0)</f>
        <v>0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347.17417070871716</v>
      </c>
      <c r="DU105" s="59">
        <f t="shared" si="98"/>
        <v>339.56378046986441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26.744056478632849</v>
      </c>
      <c r="EB105" s="21">
        <f>EXP(-LN(2)/25)*EB104+(1-EXP(-LN(2)/25))/(LN(2)/25)*Calculateur!DW105*Calculateur!DY105*VLOOKUP('Données projet'!$B$14,Paramètres!$A$1:$I$89,3,0)*0.475*44/12</f>
        <v>22.18218751144536</v>
      </c>
      <c r="EC105" s="21">
        <f>EXP(-LN(2)/2)*EC104+(1-EXP(-LN(2)/2))/(LN(2)/2)*DW105*DZ105*VLOOKUP('Données projet'!$B$14,Paramètres!$A$1:$I$89,3,0)*0.475*44/12</f>
        <v>2.9881530141506386E-2</v>
      </c>
      <c r="ED105" s="22">
        <f t="shared" si="72"/>
        <v>48.956125520219715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>
        <f>EJ105*VLOOKUP('Données projet'!$B$15,Paramètres!$A$1:$I$89,3,0)*VLOOKUP('Données projet'!$B$15,Paramètres!$A$1:$I$89,5,0)</f>
        <v>0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384.34044781465661</v>
      </c>
      <c r="EP105" s="59">
        <f t="shared" si="100"/>
        <v>374.99493809709708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29.953343256068802</v>
      </c>
      <c r="EW105" s="21">
        <f>EXP(-LN(2)/25)*EW104+(1-EXP(-LN(2)/25))/(LN(2)/25)*Calculateur!ER105*Calculateur!ET105*VLOOKUP('Données projet'!$B$15,Paramètres!$A$1:$I$89,3,0)*0.475*44/12</f>
        <v>24.844050012818816</v>
      </c>
      <c r="EX105" s="21">
        <f>EXP(-LN(2)/2)*EX104+(1-EXP(-LN(2)/2))/(LN(2)/2)*ER105*EU105*VLOOKUP('Données projet'!$B$15,Paramètres!$A$1:$I$89,3,0)*0.475*44/12</f>
        <v>3.3467313758487119E-2</v>
      </c>
      <c r="EY105" s="22">
        <f t="shared" si="75"/>
        <v>54.830860582646103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>
        <f>FE105*VLOOKUP('Données projet'!$B$16,Paramètres!$A$1:$I$89,3,0)*VLOOKUP('Données projet'!$B$16,Paramètres!$A$1:$I$89,5,0)</f>
        <v>0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359.57284550600366</v>
      </c>
      <c r="FK105" s="59">
        <f t="shared" si="102"/>
        <v>351.38386928091433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27.813818737778163</v>
      </c>
      <c r="FR105" s="21">
        <f>EXP(-LN(2)/25)*FR104+(1-EXP(-LN(2)/25))/(LN(2)/25)*Calculateur!FM105*Calculateur!FO105*VLOOKUP('Données projet'!$B$16,Paramètres!$A$1:$I$89,3,0)*0.475*44/12</f>
        <v>23.069475011903172</v>
      </c>
      <c r="FS105" s="21">
        <f>EXP(-LN(2)/2)*FS104+(1-EXP(-LN(2)/2))/(LN(2)/2)*FM105*FP105*VLOOKUP('Données projet'!$B$16,Paramètres!$A$1:$I$89,3,0)*0.475*44/12</f>
        <v>3.1076791347166649E-2</v>
      </c>
      <c r="FT105" s="22">
        <f t="shared" si="78"/>
        <v>50.914370541028504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6">
        <f t="shared" si="56"/>
        <v>256.66666666666669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10.840999999999998</v>
      </c>
      <c r="N106" s="13">
        <f>IF('Données projet'!$A$36&gt;35,N105+M106-V105,IF(A106&lt;'Données projet'!$A$36,$K$205^A106,IF(A106='Données projet'!$A$36,'Données projet'!$B$36,N105+M106-V105)))</f>
        <v>455.15300000000002</v>
      </c>
      <c r="O106" s="13">
        <f>N106*VLOOKUP('Données projet'!$B$9,Paramètres!$A$1:$I$89,3,0)*VLOOKUP('Données projet'!$B$9,Paramètres!$A$1:$I$89,5,0)</f>
        <v>411.82243440000002</v>
      </c>
      <c r="P106" s="13">
        <f t="shared" si="87"/>
        <v>94.169404094334013</v>
      </c>
      <c r="Q106" s="20">
        <f t="shared" si="107"/>
        <v>881.26911871096502</v>
      </c>
      <c r="R106" s="59">
        <f t="shared" si="55"/>
        <v>1174.6024520442984</v>
      </c>
      <c r="S106" s="59">
        <f ca="1">AVERAGE(OFFSET($R$3,0,0,'Données projet'!$E$9+1,1))-AVERAGE(OFFSET($H$3,0,0,'Données projet'!$E$9+1,1))</f>
        <v>695.0879239758051</v>
      </c>
      <c r="T106" s="59">
        <f t="shared" si="88"/>
        <v>226.22150997227476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48.582794348574382</v>
      </c>
      <c r="AA106" s="21">
        <f>EXP(-LN(2)/25)*AA105+(1-EXP(-LN(2)/25))/(LN(2)/25)*Calculateur!V106*Calculateur!X106*VLOOKUP('Données projet'!$B$9,Paramètres!$A$1:$I$89,3,0)*0.475*44/12</f>
        <v>32.171156349366271</v>
      </c>
      <c r="AB106" s="21">
        <f>EXP(-LN(2)/2)*AB105+(1-EXP(-LN(2)/2))/(LN(2)/2)*V106*Y106*VLOOKUP('Données projet'!$B$9,Paramètres!$A$1:$I$89,3,0)*0.475*44/12</f>
        <v>6.8371648744816022E-2</v>
      </c>
      <c r="AC106" s="22">
        <f t="shared" si="57"/>
        <v>80.822322346685468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1.1368683772161603E-13</v>
      </c>
      <c r="AJ106" s="13">
        <f>AI106*VLOOKUP('Données projet'!$B$10,Paramètres!$A$1:$I$89,3,0)*VLOOKUP('Données projet'!$B$10,Paramètres!$A$1:$I$89,5,0)</f>
        <v>6.7984728957526396E-14</v>
      </c>
      <c r="AK106" s="13">
        <f t="shared" si="89"/>
        <v>1.0682447123141398E-12</v>
      </c>
      <c r="AL106" s="20">
        <f t="shared" si="58"/>
        <v>1.978932943548152E-12</v>
      </c>
      <c r="AM106" s="59">
        <f t="shared" si="59"/>
        <v>293.3333333333353</v>
      </c>
      <c r="AN106" s="59">
        <f ca="1">AVERAGE(OFFSET($AM$3,0,0,'Données projet'!$E$10+1,1))-AVERAGE(OFFSET($H$3,0,0,'Données projet'!$E$10+1,1))</f>
        <v>388.12151914648013</v>
      </c>
      <c r="AO106" s="59">
        <f t="shared" si="90"/>
        <v>481.43684454382793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70.182781317082913</v>
      </c>
      <c r="AV106" s="21">
        <f>EXP(-LN(2)/25)*AV105+(1-EXP(-LN(2)/25))/(LN(2)/25)*Calculateur!AQ106*Calculateur!AS106*VLOOKUP('Données projet'!$B$10,Paramètres!$A$1:$I$89,3,0)*0.475*44/12</f>
        <v>16.754460810189148</v>
      </c>
      <c r="AW106" s="21">
        <f>EXP(-LN(2)/2)*AW105+(1-EXP(-LN(2)/2))/(LN(2)/2)*AQ106*AT106*VLOOKUP('Données projet'!$B$10,Paramètres!$A$1:$I$89,3,0)*0.475*44/12</f>
        <v>6.5162662577494688E-6</v>
      </c>
      <c r="AX106" s="21">
        <f t="shared" si="60"/>
        <v>86.937248643538311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415.24818074059294</v>
      </c>
      <c r="BJ106" s="59">
        <f t="shared" si="92"/>
        <v>404.45811532046872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31.987938648887731</v>
      </c>
      <c r="BQ106" s="21">
        <f>EXP(-LN(2)/25)*BQ105+(1-EXP(-LN(2)/25))/(LN(2)/25)*Calculateur!BL106*Calculateur!BN106*VLOOKUP('Données projet'!$B$11,Paramètres!$A$1:$I$89,3,0)*0.475*44/12</f>
        <v>26.322249601469903</v>
      </c>
      <c r="BR106" s="21">
        <f>EXP(-LN(2)/2)*BR105+(1-EXP(-LN(2)/2))/(LN(2)/2)*BL106*BO106*VLOOKUP('Données projet'!$B$11,Paramètres!$A$1:$I$89,3,0)*0.475*44/12</f>
        <v>2.5777907766253012E-2</v>
      </c>
      <c r="BS106" s="22">
        <f t="shared" si="63"/>
        <v>58.335966158123888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384.34044781465661</v>
      </c>
      <c r="CE106" s="59">
        <f t="shared" si="94"/>
        <v>374.99493809709708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36.195273316774255</v>
      </c>
      <c r="CL106" s="21">
        <f>EXP(-LN(2)/25)*CL105+(1-EXP(-LN(2)/25))/(LN(2)/25)*Calculateur!CG106*Calculateur!CI106*VLOOKUP('Données projet'!$B$12,Paramètres!$A$1:$I$89,3,0)*0.475*44/12</f>
        <v>29.784383079360538</v>
      </c>
      <c r="CM106" s="21">
        <f>EXP(-LN(2)/2)*CM105+(1-EXP(-LN(2)/2))/(LN(2)/2)*CG106*CJ106*VLOOKUP('Données projet'!$B$12,Paramètres!$A$1:$I$89,3,0)*0.475*44/12</f>
        <v>2.3664964506724083E-2</v>
      </c>
      <c r="CN106" s="22">
        <f t="shared" si="66"/>
        <v>66.003321360641522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5.6843418860808015E-13</v>
      </c>
      <c r="CU106" s="17">
        <f>CT106*VLOOKUP('Données projet'!$B$13,Paramètres!$A$1:$I$89,3,0)*VLOOKUP('Données projet'!$B$13,Paramètres!$A$1:$I$89,5,0)</f>
        <v>3.177547114319168E-13</v>
      </c>
      <c r="CV106" s="13">
        <f t="shared" si="95"/>
        <v>4.1725404435445377E-12</v>
      </c>
      <c r="CW106" s="20">
        <f t="shared" si="67"/>
        <v>7.820597394917325E-12</v>
      </c>
      <c r="CX106" s="59">
        <f t="shared" si="68"/>
        <v>293.33333333334116</v>
      </c>
      <c r="CY106" s="59">
        <f ca="1">AVERAGE(OFFSET($CX$3,0,0,'Données projet'!$E$13+1,1))-AVERAGE(OFFSET($H$3,0,0,'Données projet'!$E$13+1,1))</f>
        <v>386.66324266750968</v>
      </c>
      <c r="CZ106" s="59">
        <f t="shared" si="96"/>
        <v>356.22149461585769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120.03586176711514</v>
      </c>
      <c r="DG106" s="21">
        <f>EXP(-LN(2)/25)*DG105+(1-EXP(-LN(2)/25))/(LN(2)/25)*Calculateur!DB106*Calculateur!DD106*VLOOKUP('Données projet'!$B$13,Paramètres!$A$1:$I$89,3,0)*0.475*44/12</f>
        <v>30.743998573510996</v>
      </c>
      <c r="DH106" s="21">
        <f>EXP(-LN(2)/2)*DH105+(1-EXP(-LN(2)/2))/(LN(2)/2)*DB106*DE106*VLOOKUP('Données projet'!$B$13,Paramètres!$A$1:$I$89,3,0)*0.475*44/12</f>
        <v>8.1467389321459595E-4</v>
      </c>
      <c r="DI106" s="22">
        <f t="shared" si="69"/>
        <v>150.78067501451935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>
        <f>DO106*VLOOKUP('Données projet'!$B$14,Paramètres!$A$1:$I$89,3,0)*VLOOKUP('Données projet'!$B$14,Paramètres!$A$1:$I$89,5,0)</f>
        <v>0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347.17417070871716</v>
      </c>
      <c r="DU106" s="59">
        <f t="shared" si="98"/>
        <v>339.56378046986441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26.219621843350609</v>
      </c>
      <c r="EB106" s="21">
        <f>EXP(-LN(2)/25)*EB105+(1-EXP(-LN(2)/25))/(LN(2)/25)*Calculateur!DW106*Calculateur!DY106*VLOOKUP('Données projet'!$B$14,Paramètres!$A$1:$I$89,3,0)*0.475*44/12</f>
        <v>21.575614427434342</v>
      </c>
      <c r="EC106" s="21">
        <f>EXP(-LN(2)/2)*EC105+(1-EXP(-LN(2)/2))/(LN(2)/2)*DW106*DZ106*VLOOKUP('Données projet'!$B$14,Paramètres!$A$1:$I$89,3,0)*0.475*44/12</f>
        <v>2.1129432595289384E-2</v>
      </c>
      <c r="ED106" s="22">
        <f t="shared" si="72"/>
        <v>47.816365703380242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>
        <f>EJ106*VLOOKUP('Données projet'!$B$15,Paramètres!$A$1:$I$89,3,0)*VLOOKUP('Données projet'!$B$15,Paramètres!$A$1:$I$89,5,0)</f>
        <v>0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384.34044781465661</v>
      </c>
      <c r="EP106" s="59">
        <f t="shared" si="100"/>
        <v>374.99493809709708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29.365976464552691</v>
      </c>
      <c r="EW106" s="21">
        <f>EXP(-LN(2)/25)*EW105+(1-EXP(-LN(2)/25))/(LN(2)/25)*Calculateur!ER106*Calculateur!ET106*VLOOKUP('Données projet'!$B$15,Paramètres!$A$1:$I$89,3,0)*0.475*44/12</f>
        <v>24.164688158726477</v>
      </c>
      <c r="EX106" s="21">
        <f>EXP(-LN(2)/2)*EX105+(1-EXP(-LN(2)/2))/(LN(2)/2)*ER106*EU106*VLOOKUP('Données projet'!$B$15,Paramètres!$A$1:$I$89,3,0)*0.475*44/12</f>
        <v>2.3664964506724083E-2</v>
      </c>
      <c r="EY106" s="22">
        <f t="shared" si="75"/>
        <v>53.554329587785887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>
        <f>FE106*VLOOKUP('Données projet'!$B$16,Paramètres!$A$1:$I$89,3,0)*VLOOKUP('Données projet'!$B$16,Paramètres!$A$1:$I$89,5,0)</f>
        <v>0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359.57284550600366</v>
      </c>
      <c r="FK106" s="59">
        <f t="shared" si="102"/>
        <v>351.38386928091433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27.268406717084634</v>
      </c>
      <c r="FR106" s="21">
        <f>EXP(-LN(2)/25)*FR105+(1-EXP(-LN(2)/25))/(LN(2)/25)*Calculateur!FM106*Calculateur!FO106*VLOOKUP('Données projet'!$B$16,Paramètres!$A$1:$I$89,3,0)*0.475*44/12</f>
        <v>22.438639004531716</v>
      </c>
      <c r="FS106" s="21">
        <f>EXP(-LN(2)/2)*FS105+(1-EXP(-LN(2)/2))/(LN(2)/2)*FM106*FP106*VLOOKUP('Données projet'!$B$16,Paramètres!$A$1:$I$89,3,0)*0.475*44/12</f>
        <v>2.1974609899100963E-2</v>
      </c>
      <c r="FT106" s="22">
        <f t="shared" si="78"/>
        <v>49.729020331515457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6">
        <f t="shared" si="56"/>
        <v>256.66666666666669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10.840999999999998</v>
      </c>
      <c r="N107" s="13">
        <f>IF('Données projet'!$A$36&gt;35,N106+M107-V106,IF(A107&lt;'Données projet'!$A$36,$K$205^A107,IF(A107='Données projet'!$A$36,'Données projet'!$B$36,N106+M107-V106)))</f>
        <v>465.99400000000003</v>
      </c>
      <c r="O107" s="13">
        <f>N107*VLOOKUP('Données projet'!$B$9,Paramètres!$A$1:$I$89,3,0)*VLOOKUP('Données projet'!$B$9,Paramètres!$A$1:$I$89,5,0)</f>
        <v>421.63137120000005</v>
      </c>
      <c r="P107" s="13">
        <f t="shared" si="87"/>
        <v>96.148561301747847</v>
      </c>
      <c r="Q107" s="20">
        <f t="shared" si="107"/>
        <v>901.80004910721084</v>
      </c>
      <c r="R107" s="59">
        <f t="shared" si="55"/>
        <v>1195.1333824405442</v>
      </c>
      <c r="S107" s="59">
        <f ca="1">AVERAGE(OFFSET($R$3,0,0,'Données projet'!$E$9+1,1))-AVERAGE(OFFSET($H$3,0,0,'Données projet'!$E$9+1,1))</f>
        <v>695.0879239758051</v>
      </c>
      <c r="T107" s="59">
        <f t="shared" si="88"/>
        <v>226.22150997227476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47.630115383977419</v>
      </c>
      <c r="AA107" s="21">
        <f>EXP(-LN(2)/25)*AA106+(1-EXP(-LN(2)/25))/(LN(2)/25)*Calculateur!V107*Calculateur!X107*VLOOKUP('Données projet'!$B$9,Paramètres!$A$1:$I$89,3,0)*0.475*44/12</f>
        <v>31.291434387185266</v>
      </c>
      <c r="AB107" s="21">
        <f>EXP(-LN(2)/2)*AB106+(1-EXP(-LN(2)/2))/(LN(2)/2)*V107*Y107*VLOOKUP('Données projet'!$B$9,Paramètres!$A$1:$I$89,3,0)*0.475*44/12</f>
        <v>4.834605646836411E-2</v>
      </c>
      <c r="AC107" s="22">
        <f t="shared" si="57"/>
        <v>78.969895827631049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1.1368683772161603E-13</v>
      </c>
      <c r="AJ107" s="13">
        <f>AI107*VLOOKUP('Données projet'!$B$10,Paramètres!$A$1:$I$89,3,0)*VLOOKUP('Données projet'!$B$10,Paramètres!$A$1:$I$89,5,0)</f>
        <v>6.7984728957526396E-14</v>
      </c>
      <c r="AK107" s="13">
        <f t="shared" si="89"/>
        <v>1.0682447123141398E-12</v>
      </c>
      <c r="AL107" s="20">
        <f t="shared" si="58"/>
        <v>1.978932943548152E-12</v>
      </c>
      <c r="AM107" s="59">
        <f t="shared" si="59"/>
        <v>293.3333333333353</v>
      </c>
      <c r="AN107" s="59">
        <f ca="1">AVERAGE(OFFSET($AM$3,0,0,'Données projet'!$E$10+1,1))-AVERAGE(OFFSET($H$3,0,0,'Données projet'!$E$10+1,1))</f>
        <v>388.12151914648013</v>
      </c>
      <c r="AO107" s="59">
        <f t="shared" si="90"/>
        <v>481.43684454382793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68.806539782724656</v>
      </c>
      <c r="AV107" s="21">
        <f>EXP(-LN(2)/25)*AV106+(1-EXP(-LN(2)/25))/(LN(2)/25)*Calculateur!AQ107*Calculateur!AS107*VLOOKUP('Données projet'!$B$10,Paramètres!$A$1:$I$89,3,0)*0.475*44/12</f>
        <v>16.296309198255724</v>
      </c>
      <c r="AW107" s="21">
        <f>EXP(-LN(2)/2)*AW106+(1-EXP(-LN(2)/2))/(LN(2)/2)*AQ107*AT107*VLOOKUP('Données projet'!$B$10,Paramètres!$A$1:$I$89,3,0)*0.475*44/12</f>
        <v>4.6076960588717365E-6</v>
      </c>
      <c r="AX107" s="21">
        <f t="shared" si="60"/>
        <v>85.102853588676439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415.24818074059294</v>
      </c>
      <c r="BJ107" s="59">
        <f t="shared" si="92"/>
        <v>404.45811532046872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31.360674682699095</v>
      </c>
      <c r="BQ107" s="21">
        <f>EXP(-LN(2)/25)*BQ106+(1-EXP(-LN(2)/25))/(LN(2)/25)*Calculateur!BL107*Calculateur!BN107*VLOOKUP('Données projet'!$B$11,Paramètres!$A$1:$I$89,3,0)*0.475*44/12</f>
        <v>25.602466301890761</v>
      </c>
      <c r="BR107" s="21">
        <f>EXP(-LN(2)/2)*BR106+(1-EXP(-LN(2)/2))/(LN(2)/2)*BL107*BO107*VLOOKUP('Données projet'!$B$11,Paramètres!$A$1:$I$89,3,0)*0.475*44/12</f>
        <v>1.8227733386318872E-2</v>
      </c>
      <c r="BS107" s="22">
        <f t="shared" si="63"/>
        <v>56.981368717976174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384.34044781465661</v>
      </c>
      <c r="CE107" s="59">
        <f t="shared" si="94"/>
        <v>374.99493809709708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35.485506083969121</v>
      </c>
      <c r="CL107" s="21">
        <f>EXP(-LN(2)/25)*CL106+(1-EXP(-LN(2)/25))/(LN(2)/25)*Calculateur!CG107*Calculateur!CI107*VLOOKUP('Données projet'!$B$12,Paramètres!$A$1:$I$89,3,0)*0.475*44/12</f>
        <v>28.969927557762791</v>
      </c>
      <c r="CM107" s="21">
        <f>EXP(-LN(2)/2)*CM106+(1-EXP(-LN(2)/2))/(LN(2)/2)*CG107*CJ107*VLOOKUP('Données projet'!$B$12,Paramètres!$A$1:$I$89,3,0)*0.475*44/12</f>
        <v>1.6733656879243559E-2</v>
      </c>
      <c r="CN107" s="22">
        <f t="shared" si="66"/>
        <v>64.472167298611154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5.6843418860808015E-13</v>
      </c>
      <c r="CU107" s="17">
        <f>CT107*VLOOKUP('Données projet'!$B$13,Paramètres!$A$1:$I$89,3,0)*VLOOKUP('Données projet'!$B$13,Paramètres!$A$1:$I$89,5,0)</f>
        <v>3.177547114319168E-13</v>
      </c>
      <c r="CV107" s="13">
        <f t="shared" si="95"/>
        <v>4.1725404435445377E-12</v>
      </c>
      <c r="CW107" s="20">
        <f t="shared" si="67"/>
        <v>7.820597394917325E-12</v>
      </c>
      <c r="CX107" s="59">
        <f t="shared" si="68"/>
        <v>293.33333333334116</v>
      </c>
      <c r="CY107" s="59">
        <f ca="1">AVERAGE(OFFSET($CX$3,0,0,'Données projet'!$E$13+1,1))-AVERAGE(OFFSET($H$3,0,0,'Données projet'!$E$13+1,1))</f>
        <v>386.66324266750968</v>
      </c>
      <c r="CZ107" s="59">
        <f t="shared" si="96"/>
        <v>356.22149461585769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117.68203173250834</v>
      </c>
      <c r="DG107" s="21">
        <f>EXP(-LN(2)/25)*DG106+(1-EXP(-LN(2)/25))/(LN(2)/25)*Calculateur!DB107*Calculateur!DD107*VLOOKUP('Données projet'!$B$13,Paramètres!$A$1:$I$89,3,0)*0.475*44/12</f>
        <v>29.903302315761721</v>
      </c>
      <c r="DH107" s="21">
        <f>EXP(-LN(2)/2)*DH106+(1-EXP(-LN(2)/2))/(LN(2)/2)*DB107*DE107*VLOOKUP('Données projet'!$B$13,Paramètres!$A$1:$I$89,3,0)*0.475*44/12</f>
        <v>5.7606143434768607E-4</v>
      </c>
      <c r="DI107" s="22">
        <f t="shared" si="69"/>
        <v>147.5859101097044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>
        <f>DO107*VLOOKUP('Données projet'!$B$14,Paramètres!$A$1:$I$89,3,0)*VLOOKUP('Données projet'!$B$14,Paramètres!$A$1:$I$89,5,0)</f>
        <v>0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347.17417070871716</v>
      </c>
      <c r="DU107" s="59">
        <f t="shared" si="98"/>
        <v>339.56378046986441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25.70547105139271</v>
      </c>
      <c r="EB107" s="21">
        <f>EXP(-LN(2)/25)*EB106+(1-EXP(-LN(2)/25))/(LN(2)/25)*Calculateur!DW107*Calculateur!DY107*VLOOKUP('Données projet'!$B$14,Paramètres!$A$1:$I$89,3,0)*0.475*44/12</f>
        <v>20.9856281163039</v>
      </c>
      <c r="EC107" s="21">
        <f>EXP(-LN(2)/2)*EC106+(1-EXP(-LN(2)/2))/(LN(2)/2)*DW107*DZ107*VLOOKUP('Données projet'!$B$14,Paramètres!$A$1:$I$89,3,0)*0.475*44/12</f>
        <v>1.4940765070753197E-2</v>
      </c>
      <c r="ED107" s="22">
        <f t="shared" si="72"/>
        <v>46.706039932767361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>
        <f>EJ107*VLOOKUP('Données projet'!$B$15,Paramètres!$A$1:$I$89,3,0)*VLOOKUP('Données projet'!$B$15,Paramètres!$A$1:$I$89,5,0)</f>
        <v>0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384.34044781465661</v>
      </c>
      <c r="EP107" s="59">
        <f t="shared" si="100"/>
        <v>374.99493809709708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28.790127577559844</v>
      </c>
      <c r="EW107" s="21">
        <f>EXP(-LN(2)/25)*EW106+(1-EXP(-LN(2)/25))/(LN(2)/25)*Calculateur!ER107*Calculateur!ET107*VLOOKUP('Données projet'!$B$15,Paramètres!$A$1:$I$89,3,0)*0.475*44/12</f>
        <v>23.503903490260381</v>
      </c>
      <c r="EX107" s="21">
        <f>EXP(-LN(2)/2)*EX106+(1-EXP(-LN(2)/2))/(LN(2)/2)*ER107*EU107*VLOOKUP('Données projet'!$B$15,Paramètres!$A$1:$I$89,3,0)*0.475*44/12</f>
        <v>1.6733656879243559E-2</v>
      </c>
      <c r="EY107" s="22">
        <f t="shared" si="75"/>
        <v>52.310764724699474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>
        <f>FE107*VLOOKUP('Données projet'!$B$16,Paramètres!$A$1:$I$89,3,0)*VLOOKUP('Données projet'!$B$16,Paramètres!$A$1:$I$89,5,0)</f>
        <v>0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359.57284550600366</v>
      </c>
      <c r="FK107" s="59">
        <f t="shared" si="102"/>
        <v>351.38386928091433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26.733689893448421</v>
      </c>
      <c r="FR107" s="21">
        <f>EXP(-LN(2)/25)*FR106+(1-EXP(-LN(2)/25))/(LN(2)/25)*Calculateur!FM107*Calculateur!FO107*VLOOKUP('Données projet'!$B$16,Paramètres!$A$1:$I$89,3,0)*0.475*44/12</f>
        <v>21.825053240956056</v>
      </c>
      <c r="FS107" s="21">
        <f>EXP(-LN(2)/2)*FS106+(1-EXP(-LN(2)/2))/(LN(2)/2)*FM107*FP107*VLOOKUP('Données projet'!$B$16,Paramètres!$A$1:$I$89,3,0)*0.475*44/12</f>
        <v>1.5538395673583326E-2</v>
      </c>
      <c r="FT107" s="22">
        <f t="shared" si="78"/>
        <v>48.574281530078061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6">
        <f t="shared" si="56"/>
        <v>256.66666666666669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10.840999999999998</v>
      </c>
      <c r="N108" s="13">
        <f>IF('Données projet'!$A$36&gt;35,N107+M108-V107,IF(A108&lt;'Données projet'!$A$36,$K$205^A108,IF(A108='Données projet'!$A$36,'Données projet'!$B$36,N107+M108-V107)))</f>
        <v>476.83500000000004</v>
      </c>
      <c r="O108" s="13">
        <f>N108*VLOOKUP('Données projet'!$B$9,Paramètres!$A$1:$I$89,3,0)*VLOOKUP('Données projet'!$B$9,Paramètres!$A$1:$I$89,5,0)</f>
        <v>431.44030800000002</v>
      </c>
      <c r="P108" s="13">
        <f t="shared" si="87"/>
        <v>98.122365773392104</v>
      </c>
      <c r="Q108" s="20">
        <f t="shared" si="107"/>
        <v>922.32165682199127</v>
      </c>
      <c r="R108" s="59">
        <f t="shared" si="55"/>
        <v>1215.6549901553246</v>
      </c>
      <c r="S108" s="59">
        <f ca="1">AVERAGE(OFFSET($R$3,0,0,'Données projet'!$E$9+1,1))-AVERAGE(OFFSET($H$3,0,0,'Données projet'!$E$9+1,1))</f>
        <v>695.0879239758051</v>
      </c>
      <c r="T108" s="59">
        <f t="shared" si="88"/>
        <v>226.22150997227476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46.696117872799405</v>
      </c>
      <c r="AA108" s="21">
        <f>EXP(-LN(2)/25)*AA107+(1-EXP(-LN(2)/25))/(LN(2)/25)*Calculateur!V108*Calculateur!X108*VLOOKUP('Données projet'!$B$9,Paramètres!$A$1:$I$89,3,0)*0.475*44/12</f>
        <v>30.435768468322667</v>
      </c>
      <c r="AB108" s="21">
        <f>EXP(-LN(2)/2)*AB107+(1-EXP(-LN(2)/2))/(LN(2)/2)*V108*Y108*VLOOKUP('Données projet'!$B$9,Paramètres!$A$1:$I$89,3,0)*0.475*44/12</f>
        <v>3.4185824372408011E-2</v>
      </c>
      <c r="AC108" s="22">
        <f t="shared" si="57"/>
        <v>77.166072165494484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1.1368683772161603E-13</v>
      </c>
      <c r="AJ108" s="13">
        <f>AI108*VLOOKUP('Données projet'!$B$10,Paramètres!$A$1:$I$89,3,0)*VLOOKUP('Données projet'!$B$10,Paramètres!$A$1:$I$89,5,0)</f>
        <v>6.7984728957526396E-14</v>
      </c>
      <c r="AK108" s="13">
        <f t="shared" si="89"/>
        <v>1.0682447123141398E-12</v>
      </c>
      <c r="AL108" s="20">
        <f t="shared" si="58"/>
        <v>1.978932943548152E-12</v>
      </c>
      <c r="AM108" s="59">
        <f t="shared" si="59"/>
        <v>293.3333333333353</v>
      </c>
      <c r="AN108" s="59">
        <f ca="1">AVERAGE(OFFSET($AM$3,0,0,'Données projet'!$E$10+1,1))-AVERAGE(OFFSET($H$3,0,0,'Données projet'!$E$10+1,1))</f>
        <v>388.12151914648013</v>
      </c>
      <c r="AO108" s="59">
        <f t="shared" si="90"/>
        <v>481.43684454382793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67.457285505430718</v>
      </c>
      <c r="AV108" s="21">
        <f>EXP(-LN(2)/25)*AV107+(1-EXP(-LN(2)/25))/(LN(2)/25)*Calculateur!AQ108*Calculateur!AS108*VLOOKUP('Données projet'!$B$10,Paramètres!$A$1:$I$89,3,0)*0.475*44/12</f>
        <v>15.850685766243766</v>
      </c>
      <c r="AW108" s="21">
        <f>EXP(-LN(2)/2)*AW107+(1-EXP(-LN(2)/2))/(LN(2)/2)*AQ108*AT108*VLOOKUP('Données projet'!$B$10,Paramètres!$A$1:$I$89,3,0)*0.475*44/12</f>
        <v>3.2581331288747344E-6</v>
      </c>
      <c r="AX108" s="21">
        <f t="shared" si="60"/>
        <v>83.307974529807623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415.24818074059294</v>
      </c>
      <c r="BJ108" s="59">
        <f t="shared" si="92"/>
        <v>404.45811532046872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30.745710980294177</v>
      </c>
      <c r="BQ108" s="21">
        <f>EXP(-LN(2)/25)*BQ107+(1-EXP(-LN(2)/25))/(LN(2)/25)*Calculateur!BL108*Calculateur!BN108*VLOOKUP('Données projet'!$B$11,Paramètres!$A$1:$I$89,3,0)*0.475*44/12</f>
        <v>24.90236551449037</v>
      </c>
      <c r="BR108" s="21">
        <f>EXP(-LN(2)/2)*BR107+(1-EXP(-LN(2)/2))/(LN(2)/2)*BL108*BO108*VLOOKUP('Données projet'!$B$11,Paramètres!$A$1:$I$89,3,0)*0.475*44/12</f>
        <v>1.2888953883126506E-2</v>
      </c>
      <c r="BS108" s="22">
        <f t="shared" si="63"/>
        <v>55.660965448667675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384.34044781465661</v>
      </c>
      <c r="CE108" s="59">
        <f t="shared" si="94"/>
        <v>374.99493809709708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34.78965695368403</v>
      </c>
      <c r="CL108" s="21">
        <f>EXP(-LN(2)/25)*CL107+(1-EXP(-LN(2)/25))/(LN(2)/25)*Calculateur!CG108*Calculateur!CI108*VLOOKUP('Données projet'!$B$12,Paramètres!$A$1:$I$89,3,0)*0.475*44/12</f>
        <v>28.177743365233489</v>
      </c>
      <c r="CM108" s="21">
        <f>EXP(-LN(2)/2)*CM107+(1-EXP(-LN(2)/2))/(LN(2)/2)*CG108*CJ108*VLOOKUP('Données projet'!$B$12,Paramètres!$A$1:$I$89,3,0)*0.475*44/12</f>
        <v>1.1832482253362041E-2</v>
      </c>
      <c r="CN108" s="22">
        <f t="shared" si="66"/>
        <v>62.97923280117088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5.6843418860808015E-13</v>
      </c>
      <c r="CU108" s="17">
        <f>CT108*VLOOKUP('Données projet'!$B$13,Paramètres!$A$1:$I$89,3,0)*VLOOKUP('Données projet'!$B$13,Paramètres!$A$1:$I$89,5,0)</f>
        <v>3.177547114319168E-13</v>
      </c>
      <c r="CV108" s="13">
        <f t="shared" si="95"/>
        <v>4.1725404435445377E-12</v>
      </c>
      <c r="CW108" s="20">
        <f t="shared" si="67"/>
        <v>7.820597394917325E-12</v>
      </c>
      <c r="CX108" s="59">
        <f t="shared" si="68"/>
        <v>293.33333333334116</v>
      </c>
      <c r="CY108" s="59">
        <f ca="1">AVERAGE(OFFSET($CX$3,0,0,'Données projet'!$E$13+1,1))-AVERAGE(OFFSET($H$3,0,0,'Données projet'!$E$13+1,1))</f>
        <v>386.66324266750968</v>
      </c>
      <c r="CZ108" s="59">
        <f t="shared" si="96"/>
        <v>356.22149461585769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115.37435886918563</v>
      </c>
      <c r="DG108" s="21">
        <f>EXP(-LN(2)/25)*DG107+(1-EXP(-LN(2)/25))/(LN(2)/25)*Calculateur!DB108*Calculateur!DD108*VLOOKUP('Données projet'!$B$13,Paramètres!$A$1:$I$89,3,0)*0.475*44/12</f>
        <v>29.085594941390891</v>
      </c>
      <c r="DH108" s="21">
        <f>EXP(-LN(2)/2)*DH107+(1-EXP(-LN(2)/2))/(LN(2)/2)*DB108*DE108*VLOOKUP('Données projet'!$B$13,Paramètres!$A$1:$I$89,3,0)*0.475*44/12</f>
        <v>4.0733694660729798E-4</v>
      </c>
      <c r="DI108" s="22">
        <f t="shared" si="69"/>
        <v>144.46036114752312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>
        <f>DO108*VLOOKUP('Données projet'!$B$14,Paramètres!$A$1:$I$89,3,0)*VLOOKUP('Données projet'!$B$14,Paramètres!$A$1:$I$89,5,0)</f>
        <v>0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347.17417070871716</v>
      </c>
      <c r="DU108" s="59">
        <f t="shared" si="98"/>
        <v>339.56378046986441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25.201402442864087</v>
      </c>
      <c r="EB108" s="21">
        <f>EXP(-LN(2)/25)*EB107+(1-EXP(-LN(2)/25))/(LN(2)/25)*Calculateur!DW108*Calculateur!DY108*VLOOKUP('Données projet'!$B$14,Paramètres!$A$1:$I$89,3,0)*0.475*44/12</f>
        <v>20.411775011877349</v>
      </c>
      <c r="EC108" s="21">
        <f>EXP(-LN(2)/2)*EC107+(1-EXP(-LN(2)/2))/(LN(2)/2)*DW108*DZ108*VLOOKUP('Données projet'!$B$14,Paramètres!$A$1:$I$89,3,0)*0.475*44/12</f>
        <v>1.0564716297644694E-2</v>
      </c>
      <c r="ED108" s="22">
        <f t="shared" si="72"/>
        <v>45.623742171039076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>
        <f>EJ108*VLOOKUP('Données projet'!$B$15,Paramètres!$A$1:$I$89,3,0)*VLOOKUP('Données projet'!$B$15,Paramètres!$A$1:$I$89,5,0)</f>
        <v>0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384.34044781465661</v>
      </c>
      <c r="EP108" s="59">
        <f t="shared" si="100"/>
        <v>374.99493809709708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28.225570736007786</v>
      </c>
      <c r="EW108" s="21">
        <f>EXP(-LN(2)/25)*EW107+(1-EXP(-LN(2)/25))/(LN(2)/25)*Calculateur!ER108*Calculateur!ET108*VLOOKUP('Données projet'!$B$15,Paramètres!$A$1:$I$89,3,0)*0.475*44/12</f>
        <v>22.861188013302645</v>
      </c>
      <c r="EX108" s="21">
        <f>EXP(-LN(2)/2)*EX107+(1-EXP(-LN(2)/2))/(LN(2)/2)*ER108*EU108*VLOOKUP('Données projet'!$B$15,Paramètres!$A$1:$I$89,3,0)*0.475*44/12</f>
        <v>1.1832482253362041E-2</v>
      </c>
      <c r="EY108" s="22">
        <f t="shared" si="75"/>
        <v>51.098591231563795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>
        <f>FE108*VLOOKUP('Données projet'!$B$16,Paramètres!$A$1:$I$89,3,0)*VLOOKUP('Données projet'!$B$16,Paramètres!$A$1:$I$89,5,0)</f>
        <v>0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359.57284550600366</v>
      </c>
      <c r="FK108" s="59">
        <f t="shared" si="102"/>
        <v>351.38386928091433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26.209458540578655</v>
      </c>
      <c r="FR108" s="21">
        <f>EXP(-LN(2)/25)*FR107+(1-EXP(-LN(2)/25))/(LN(2)/25)*Calculateur!FM108*Calculateur!FO108*VLOOKUP('Données projet'!$B$16,Paramètres!$A$1:$I$89,3,0)*0.475*44/12</f>
        <v>21.228246012352443</v>
      </c>
      <c r="FS108" s="21">
        <f>EXP(-LN(2)/2)*FS107+(1-EXP(-LN(2)/2))/(LN(2)/2)*FM108*FP108*VLOOKUP('Données projet'!$B$16,Paramètres!$A$1:$I$89,3,0)*0.475*44/12</f>
        <v>1.0987304949550483E-2</v>
      </c>
      <c r="FT108" s="22">
        <f t="shared" si="78"/>
        <v>47.448691857880647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6">
        <f t="shared" si="56"/>
        <v>256.66666666666669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10.840999999999998</v>
      </c>
      <c r="N109" s="13">
        <f>IF('Données projet'!$A$36&gt;35,N108+M109-V108,IF(A109&lt;'Données projet'!$A$36,$K$205^A109,IF(A109='Données projet'!$A$36,'Données projet'!$B$36,N108+M109-V108)))</f>
        <v>487.67600000000004</v>
      </c>
      <c r="O109" s="13">
        <f>N109*VLOOKUP('Données projet'!$B$9,Paramètres!$A$1:$I$89,3,0)*VLOOKUP('Données projet'!$B$9,Paramètres!$A$1:$I$89,5,0)</f>
        <v>441.24924480000004</v>
      </c>
      <c r="P109" s="13">
        <f t="shared" si="87"/>
        <v>100.09095321491932</v>
      </c>
      <c r="Q109" s="20">
        <f t="shared" si="107"/>
        <v>942.83417820931766</v>
      </c>
      <c r="R109" s="59">
        <f t="shared" si="55"/>
        <v>1236.167511542651</v>
      </c>
      <c r="S109" s="59">
        <f ca="1">AVERAGE(OFFSET($R$3,0,0,'Données projet'!$E$9+1,1))-AVERAGE(OFFSET($H$3,0,0,'Données projet'!$E$9+1,1))</f>
        <v>695.0879239758051</v>
      </c>
      <c r="T109" s="59">
        <f t="shared" si="88"/>
        <v>226.22150997227476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45.780435483133367</v>
      </c>
      <c r="AA109" s="21">
        <f>EXP(-LN(2)/25)*AA108+(1-EXP(-LN(2)/25))/(LN(2)/25)*Calculateur!V109*Calculateur!X109*VLOOKUP('Données projet'!$B$9,Paramètres!$A$1:$I$89,3,0)*0.475*44/12</f>
        <v>29.603500779008883</v>
      </c>
      <c r="AB109" s="21">
        <f>EXP(-LN(2)/2)*AB108+(1-EXP(-LN(2)/2))/(LN(2)/2)*V109*Y109*VLOOKUP('Données projet'!$B$9,Paramètres!$A$1:$I$89,3,0)*0.475*44/12</f>
        <v>2.4173028234182055E-2</v>
      </c>
      <c r="AC109" s="22">
        <f t="shared" si="57"/>
        <v>75.40810929037643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1.1368683772161603E-13</v>
      </c>
      <c r="AJ109" s="13">
        <f>AI109*VLOOKUP('Données projet'!$B$10,Paramètres!$A$1:$I$89,3,0)*VLOOKUP('Données projet'!$B$10,Paramètres!$A$1:$I$89,5,0)</f>
        <v>6.7984728957526396E-14</v>
      </c>
      <c r="AK109" s="13">
        <f t="shared" si="89"/>
        <v>1.0682447123141398E-12</v>
      </c>
      <c r="AL109" s="20">
        <f t="shared" si="58"/>
        <v>1.978932943548152E-12</v>
      </c>
      <c r="AM109" s="59">
        <f t="shared" si="59"/>
        <v>293.3333333333353</v>
      </c>
      <c r="AN109" s="59">
        <f ca="1">AVERAGE(OFFSET($AM$3,0,0,'Données projet'!$E$10+1,1))-AVERAGE(OFFSET($H$3,0,0,'Données projet'!$E$10+1,1))</f>
        <v>388.12151914648013</v>
      </c>
      <c r="AO109" s="59">
        <f t="shared" si="90"/>
        <v>481.43684454382793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66.134489281550657</v>
      </c>
      <c r="AV109" s="21">
        <f>EXP(-LN(2)/25)*AV108+(1-EXP(-LN(2)/25))/(LN(2)/25)*Calculateur!AQ109*Calculateur!AS109*VLOOKUP('Données projet'!$B$10,Paramètres!$A$1:$I$89,3,0)*0.475*44/12</f>
        <v>15.417247930414492</v>
      </c>
      <c r="AW109" s="21">
        <f>EXP(-LN(2)/2)*AW108+(1-EXP(-LN(2)/2))/(LN(2)/2)*AQ109*AT109*VLOOKUP('Données projet'!$B$10,Paramètres!$A$1:$I$89,3,0)*0.475*44/12</f>
        <v>2.3038480294358682E-6</v>
      </c>
      <c r="AX109" s="21">
        <f t="shared" si="60"/>
        <v>81.551739515813182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415.24818074059294</v>
      </c>
      <c r="BJ109" s="59">
        <f t="shared" si="92"/>
        <v>404.45811532046872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30.142806341002597</v>
      </c>
      <c r="BQ109" s="21">
        <f>EXP(-LN(2)/25)*BQ108+(1-EXP(-LN(2)/25))/(LN(2)/25)*Calculateur!BL109*Calculateur!BN109*VLOOKUP('Données projet'!$B$11,Paramètres!$A$1:$I$89,3,0)*0.475*44/12</f>
        <v>24.221409019938143</v>
      </c>
      <c r="BR109" s="21">
        <f>EXP(-LN(2)/2)*BR108+(1-EXP(-LN(2)/2))/(LN(2)/2)*BL109*BO109*VLOOKUP('Données projet'!$B$11,Paramètres!$A$1:$I$89,3,0)*0.475*44/12</f>
        <v>9.1138666931594361E-3</v>
      </c>
      <c r="BS109" s="22">
        <f t="shared" si="63"/>
        <v>54.373329227633903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384.34044781465661</v>
      </c>
      <c r="CE109" s="59">
        <f t="shared" si="94"/>
        <v>374.99493809709708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34.10745300041777</v>
      </c>
      <c r="CL109" s="21">
        <f>EXP(-LN(2)/25)*CL108+(1-EXP(-LN(2)/25))/(LN(2)/25)*Calculateur!CG109*Calculateur!CI109*VLOOKUP('Données projet'!$B$12,Paramètres!$A$1:$I$89,3,0)*0.475*44/12</f>
        <v>27.407221491108057</v>
      </c>
      <c r="CM109" s="21">
        <f>EXP(-LN(2)/2)*CM108+(1-EXP(-LN(2)/2))/(LN(2)/2)*CG109*CJ109*VLOOKUP('Données projet'!$B$12,Paramètres!$A$1:$I$89,3,0)*0.475*44/12</f>
        <v>8.3668284396217797E-3</v>
      </c>
      <c r="CN109" s="22">
        <f t="shared" si="66"/>
        <v>61.523041319965444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5.6843418860808015E-13</v>
      </c>
      <c r="CU109" s="17">
        <f>CT109*VLOOKUP('Données projet'!$B$13,Paramètres!$A$1:$I$89,3,0)*VLOOKUP('Données projet'!$B$13,Paramètres!$A$1:$I$89,5,0)</f>
        <v>3.177547114319168E-13</v>
      </c>
      <c r="CV109" s="13">
        <f t="shared" si="95"/>
        <v>4.1725404435445377E-12</v>
      </c>
      <c r="CW109" s="20">
        <f t="shared" si="67"/>
        <v>7.820597394917325E-12</v>
      </c>
      <c r="CX109" s="59">
        <f t="shared" si="68"/>
        <v>293.33333333334116</v>
      </c>
      <c r="CY109" s="59">
        <f ca="1">AVERAGE(OFFSET($CX$3,0,0,'Données projet'!$E$13+1,1))-AVERAGE(OFFSET($H$3,0,0,'Données projet'!$E$13+1,1))</f>
        <v>386.66324266750968</v>
      </c>
      <c r="CZ109" s="59">
        <f t="shared" si="96"/>
        <v>356.22149461585769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113.11193806317121</v>
      </c>
      <c r="DG109" s="21">
        <f>EXP(-LN(2)/25)*DG108+(1-EXP(-LN(2)/25))/(LN(2)/25)*Calculateur!DB109*Calculateur!DD109*VLOOKUP('Données projet'!$B$13,Paramètres!$A$1:$I$89,3,0)*0.475*44/12</f>
        <v>28.290247818173594</v>
      </c>
      <c r="DH109" s="21">
        <f>EXP(-LN(2)/2)*DH108+(1-EXP(-LN(2)/2))/(LN(2)/2)*DB109*DE109*VLOOKUP('Données projet'!$B$13,Paramètres!$A$1:$I$89,3,0)*0.475*44/12</f>
        <v>2.8803071717384304E-4</v>
      </c>
      <c r="DI109" s="22">
        <f t="shared" si="69"/>
        <v>141.40247391206196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>
        <f>DO109*VLOOKUP('Données projet'!$B$14,Paramètres!$A$1:$I$89,3,0)*VLOOKUP('Données projet'!$B$14,Paramètres!$A$1:$I$89,5,0)</f>
        <v>0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347.17417070871716</v>
      </c>
      <c r="DU109" s="59">
        <f t="shared" si="98"/>
        <v>339.56378046986441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24.707218312297218</v>
      </c>
      <c r="EB109" s="21">
        <f>EXP(-LN(2)/25)*EB108+(1-EXP(-LN(2)/25))/(LN(2)/25)*Calculateur!DW109*Calculateur!DY109*VLOOKUP('Données projet'!$B$14,Paramètres!$A$1:$I$89,3,0)*0.475*44/12</f>
        <v>19.853613950768967</v>
      </c>
      <c r="EC109" s="21">
        <f>EXP(-LN(2)/2)*EC108+(1-EXP(-LN(2)/2))/(LN(2)/2)*DW109*DZ109*VLOOKUP('Données projet'!$B$14,Paramètres!$A$1:$I$89,3,0)*0.475*44/12</f>
        <v>7.4703825353765992E-3</v>
      </c>
      <c r="ED109" s="22">
        <f t="shared" si="72"/>
        <v>44.568302645601563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>
        <f>EJ109*VLOOKUP('Données projet'!$B$15,Paramètres!$A$1:$I$89,3,0)*VLOOKUP('Données projet'!$B$15,Paramètres!$A$1:$I$89,5,0)</f>
        <v>0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384.34044781465661</v>
      </c>
      <c r="EP109" s="59">
        <f t="shared" si="100"/>
        <v>374.99493809709708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27.672084509772894</v>
      </c>
      <c r="EW109" s="21">
        <f>EXP(-LN(2)/25)*EW108+(1-EXP(-LN(2)/25))/(LN(2)/25)*Calculateur!ER109*Calculateur!ET109*VLOOKUP('Données projet'!$B$15,Paramètres!$A$1:$I$89,3,0)*0.475*44/12</f>
        <v>22.236047624861257</v>
      </c>
      <c r="EX109" s="21">
        <f>EXP(-LN(2)/2)*EX108+(1-EXP(-LN(2)/2))/(LN(2)/2)*ER109*EU109*VLOOKUP('Données projet'!$B$15,Paramètres!$A$1:$I$89,3,0)*0.475*44/12</f>
        <v>8.3668284396217797E-3</v>
      </c>
      <c r="EY109" s="22">
        <f t="shared" si="75"/>
        <v>49.916498963073771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>
        <f>FE109*VLOOKUP('Données projet'!$B$16,Paramètres!$A$1:$I$89,3,0)*VLOOKUP('Données projet'!$B$16,Paramètres!$A$1:$I$89,5,0)</f>
        <v>0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359.57284550600366</v>
      </c>
      <c r="FK109" s="59">
        <f t="shared" si="102"/>
        <v>351.38386928091433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25.695507044789114</v>
      </c>
      <c r="FR109" s="21">
        <f>EXP(-LN(2)/25)*FR108+(1-EXP(-LN(2)/25))/(LN(2)/25)*Calculateur!FM109*Calculateur!FO109*VLOOKUP('Données projet'!$B$16,Paramètres!$A$1:$I$89,3,0)*0.475*44/12</f>
        <v>20.647758508799726</v>
      </c>
      <c r="FS109" s="21">
        <f>EXP(-LN(2)/2)*FS108+(1-EXP(-LN(2)/2))/(LN(2)/2)*FM109*FP109*VLOOKUP('Données projet'!$B$16,Paramètres!$A$1:$I$89,3,0)*0.475*44/12</f>
        <v>7.7691978367916649E-3</v>
      </c>
      <c r="FT109" s="22">
        <f t="shared" si="78"/>
        <v>46.35103475142563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6">
        <f t="shared" si="56"/>
        <v>256.66666666666669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10.840999999999998</v>
      </c>
      <c r="N110" s="13">
        <f>IF('Données projet'!$A$36&gt;35,N109+M110-V109,IF(A110&lt;'Données projet'!$A$36,$K$205^A110,IF(A110='Données projet'!$A$36,'Données projet'!$B$36,N109+M110-V109)))</f>
        <v>498.51700000000005</v>
      </c>
      <c r="O110" s="13">
        <f>N110*VLOOKUP('Données projet'!$B$9,Paramètres!$A$1:$I$89,3,0)*VLOOKUP('Données projet'!$B$9,Paramètres!$A$1:$I$89,5,0)</f>
        <v>451.05818160000001</v>
      </c>
      <c r="P110" s="13">
        <f t="shared" si="87"/>
        <v>102.05445295405619</v>
      </c>
      <c r="Q110" s="20">
        <f t="shared" si="107"/>
        <v>963.33783851498117</v>
      </c>
      <c r="R110" s="59">
        <f t="shared" si="55"/>
        <v>1256.6711718483145</v>
      </c>
      <c r="S110" s="59">
        <f ca="1">AVERAGE(OFFSET($R$3,0,0,'Données projet'!$E$9+1,1))-AVERAGE(OFFSET($H$3,0,0,'Données projet'!$E$9+1,1))</f>
        <v>695.0879239758051</v>
      </c>
      <c r="T110" s="59">
        <f t="shared" si="88"/>
        <v>226.22150997227476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44.882709066617572</v>
      </c>
      <c r="AA110" s="21">
        <f>EXP(-LN(2)/25)*AA109+(1-EXP(-LN(2)/25))/(LN(2)/25)*Calculateur!V110*Calculateur!X110*VLOOKUP('Données projet'!$B$9,Paramètres!$A$1:$I$89,3,0)*0.475*44/12</f>
        <v>28.793991493426439</v>
      </c>
      <c r="AB110" s="21">
        <f>EXP(-LN(2)/2)*AB109+(1-EXP(-LN(2)/2))/(LN(2)/2)*V110*Y110*VLOOKUP('Données projet'!$B$9,Paramètres!$A$1:$I$89,3,0)*0.475*44/12</f>
        <v>1.7092912186204005E-2</v>
      </c>
      <c r="AC110" s="22">
        <f t="shared" si="57"/>
        <v>73.693793472230212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1.1368683772161603E-13</v>
      </c>
      <c r="AJ110" s="13">
        <f>AI110*VLOOKUP('Données projet'!$B$10,Paramètres!$A$1:$I$89,3,0)*VLOOKUP('Données projet'!$B$10,Paramètres!$A$1:$I$89,5,0)</f>
        <v>6.7984728957526396E-14</v>
      </c>
      <c r="AK110" s="13">
        <f t="shared" si="89"/>
        <v>1.0682447123141398E-12</v>
      </c>
      <c r="AL110" s="20">
        <f t="shared" si="58"/>
        <v>1.978932943548152E-12</v>
      </c>
      <c r="AM110" s="59">
        <f t="shared" si="59"/>
        <v>293.3333333333353</v>
      </c>
      <c r="AN110" s="59">
        <f ca="1">AVERAGE(OFFSET($AM$3,0,0,'Données projet'!$E$10+1,1))-AVERAGE(OFFSET($H$3,0,0,'Données projet'!$E$10+1,1))</f>
        <v>388.12151914648013</v>
      </c>
      <c r="AO110" s="59">
        <f t="shared" si="90"/>
        <v>481.43684454382793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64.837632284794864</v>
      </c>
      <c r="AV110" s="21">
        <f>EXP(-LN(2)/25)*AV109+(1-EXP(-LN(2)/25))/(LN(2)/25)*Calculateur!AQ110*Calculateur!AS110*VLOOKUP('Données projet'!$B$10,Paramètres!$A$1:$I$89,3,0)*0.475*44/12</f>
        <v>14.995662474999476</v>
      </c>
      <c r="AW110" s="21">
        <f>EXP(-LN(2)/2)*AW109+(1-EXP(-LN(2)/2))/(LN(2)/2)*AQ110*AT110*VLOOKUP('Données projet'!$B$10,Paramètres!$A$1:$I$89,3,0)*0.475*44/12</f>
        <v>1.6290665644373672E-6</v>
      </c>
      <c r="AX110" s="21">
        <f t="shared" si="60"/>
        <v>79.833296388860902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415.24818074059294</v>
      </c>
      <c r="BJ110" s="59">
        <f t="shared" si="92"/>
        <v>404.45811532046872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29.551724293952006</v>
      </c>
      <c r="BQ110" s="21">
        <f>EXP(-LN(2)/25)*BQ109+(1-EXP(-LN(2)/25))/(LN(2)/25)*Calculateur!BL110*Calculateur!BN110*VLOOKUP('Données projet'!$B$11,Paramètres!$A$1:$I$89,3,0)*0.475*44/12</f>
        <v>23.559073316539394</v>
      </c>
      <c r="BR110" s="21">
        <f>EXP(-LN(2)/2)*BR109+(1-EXP(-LN(2)/2))/(LN(2)/2)*BL110*BO110*VLOOKUP('Données projet'!$B$11,Paramètres!$A$1:$I$89,3,0)*0.475*44/12</f>
        <v>6.4444769415632529E-3</v>
      </c>
      <c r="BS110" s="22">
        <f t="shared" si="63"/>
        <v>53.117242087432963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384.34044781465661</v>
      </c>
      <c r="CE110" s="59">
        <f t="shared" si="94"/>
        <v>374.99493809709708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33.438626650571734</v>
      </c>
      <c r="CL110" s="21">
        <f>EXP(-LN(2)/25)*CL109+(1-EXP(-LN(2)/25))/(LN(2)/25)*Calculateur!CG110*Calculateur!CI110*VLOOKUP('Données projet'!$B$12,Paramètres!$A$1:$I$89,3,0)*0.475*44/12</f>
        <v>26.657769578150567</v>
      </c>
      <c r="CM110" s="21">
        <f>EXP(-LN(2)/2)*CM109+(1-EXP(-LN(2)/2))/(LN(2)/2)*CG110*CJ110*VLOOKUP('Données projet'!$B$12,Paramètres!$A$1:$I$89,3,0)*0.475*44/12</f>
        <v>5.9162411266810207E-3</v>
      </c>
      <c r="CN110" s="22">
        <f t="shared" si="66"/>
        <v>60.102312469848982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5.6843418860808015E-13</v>
      </c>
      <c r="CU110" s="17">
        <f>CT110*VLOOKUP('Données projet'!$B$13,Paramètres!$A$1:$I$89,3,0)*VLOOKUP('Données projet'!$B$13,Paramètres!$A$1:$I$89,5,0)</f>
        <v>3.177547114319168E-13</v>
      </c>
      <c r="CV110" s="13">
        <f t="shared" si="95"/>
        <v>4.1725404435445377E-12</v>
      </c>
      <c r="CW110" s="20">
        <f t="shared" si="67"/>
        <v>7.820597394917325E-12</v>
      </c>
      <c r="CX110" s="59">
        <f t="shared" si="68"/>
        <v>293.33333333334116</v>
      </c>
      <c r="CY110" s="59">
        <f ca="1">AVERAGE(OFFSET($CX$3,0,0,'Données projet'!$E$13+1,1))-AVERAGE(OFFSET($H$3,0,0,'Données projet'!$E$13+1,1))</f>
        <v>386.66324266750968</v>
      </c>
      <c r="CZ110" s="59">
        <f t="shared" si="96"/>
        <v>356.22149461585769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110.8938819492223</v>
      </c>
      <c r="DG110" s="21">
        <f>EXP(-LN(2)/25)*DG109+(1-EXP(-LN(2)/25))/(LN(2)/25)*Calculateur!DB110*Calculateur!DD110*VLOOKUP('Données projet'!$B$13,Paramètres!$A$1:$I$89,3,0)*0.475*44/12</f>
        <v>27.516649503866162</v>
      </c>
      <c r="DH110" s="21">
        <f>EXP(-LN(2)/2)*DH109+(1-EXP(-LN(2)/2))/(LN(2)/2)*DB110*DE110*VLOOKUP('Données projet'!$B$13,Paramètres!$A$1:$I$89,3,0)*0.475*44/12</f>
        <v>2.0366847330364899E-4</v>
      </c>
      <c r="DI110" s="22">
        <f t="shared" si="69"/>
        <v>138.41073512156177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>
        <f>DO110*VLOOKUP('Données projet'!$B$14,Paramètres!$A$1:$I$89,3,0)*VLOOKUP('Données projet'!$B$14,Paramètres!$A$1:$I$89,5,0)</f>
        <v>0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347.17417070871716</v>
      </c>
      <c r="DU110" s="59">
        <f t="shared" si="98"/>
        <v>339.56378046986441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24.222724831108209</v>
      </c>
      <c r="EB110" s="21">
        <f>EXP(-LN(2)/25)*EB109+(1-EXP(-LN(2)/25))/(LN(2)/25)*Calculateur!DW110*Calculateur!DY110*VLOOKUP('Données projet'!$B$14,Paramètres!$A$1:$I$89,3,0)*0.475*44/12</f>
        <v>19.310715833229008</v>
      </c>
      <c r="EC110" s="21">
        <f>EXP(-LN(2)/2)*EC109+(1-EXP(-LN(2)/2))/(LN(2)/2)*DW110*DZ110*VLOOKUP('Données projet'!$B$14,Paramètres!$A$1:$I$89,3,0)*0.475*44/12</f>
        <v>5.2823581488223477E-3</v>
      </c>
      <c r="ED110" s="22">
        <f t="shared" si="72"/>
        <v>43.538723022486046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>
        <f>EJ110*VLOOKUP('Données projet'!$B$15,Paramètres!$A$1:$I$89,3,0)*VLOOKUP('Données projet'!$B$15,Paramètres!$A$1:$I$89,5,0)</f>
        <v>0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384.34044781465661</v>
      </c>
      <c r="EP110" s="59">
        <f t="shared" si="100"/>
        <v>374.99493809709708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27.129451810841203</v>
      </c>
      <c r="EW110" s="21">
        <f>EXP(-LN(2)/25)*EW109+(1-EXP(-LN(2)/25))/(LN(2)/25)*Calculateur!ER110*Calculateur!ET110*VLOOKUP('Données projet'!$B$15,Paramètres!$A$1:$I$89,3,0)*0.475*44/12</f>
        <v>21.628001733216504</v>
      </c>
      <c r="EX110" s="21">
        <f>EXP(-LN(2)/2)*EX109+(1-EXP(-LN(2)/2))/(LN(2)/2)*ER110*EU110*VLOOKUP('Données projet'!$B$15,Paramètres!$A$1:$I$89,3,0)*0.475*44/12</f>
        <v>5.9162411266810207E-3</v>
      </c>
      <c r="EY110" s="22">
        <f t="shared" si="75"/>
        <v>48.763369785184395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>
        <f>FE110*VLOOKUP('Données projet'!$B$16,Paramètres!$A$1:$I$89,3,0)*VLOOKUP('Données projet'!$B$16,Paramètres!$A$1:$I$89,5,0)</f>
        <v>0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359.57284550600366</v>
      </c>
      <c r="FK110" s="59">
        <f t="shared" si="102"/>
        <v>351.38386928091433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25.191633824352547</v>
      </c>
      <c r="FR110" s="21">
        <f>EXP(-LN(2)/25)*FR109+(1-EXP(-LN(2)/25))/(LN(2)/25)*Calculateur!FM110*Calculateur!FO110*VLOOKUP('Données projet'!$B$16,Paramètres!$A$1:$I$89,3,0)*0.475*44/12</f>
        <v>20.083144466558167</v>
      </c>
      <c r="FS110" s="21">
        <f>EXP(-LN(2)/2)*FS109+(1-EXP(-LN(2)/2))/(LN(2)/2)*FM110*FP110*VLOOKUP('Données projet'!$B$16,Paramètres!$A$1:$I$89,3,0)*0.475*44/12</f>
        <v>5.4936524747752425E-3</v>
      </c>
      <c r="FT110" s="22">
        <f t="shared" si="78"/>
        <v>45.280271943385493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6">
        <f t="shared" si="56"/>
        <v>256.66666666666669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10.840999999999998</v>
      </c>
      <c r="N111" s="13">
        <f>IF('Données projet'!$A$36&gt;35,N110+M111-V110,IF(A111&lt;'Données projet'!$A$36,$K$205^A111,IF(A111='Données projet'!$A$36,'Données projet'!$B$36,N110+M111-V110)))</f>
        <v>509.35800000000006</v>
      </c>
      <c r="O111" s="13">
        <f>N111*VLOOKUP('Données projet'!$B$9,Paramètres!$A$1:$I$89,3,0)*VLOOKUP('Données projet'!$B$9,Paramètres!$A$1:$I$89,5,0)</f>
        <v>460.86711840000004</v>
      </c>
      <c r="P111" s="13">
        <f t="shared" si="87"/>
        <v>104.01298837243165</v>
      </c>
      <c r="Q111" s="20">
        <f t="shared" si="107"/>
        <v>983.83285262865172</v>
      </c>
      <c r="R111" s="59">
        <f t="shared" si="55"/>
        <v>1277.1661859619851</v>
      </c>
      <c r="S111" s="59">
        <f ca="1">AVERAGE(OFFSET($R$3,0,0,'Données projet'!$E$9+1,1))-AVERAGE(OFFSET($H$3,0,0,'Données projet'!$E$9+1,1))</f>
        <v>695.0879239758051</v>
      </c>
      <c r="T111" s="59">
        <f t="shared" si="88"/>
        <v>226.22150997227476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44.002586517570599</v>
      </c>
      <c r="AA111" s="21">
        <f>EXP(-LN(2)/25)*AA110+(1-EXP(-LN(2)/25))/(LN(2)/25)*Calculateur!V111*Calculateur!X111*VLOOKUP('Données projet'!$B$9,Paramètres!$A$1:$I$89,3,0)*0.475*44/12</f>
        <v>28.006618281828491</v>
      </c>
      <c r="AB111" s="21">
        <f>EXP(-LN(2)/2)*AB110+(1-EXP(-LN(2)/2))/(LN(2)/2)*V111*Y111*VLOOKUP('Données projet'!$B$9,Paramètres!$A$1:$I$89,3,0)*0.475*44/12</f>
        <v>1.2086514117091027E-2</v>
      </c>
      <c r="AC111" s="22">
        <f t="shared" si="57"/>
        <v>72.021291313516173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1.1368683772161603E-13</v>
      </c>
      <c r="AJ111" s="13">
        <f>AI111*VLOOKUP('Données projet'!$B$10,Paramètres!$A$1:$I$89,3,0)*VLOOKUP('Données projet'!$B$10,Paramètres!$A$1:$I$89,5,0)</f>
        <v>6.7984728957526396E-14</v>
      </c>
      <c r="AK111" s="13">
        <f t="shared" si="89"/>
        <v>1.0682447123141398E-12</v>
      </c>
      <c r="AL111" s="20">
        <f t="shared" si="58"/>
        <v>1.978932943548152E-12</v>
      </c>
      <c r="AM111" s="59">
        <f t="shared" si="59"/>
        <v>293.3333333333353</v>
      </c>
      <c r="AN111" s="59">
        <f ca="1">AVERAGE(OFFSET($AM$3,0,0,'Données projet'!$E$10+1,1))-AVERAGE(OFFSET($H$3,0,0,'Données projet'!$E$10+1,1))</f>
        <v>388.12151914648013</v>
      </c>
      <c r="AO111" s="59">
        <f t="shared" si="90"/>
        <v>481.43684454382793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63.566205862740787</v>
      </c>
      <c r="AV111" s="21">
        <f>EXP(-LN(2)/25)*AV110+(1-EXP(-LN(2)/25))/(LN(2)/25)*Calculateur!AQ111*Calculateur!AS111*VLOOKUP('Données projet'!$B$10,Paramètres!$A$1:$I$89,3,0)*0.475*44/12</f>
        <v>14.585605296032998</v>
      </c>
      <c r="AW111" s="21">
        <f>EXP(-LN(2)/2)*AW110+(1-EXP(-LN(2)/2))/(LN(2)/2)*AQ111*AT111*VLOOKUP('Données projet'!$B$10,Paramètres!$A$1:$I$89,3,0)*0.475*44/12</f>
        <v>1.1519240147179341E-6</v>
      </c>
      <c r="AX111" s="21">
        <f t="shared" si="60"/>
        <v>78.151812310697792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415.24818074059294</v>
      </c>
      <c r="BJ111" s="59">
        <f t="shared" si="92"/>
        <v>404.45811532046872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28.972233005319627</v>
      </c>
      <c r="BQ111" s="21">
        <f>EXP(-LN(2)/25)*BQ110+(1-EXP(-LN(2)/25))/(LN(2)/25)*Calculateur!BL111*Calculateur!BN111*VLOOKUP('Données projet'!$B$11,Paramètres!$A$1:$I$89,3,0)*0.475*44/12</f>
        <v>22.914849217780802</v>
      </c>
      <c r="BR111" s="21">
        <f>EXP(-LN(2)/2)*BR110+(1-EXP(-LN(2)/2))/(LN(2)/2)*BL111*BO111*VLOOKUP('Données projet'!$B$11,Paramètres!$A$1:$I$89,3,0)*0.475*44/12</f>
        <v>4.556933346579718E-3</v>
      </c>
      <c r="BS111" s="22">
        <f t="shared" si="63"/>
        <v>51.891639156447006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384.34044781465661</v>
      </c>
      <c r="CE111" s="59">
        <f t="shared" si="94"/>
        <v>374.99493809709708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32.782915577502386</v>
      </c>
      <c r="CL111" s="21">
        <f>EXP(-LN(2)/25)*CL110+(1-EXP(-LN(2)/25))/(LN(2)/25)*Calculateur!CG111*Calculateur!CI111*VLOOKUP('Données projet'!$B$12,Paramètres!$A$1:$I$89,3,0)*0.475*44/12</f>
        <v>25.928811467164866</v>
      </c>
      <c r="CM111" s="21">
        <f>EXP(-LN(2)/2)*CM110+(1-EXP(-LN(2)/2))/(LN(2)/2)*CG111*CJ111*VLOOKUP('Données projet'!$B$12,Paramètres!$A$1:$I$89,3,0)*0.475*44/12</f>
        <v>4.1834142198108899E-3</v>
      </c>
      <c r="CN111" s="22">
        <f t="shared" si="66"/>
        <v>58.715910458887066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5.6843418860808015E-13</v>
      </c>
      <c r="CU111" s="17">
        <f>CT111*VLOOKUP('Données projet'!$B$13,Paramètres!$A$1:$I$89,3,0)*VLOOKUP('Données projet'!$B$13,Paramètres!$A$1:$I$89,5,0)</f>
        <v>3.177547114319168E-13</v>
      </c>
      <c r="CV111" s="13">
        <f t="shared" si="95"/>
        <v>4.1725404435445377E-12</v>
      </c>
      <c r="CW111" s="20">
        <f t="shared" si="67"/>
        <v>7.820597394917325E-12</v>
      </c>
      <c r="CX111" s="59">
        <f t="shared" si="68"/>
        <v>293.33333333334116</v>
      </c>
      <c r="CY111" s="59">
        <f ca="1">AVERAGE(OFFSET($CX$3,0,0,'Données projet'!$E$13+1,1))-AVERAGE(OFFSET($H$3,0,0,'Données projet'!$E$13+1,1))</f>
        <v>386.66324266750968</v>
      </c>
      <c r="CZ111" s="59">
        <f t="shared" si="96"/>
        <v>356.22149461585769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108.71932056278729</v>
      </c>
      <c r="DG111" s="21">
        <f>EXP(-LN(2)/25)*DG110+(1-EXP(-LN(2)/25))/(LN(2)/25)*Calculateur!DB111*Calculateur!DD111*VLOOKUP('Données projet'!$B$13,Paramètres!$A$1:$I$89,3,0)*0.475*44/12</f>
        <v>26.764205276145233</v>
      </c>
      <c r="DH111" s="21">
        <f>EXP(-LN(2)/2)*DH110+(1-EXP(-LN(2)/2))/(LN(2)/2)*DB111*DE111*VLOOKUP('Données projet'!$B$13,Paramètres!$A$1:$I$89,3,0)*0.475*44/12</f>
        <v>1.4401535858692152E-4</v>
      </c>
      <c r="DI111" s="22">
        <f t="shared" si="69"/>
        <v>135.48366985429109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>
        <f>DO111*VLOOKUP('Données projet'!$B$14,Paramètres!$A$1:$I$89,3,0)*VLOOKUP('Données projet'!$B$14,Paramètres!$A$1:$I$89,5,0)</f>
        <v>0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347.17417070871716</v>
      </c>
      <c r="DU111" s="59">
        <f t="shared" si="98"/>
        <v>339.56378046986441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23.747731971573472</v>
      </c>
      <c r="EB111" s="21">
        <f>EXP(-LN(2)/25)*EB110+(1-EXP(-LN(2)/25))/(LN(2)/25)*Calculateur!DW111*Calculateur!DY111*VLOOKUP('Données projet'!$B$14,Paramètres!$A$1:$I$89,3,0)*0.475*44/12</f>
        <v>18.782663293262949</v>
      </c>
      <c r="EC111" s="21">
        <f>EXP(-LN(2)/2)*EC110+(1-EXP(-LN(2)/2))/(LN(2)/2)*DW111*DZ111*VLOOKUP('Données projet'!$B$14,Paramètres!$A$1:$I$89,3,0)*0.475*44/12</f>
        <v>3.7351912676883005E-3</v>
      </c>
      <c r="ED111" s="22">
        <f t="shared" si="72"/>
        <v>42.534130456104108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>
        <f>EJ111*VLOOKUP('Données projet'!$B$15,Paramètres!$A$1:$I$89,3,0)*VLOOKUP('Données projet'!$B$15,Paramètres!$A$1:$I$89,5,0)</f>
        <v>0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384.34044781465661</v>
      </c>
      <c r="EP111" s="59">
        <f t="shared" si="100"/>
        <v>374.99493809709708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26.597459808162299</v>
      </c>
      <c r="EW111" s="21">
        <f>EXP(-LN(2)/25)*EW110+(1-EXP(-LN(2)/25))/(LN(2)/25)*Calculateur!ER111*Calculateur!ET111*VLOOKUP('Données projet'!$B$15,Paramètres!$A$1:$I$89,3,0)*0.475*44/12</f>
        <v>21.036582888454518</v>
      </c>
      <c r="EX111" s="21">
        <f>EXP(-LN(2)/2)*EX110+(1-EXP(-LN(2)/2))/(LN(2)/2)*ER111*EU111*VLOOKUP('Données projet'!$B$15,Paramètres!$A$1:$I$89,3,0)*0.475*44/12</f>
        <v>4.1834142198108899E-3</v>
      </c>
      <c r="EY111" s="22">
        <f t="shared" si="75"/>
        <v>47.638226110836627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>
        <f>FE111*VLOOKUP('Données projet'!$B$16,Paramètres!$A$1:$I$89,3,0)*VLOOKUP('Données projet'!$B$16,Paramètres!$A$1:$I$89,5,0)</f>
        <v>0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359.57284550600366</v>
      </c>
      <c r="FK111" s="59">
        <f t="shared" si="102"/>
        <v>351.38386928091433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24.697641250436419</v>
      </c>
      <c r="FR111" s="21">
        <f>EXP(-LN(2)/25)*FR110+(1-EXP(-LN(2)/25))/(LN(2)/25)*Calculateur!FM111*Calculateur!FO111*VLOOKUP('Données projet'!$B$16,Paramètres!$A$1:$I$89,3,0)*0.475*44/12</f>
        <v>19.533969824993466</v>
      </c>
      <c r="FS111" s="21">
        <f>EXP(-LN(2)/2)*FS110+(1-EXP(-LN(2)/2))/(LN(2)/2)*FM111*FP111*VLOOKUP('Données projet'!$B$16,Paramètres!$A$1:$I$89,3,0)*0.475*44/12</f>
        <v>3.8845989183958329E-3</v>
      </c>
      <c r="FT111" s="22">
        <f t="shared" si="78"/>
        <v>44.235495674348279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6">
        <f t="shared" si="56"/>
        <v>256.66666666666669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10.840999999999998</v>
      </c>
      <c r="N112" s="13">
        <f>IF('Données projet'!$A$36&gt;35,N111+M112-V111,IF(A112&lt;'Données projet'!$A$36,$K$205^A112,IF(A112='Données projet'!$A$36,'Données projet'!$B$36,N111+M112-V111)))</f>
        <v>520.19900000000007</v>
      </c>
      <c r="O112" s="13">
        <f>N112*VLOOKUP('Données projet'!$B$9,Paramètres!$A$1:$I$89,3,0)*VLOOKUP('Données projet'!$B$9,Paramètres!$A$1:$I$89,5,0)</f>
        <v>470.67605520000001</v>
      </c>
      <c r="P112" s="13">
        <f t="shared" si="87"/>
        <v>105.96667729960197</v>
      </c>
      <c r="Q112" s="20">
        <f t="shared" si="107"/>
        <v>1004.3194257701401</v>
      </c>
      <c r="R112" s="59">
        <f t="shared" si="55"/>
        <v>1297.6527591034735</v>
      </c>
      <c r="S112" s="59">
        <f ca="1">AVERAGE(OFFSET($R$3,0,0,'Données projet'!$E$9+1,1))-AVERAGE(OFFSET($H$3,0,0,'Données projet'!$E$9+1,1))</f>
        <v>695.0879239758051</v>
      </c>
      <c r="T112" s="59">
        <f t="shared" si="88"/>
        <v>226.22150997227476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43.139722634888692</v>
      </c>
      <c r="AA112" s="21">
        <f>EXP(-LN(2)/25)*AA111+(1-EXP(-LN(2)/25))/(LN(2)/25)*Calculateur!V112*Calculateur!X112*VLOOKUP('Données projet'!$B$9,Paramètres!$A$1:$I$89,3,0)*0.475*44/12</f>
        <v>27.240775832107847</v>
      </c>
      <c r="AB112" s="21">
        <f>EXP(-LN(2)/2)*AB111+(1-EXP(-LN(2)/2))/(LN(2)/2)*V112*Y112*VLOOKUP('Données projet'!$B$9,Paramètres!$A$1:$I$89,3,0)*0.475*44/12</f>
        <v>8.5464560931020027E-3</v>
      </c>
      <c r="AC112" s="22">
        <f t="shared" si="57"/>
        <v>70.389044923089642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1.1368683772161603E-13</v>
      </c>
      <c r="AJ112" s="13">
        <f>AI112*VLOOKUP('Données projet'!$B$10,Paramètres!$A$1:$I$89,3,0)*VLOOKUP('Données projet'!$B$10,Paramètres!$A$1:$I$89,5,0)</f>
        <v>6.7984728957526396E-14</v>
      </c>
      <c r="AK112" s="13">
        <f t="shared" si="89"/>
        <v>1.0682447123141398E-12</v>
      </c>
      <c r="AL112" s="20">
        <f t="shared" si="58"/>
        <v>1.978932943548152E-12</v>
      </c>
      <c r="AM112" s="59">
        <f t="shared" si="59"/>
        <v>293.3333333333353</v>
      </c>
      <c r="AN112" s="59">
        <f ca="1">AVERAGE(OFFSET($AM$3,0,0,'Données projet'!$E$10+1,1))-AVERAGE(OFFSET($H$3,0,0,'Données projet'!$E$10+1,1))</f>
        <v>388.12151914648013</v>
      </c>
      <c r="AO112" s="59">
        <f t="shared" si="90"/>
        <v>481.43684454382793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62.319711337329643</v>
      </c>
      <c r="AV112" s="21">
        <f>EXP(-LN(2)/25)*AV111+(1-EXP(-LN(2)/25))/(LN(2)/25)*Calculateur!AQ112*Calculateur!AS112*VLOOKUP('Données projet'!$B$10,Paramètres!$A$1:$I$89,3,0)*0.475*44/12</f>
        <v>14.186761152189328</v>
      </c>
      <c r="AW112" s="21">
        <f>EXP(-LN(2)/2)*AW111+(1-EXP(-LN(2)/2))/(LN(2)/2)*AQ112*AT112*VLOOKUP('Données projet'!$B$10,Paramètres!$A$1:$I$89,3,0)*0.475*44/12</f>
        <v>8.145332822186836E-7</v>
      </c>
      <c r="AX112" s="21">
        <f t="shared" si="60"/>
        <v>76.50647330405225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415.24818074059294</v>
      </c>
      <c r="BJ112" s="59">
        <f t="shared" si="92"/>
        <v>404.45811532046872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28.404105187402543</v>
      </c>
      <c r="BQ112" s="21">
        <f>EXP(-LN(2)/25)*BQ111+(1-EXP(-LN(2)/25))/(LN(2)/25)*Calculateur!BL112*Calculateur!BN112*VLOOKUP('Données projet'!$B$11,Paramètres!$A$1:$I$89,3,0)*0.475*44/12</f>
        <v>22.288241460881039</v>
      </c>
      <c r="BR112" s="21">
        <f>EXP(-LN(2)/2)*BR111+(1-EXP(-LN(2)/2))/(LN(2)/2)*BL112*BO112*VLOOKUP('Données projet'!$B$11,Paramètres!$A$1:$I$89,3,0)*0.475*44/12</f>
        <v>3.2222384707816265E-3</v>
      </c>
      <c r="BS112" s="22">
        <f t="shared" si="63"/>
        <v>50.695568886754366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384.34044781465661</v>
      </c>
      <c r="CE112" s="59">
        <f t="shared" si="94"/>
        <v>374.99493809709708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32.140062598631665</v>
      </c>
      <c r="CL112" s="21">
        <f>EXP(-LN(2)/25)*CL111+(1-EXP(-LN(2)/25))/(LN(2)/25)*Calculateur!CG112*Calculateur!CI112*VLOOKUP('Données projet'!$B$12,Paramètres!$A$1:$I$89,3,0)*0.475*44/12</f>
        <v>25.219786754058308</v>
      </c>
      <c r="CM112" s="21">
        <f>EXP(-LN(2)/2)*CM111+(1-EXP(-LN(2)/2))/(LN(2)/2)*CG112*CJ112*VLOOKUP('Données projet'!$B$12,Paramètres!$A$1:$I$89,3,0)*0.475*44/12</f>
        <v>2.9581205633405104E-3</v>
      </c>
      <c r="CN112" s="22">
        <f t="shared" si="66"/>
        <v>57.362807473253319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5.6843418860808015E-13</v>
      </c>
      <c r="CU112" s="17">
        <f>CT112*VLOOKUP('Données projet'!$B$13,Paramètres!$A$1:$I$89,3,0)*VLOOKUP('Données projet'!$B$13,Paramètres!$A$1:$I$89,5,0)</f>
        <v>3.177547114319168E-13</v>
      </c>
      <c r="CV112" s="13">
        <f t="shared" si="95"/>
        <v>4.1725404435445377E-12</v>
      </c>
      <c r="CW112" s="20">
        <f t="shared" si="67"/>
        <v>7.820597394917325E-12</v>
      </c>
      <c r="CX112" s="59">
        <f t="shared" si="68"/>
        <v>293.33333333334116</v>
      </c>
      <c r="CY112" s="59">
        <f ca="1">AVERAGE(OFFSET($CX$3,0,0,'Données projet'!$E$13+1,1))-AVERAGE(OFFSET($H$3,0,0,'Données projet'!$E$13+1,1))</f>
        <v>386.66324266750968</v>
      </c>
      <c r="CZ112" s="59">
        <f t="shared" si="96"/>
        <v>356.22149461585769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106.58740099878878</v>
      </c>
      <c r="DG112" s="21">
        <f>EXP(-LN(2)/25)*DG111+(1-EXP(-LN(2)/25))/(LN(2)/25)*Calculateur!DB112*Calculateur!DD112*VLOOKUP('Données projet'!$B$13,Paramètres!$A$1:$I$89,3,0)*0.475*44/12</f>
        <v>26.032336675400657</v>
      </c>
      <c r="DH112" s="21">
        <f>EXP(-LN(2)/2)*DH111+(1-EXP(-LN(2)/2))/(LN(2)/2)*DB112*DE112*VLOOKUP('Données projet'!$B$13,Paramètres!$A$1:$I$89,3,0)*0.475*44/12</f>
        <v>1.0183423665182449E-4</v>
      </c>
      <c r="DI112" s="22">
        <f t="shared" si="69"/>
        <v>132.61983950842608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>
        <f>DO112*VLOOKUP('Données projet'!$B$14,Paramètres!$A$1:$I$89,3,0)*VLOOKUP('Données projet'!$B$14,Paramètres!$A$1:$I$89,5,0)</f>
        <v>0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347.17417070871716</v>
      </c>
      <c r="DU112" s="59">
        <f t="shared" si="98"/>
        <v>339.56378046986441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23.282053432297175</v>
      </c>
      <c r="EB112" s="21">
        <f>EXP(-LN(2)/25)*EB111+(1-EXP(-LN(2)/25))/(LN(2)/25)*Calculateur!DW112*Calculateur!DY112*VLOOKUP('Données projet'!$B$14,Paramètres!$A$1:$I$89,3,0)*0.475*44/12</f>
        <v>18.26905037777134</v>
      </c>
      <c r="EC112" s="21">
        <f>EXP(-LN(2)/2)*EC111+(1-EXP(-LN(2)/2))/(LN(2)/2)*DW112*DZ112*VLOOKUP('Données projet'!$B$14,Paramètres!$A$1:$I$89,3,0)*0.475*44/12</f>
        <v>2.6411790744111743E-3</v>
      </c>
      <c r="ED112" s="22">
        <f t="shared" si="72"/>
        <v>41.55374498914292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>
        <f>EJ112*VLOOKUP('Données projet'!$B$15,Paramètres!$A$1:$I$89,3,0)*VLOOKUP('Données projet'!$B$15,Paramètres!$A$1:$I$89,5,0)</f>
        <v>0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384.34044781465661</v>
      </c>
      <c r="EP112" s="59">
        <f t="shared" si="100"/>
        <v>374.99493809709708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26.075899844172845</v>
      </c>
      <c r="EW112" s="21">
        <f>EXP(-LN(2)/25)*EW111+(1-EXP(-LN(2)/25))/(LN(2)/25)*Calculateur!ER112*Calculateur!ET112*VLOOKUP('Données projet'!$B$15,Paramètres!$A$1:$I$89,3,0)*0.475*44/12</f>
        <v>20.461336423103916</v>
      </c>
      <c r="EX112" s="21">
        <f>EXP(-LN(2)/2)*EX111+(1-EXP(-LN(2)/2))/(LN(2)/2)*ER112*EU112*VLOOKUP('Données projet'!$B$15,Paramètres!$A$1:$I$89,3,0)*0.475*44/12</f>
        <v>2.9581205633405104E-3</v>
      </c>
      <c r="EY112" s="22">
        <f t="shared" si="75"/>
        <v>46.540194387840103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>
        <f>FE112*VLOOKUP('Données projet'!$B$16,Paramètres!$A$1:$I$89,3,0)*VLOOKUP('Données projet'!$B$16,Paramètres!$A$1:$I$89,5,0)</f>
        <v>0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359.57284550600366</v>
      </c>
      <c r="FK112" s="59">
        <f t="shared" si="102"/>
        <v>351.38386928091433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24.21333556958907</v>
      </c>
      <c r="FR112" s="21">
        <f>EXP(-LN(2)/25)*FR111+(1-EXP(-LN(2)/25))/(LN(2)/25)*Calculateur!FM112*Calculateur!FO112*VLOOKUP('Données projet'!$B$16,Paramètres!$A$1:$I$89,3,0)*0.475*44/12</f>
        <v>18.999812392882191</v>
      </c>
      <c r="FS112" s="21">
        <f>EXP(-LN(2)/2)*FS111+(1-EXP(-LN(2)/2))/(LN(2)/2)*FM112*FP112*VLOOKUP('Données projet'!$B$16,Paramètres!$A$1:$I$89,3,0)*0.475*44/12</f>
        <v>2.7468262373876217E-3</v>
      </c>
      <c r="FT112" s="22">
        <f t="shared" si="78"/>
        <v>43.215894788708646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6">
        <f t="shared" si="56"/>
        <v>256.66666666666669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531.04</v>
      </c>
      <c r="L113" s="12">
        <f>VLOOKUP(A113,'Données projet'!$A$35:$I$55,9,0)</f>
        <v>10.840999999999998</v>
      </c>
      <c r="M113" s="12">
        <f t="array" ref="M113">INDEX(L:L,MIN(IF(ISNUMBER(L113:L309),ROW(L113:L309),"")))</f>
        <v>10.840999999999998</v>
      </c>
      <c r="N113" s="13">
        <f>IF('Données projet'!$A$36&gt;35,N112+M113-V112,IF(A113&lt;'Données projet'!$A$36,$K$205^A113,IF(A113='Données projet'!$A$36,'Données projet'!$B$36,N112+M113-V112)))</f>
        <v>531.04000000000008</v>
      </c>
      <c r="O113" s="13">
        <f>N113*VLOOKUP('Données projet'!$B$9,Paramètres!$A$1:$I$89,3,0)*VLOOKUP('Données projet'!$B$9,Paramètres!$A$1:$I$89,5,0)</f>
        <v>480.48499200000009</v>
      </c>
      <c r="P113" s="13">
        <f t="shared" si="87"/>
        <v>107.9156323733046</v>
      </c>
      <c r="Q113" s="20">
        <f t="shared" si="107"/>
        <v>1024.7977541168391</v>
      </c>
      <c r="R113" s="59">
        <f t="shared" si="55"/>
        <v>1318.1310874501723</v>
      </c>
      <c r="S113" s="59">
        <f ca="1">AVERAGE(OFFSET($R$3,0,0,'Données projet'!$E$9+1,1))-AVERAGE(OFFSET($H$3,0,0,'Données projet'!$E$9+1,1))</f>
        <v>695.0879239758051</v>
      </c>
      <c r="T113" s="59">
        <f t="shared" si="88"/>
        <v>226.22150997227476</v>
      </c>
      <c r="U113" s="15">
        <f>IF(ISNA(VLOOKUP(A113,'Données projet'!$A$35:$I$55,3,0)),0,VLOOKUP(A113,'Données projet'!$A$35:$I$55,3,0))</f>
        <v>10</v>
      </c>
      <c r="V113" s="15">
        <f>IF(ISNA(VLOOKUP(A113,'Données projet'!$A$35:$I$55,4,0)),0,VLOOKUP(A113,'Données projet'!$A$35:$I$55,4,0))</f>
        <v>73.299999999999955</v>
      </c>
      <c r="W113" s="16">
        <f>IF(ISNA(VLOOKUP(A113,'Données projet'!$A$35:$I$55,5,0)),0%,VLOOKUP(A113,'Données projet'!$A$35:$I$55,5,0)*VLOOKUP('Données projet'!$B$9,Paramètres!$A$1:$I$89,7,0))</f>
        <v>0.215</v>
      </c>
      <c r="X113" s="16">
        <f>IF(ISNA(VLOOKUP(A113,'Données projet'!$A$35:$I$55,6,0)),0%,VLOOKUP(A113,'Données projet'!$A$35:$I$55,6,0)*VLOOKUP('Données projet'!$B$9,Paramètres!$A$1:$I$89,7,0))</f>
        <v>8.6000000000000007E-2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58.056897358417743</v>
      </c>
      <c r="AA113" s="21">
        <f>EXP(-LN(2)/25)*AA112+(1-EXP(-LN(2)/25))/(LN(2)/25)*Calculateur!V113*Calculateur!X113*VLOOKUP('Données projet'!$B$9,Paramètres!$A$1:$I$89,3,0)*0.475*44/12</f>
        <v>32.776296571855895</v>
      </c>
      <c r="AB113" s="21">
        <f>EXP(-LN(2)/2)*AB112+(1-EXP(-LN(2)/2))/(LN(2)/2)*V113*Y113*VLOOKUP('Données projet'!$B$9,Paramètres!$A$1:$I$89,3,0)*0.475*44/12</f>
        <v>6.0432570585455137E-3</v>
      </c>
      <c r="AC113" s="22">
        <f t="shared" si="57"/>
        <v>90.839237187332188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1.1368683772161603E-13</v>
      </c>
      <c r="AJ113" s="13">
        <f>AI113*VLOOKUP('Données projet'!$B$10,Paramètres!$A$1:$I$89,3,0)*VLOOKUP('Données projet'!$B$10,Paramètres!$A$1:$I$89,5,0)</f>
        <v>6.7984728957526396E-14</v>
      </c>
      <c r="AK113" s="13">
        <f t="shared" si="89"/>
        <v>1.0682447123141398E-12</v>
      </c>
      <c r="AL113" s="20">
        <f t="shared" si="58"/>
        <v>1.978932943548152E-12</v>
      </c>
      <c r="AM113" s="59">
        <f t="shared" si="59"/>
        <v>293.3333333333353</v>
      </c>
      <c r="AN113" s="59">
        <f ca="1">AVERAGE(OFFSET($AM$3,0,0,'Données projet'!$E$10+1,1))-AVERAGE(OFFSET($H$3,0,0,'Données projet'!$E$10+1,1))</f>
        <v>388.12151914648013</v>
      </c>
      <c r="AO113" s="59">
        <f t="shared" si="90"/>
        <v>481.43684454382793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61.097659809275221</v>
      </c>
      <c r="AV113" s="21">
        <f>EXP(-LN(2)/25)*AV112+(1-EXP(-LN(2)/25))/(LN(2)/25)*Calculateur!AQ113*Calculateur!AS113*VLOOKUP('Données projet'!$B$10,Paramètres!$A$1:$I$89,3,0)*0.475*44/12</f>
        <v>13.798823422433367</v>
      </c>
      <c r="AW113" s="21">
        <f>EXP(-LN(2)/2)*AW112+(1-EXP(-LN(2)/2))/(LN(2)/2)*AQ113*AT113*VLOOKUP('Données projet'!$B$10,Paramètres!$A$1:$I$89,3,0)*0.475*44/12</f>
        <v>5.7596200735896706E-7</v>
      </c>
      <c r="AX113" s="21">
        <f t="shared" si="60"/>
        <v>74.896483807670592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415.24818074059294</v>
      </c>
      <c r="BJ113" s="59">
        <f t="shared" si="92"/>
        <v>404.45811532046872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27.84711800947106</v>
      </c>
      <c r="BQ113" s="21">
        <f>EXP(-LN(2)/25)*BQ112+(1-EXP(-LN(2)/25))/(LN(2)/25)*Calculateur!BL113*Calculateur!BN113*VLOOKUP('Données projet'!$B$11,Paramètres!$A$1:$I$89,3,0)*0.475*44/12</f>
        <v>21.678768326045571</v>
      </c>
      <c r="BR113" s="21">
        <f>EXP(-LN(2)/2)*BR112+(1-EXP(-LN(2)/2))/(LN(2)/2)*BL113*BO113*VLOOKUP('Données projet'!$B$11,Paramètres!$A$1:$I$89,3,0)*0.475*44/12</f>
        <v>2.278466673289859E-3</v>
      </c>
      <c r="BS113" s="22">
        <f t="shared" si="63"/>
        <v>49.52816480218992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384.34044781465661</v>
      </c>
      <c r="CE113" s="59">
        <f t="shared" si="94"/>
        <v>374.99493809709708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31.509815574574997</v>
      </c>
      <c r="CL113" s="21">
        <f>EXP(-LN(2)/25)*CL112+(1-EXP(-LN(2)/25))/(LN(2)/25)*Calculateur!CG113*Calculateur!CI113*VLOOKUP('Données projet'!$B$12,Paramètres!$A$1:$I$89,3,0)*0.475*44/12</f>
        <v>24.53015035901764</v>
      </c>
      <c r="CM113" s="21">
        <f>EXP(-LN(2)/2)*CM112+(1-EXP(-LN(2)/2))/(LN(2)/2)*CG113*CJ113*VLOOKUP('Données projet'!$B$12,Paramètres!$A$1:$I$89,3,0)*0.475*44/12</f>
        <v>2.0917071099054449E-3</v>
      </c>
      <c r="CN113" s="22">
        <f t="shared" si="66"/>
        <v>56.042057640702545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5.6843418860808015E-13</v>
      </c>
      <c r="CU113" s="17">
        <f>CT113*VLOOKUP('Données projet'!$B$13,Paramètres!$A$1:$I$89,3,0)*VLOOKUP('Données projet'!$B$13,Paramètres!$A$1:$I$89,5,0)</f>
        <v>3.177547114319168E-13</v>
      </c>
      <c r="CV113" s="13">
        <f t="shared" si="95"/>
        <v>4.1725404435445377E-12</v>
      </c>
      <c r="CW113" s="20">
        <f t="shared" si="67"/>
        <v>7.820597394917325E-12</v>
      </c>
      <c r="CX113" s="59">
        <f t="shared" si="68"/>
        <v>293.33333333334116</v>
      </c>
      <c r="CY113" s="59">
        <f ca="1">AVERAGE(OFFSET($CX$3,0,0,'Données projet'!$E$13+1,1))-AVERAGE(OFFSET($H$3,0,0,'Données projet'!$E$13+1,1))</f>
        <v>386.66324266750968</v>
      </c>
      <c r="CZ113" s="59">
        <f t="shared" si="96"/>
        <v>356.22149461585769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104.49728707709775</v>
      </c>
      <c r="DG113" s="21">
        <f>EXP(-LN(2)/25)*DG112+(1-EXP(-LN(2)/25))/(LN(2)/25)*Calculateur!DB113*Calculateur!DD113*VLOOKUP('Données projet'!$B$13,Paramètres!$A$1:$I$89,3,0)*0.475*44/12</f>
        <v>25.320481060030737</v>
      </c>
      <c r="DH113" s="21">
        <f>EXP(-LN(2)/2)*DH112+(1-EXP(-LN(2)/2))/(LN(2)/2)*DB113*DE113*VLOOKUP('Données projet'!$B$13,Paramètres!$A$1:$I$89,3,0)*0.475*44/12</f>
        <v>7.2007679293460759E-5</v>
      </c>
      <c r="DI113" s="22">
        <f t="shared" si="69"/>
        <v>129.8178401448078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>
        <f>DO113*VLOOKUP('Données projet'!$B$14,Paramètres!$A$1:$I$89,3,0)*VLOOKUP('Données projet'!$B$14,Paramètres!$A$1:$I$89,5,0)</f>
        <v>0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347.17417070871716</v>
      </c>
      <c r="DU113" s="59">
        <f t="shared" si="98"/>
        <v>339.56378046986441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22.825506565140223</v>
      </c>
      <c r="EB113" s="21">
        <f>EXP(-LN(2)/25)*EB112+(1-EXP(-LN(2)/25))/(LN(2)/25)*Calculateur!DW113*Calculateur!DY113*VLOOKUP('Données projet'!$B$14,Paramètres!$A$1:$I$89,3,0)*0.475*44/12</f>
        <v>17.769482234463577</v>
      </c>
      <c r="EC113" s="21">
        <f>EXP(-LN(2)/2)*EC112+(1-EXP(-LN(2)/2))/(LN(2)/2)*DW113*DZ113*VLOOKUP('Données projet'!$B$14,Paramètres!$A$1:$I$89,3,0)*0.475*44/12</f>
        <v>1.8675956338441504E-3</v>
      </c>
      <c r="ED113" s="22">
        <f t="shared" si="72"/>
        <v>40.596856395237644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>
        <f>EJ113*VLOOKUP('Données projet'!$B$15,Paramètres!$A$1:$I$89,3,0)*VLOOKUP('Données projet'!$B$15,Paramètres!$A$1:$I$89,5,0)</f>
        <v>0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384.34044781465661</v>
      </c>
      <c r="EP113" s="59">
        <f t="shared" si="100"/>
        <v>374.99493809709708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25.564567352957059</v>
      </c>
      <c r="EW113" s="21">
        <f>EXP(-LN(2)/25)*EW112+(1-EXP(-LN(2)/25))/(LN(2)/25)*Calculateur!ER113*Calculateur!ET113*VLOOKUP('Données projet'!$B$15,Paramètres!$A$1:$I$89,3,0)*0.475*44/12</f>
        <v>19.901820102599221</v>
      </c>
      <c r="EX113" s="21">
        <f>EXP(-LN(2)/2)*EX112+(1-EXP(-LN(2)/2))/(LN(2)/2)*ER113*EU113*VLOOKUP('Données projet'!$B$15,Paramètres!$A$1:$I$89,3,0)*0.475*44/12</f>
        <v>2.0917071099054449E-3</v>
      </c>
      <c r="EY113" s="22">
        <f t="shared" si="75"/>
        <v>45.468479162666185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>
        <f>FE113*VLOOKUP('Données projet'!$B$16,Paramètres!$A$1:$I$89,3,0)*VLOOKUP('Données projet'!$B$16,Paramètres!$A$1:$I$89,5,0)</f>
        <v>0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359.57284550600366</v>
      </c>
      <c r="FK113" s="59">
        <f t="shared" si="102"/>
        <v>351.38386928091433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23.73852682774584</v>
      </c>
      <c r="FR113" s="21">
        <f>EXP(-LN(2)/25)*FR112+(1-EXP(-LN(2)/25))/(LN(2)/25)*Calculateur!FM113*Calculateur!FO113*VLOOKUP('Données projet'!$B$16,Paramètres!$A$1:$I$89,3,0)*0.475*44/12</f>
        <v>18.480261523842117</v>
      </c>
      <c r="FS113" s="21">
        <f>EXP(-LN(2)/2)*FS112+(1-EXP(-LN(2)/2))/(LN(2)/2)*FM113*FP113*VLOOKUP('Données projet'!$B$16,Paramètres!$A$1:$I$89,3,0)*0.475*44/12</f>
        <v>1.9422994591979169E-3</v>
      </c>
      <c r="FT113" s="22">
        <f t="shared" si="78"/>
        <v>42.220730651047155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6">
        <f t="shared" si="56"/>
        <v>256.66666666666669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10.725999999999999</v>
      </c>
      <c r="N114" s="13">
        <f>IF('Données projet'!$A$36&gt;35,N113+M114-V113,IF(A114&lt;'Données projet'!$A$36,$K$205^A114,IF(A114='Données projet'!$A$36,'Données projet'!$B$36,N113+M114-V113)))</f>
        <v>468.46600000000012</v>
      </c>
      <c r="O114" s="13">
        <f>N114*VLOOKUP('Données projet'!$B$9,Paramètres!$A$1:$I$89,3,0)*VLOOKUP('Données projet'!$B$9,Paramètres!$A$1:$I$89,5,0)</f>
        <v>423.86803680000014</v>
      </c>
      <c r="P114" s="13">
        <f t="shared" si="87"/>
        <v>96.59910072492606</v>
      </c>
      <c r="Q114" s="20">
        <f t="shared" si="107"/>
        <v>906.48026452257966</v>
      </c>
      <c r="R114" s="59">
        <f t="shared" si="55"/>
        <v>1199.813597855913</v>
      </c>
      <c r="S114" s="59">
        <f ca="1">AVERAGE(OFFSET($R$3,0,0,'Données projet'!$E$9+1,1))-AVERAGE(OFFSET($H$3,0,0,'Données projet'!$E$9+1,1))</f>
        <v>695.0879239758051</v>
      </c>
      <c r="T114" s="59">
        <f t="shared" si="88"/>
        <v>226.22150997227476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56.91843701242999</v>
      </c>
      <c r="AA114" s="21">
        <f>EXP(-LN(2)/25)*AA113+(1-EXP(-LN(2)/25))/(LN(2)/25)*Calculateur!V114*Calculateur!X114*VLOOKUP('Données projet'!$B$9,Paramètres!$A$1:$I$89,3,0)*0.475*44/12</f>
        <v>31.88002701846797</v>
      </c>
      <c r="AB114" s="21">
        <f>EXP(-LN(2)/2)*AB113+(1-EXP(-LN(2)/2))/(LN(2)/2)*V114*Y114*VLOOKUP('Données projet'!$B$9,Paramètres!$A$1:$I$89,3,0)*0.475*44/12</f>
        <v>4.2732280465510013E-3</v>
      </c>
      <c r="AC114" s="22">
        <f t="shared" si="57"/>
        <v>88.802737258944518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1.1368683772161603E-13</v>
      </c>
      <c r="AJ114" s="13">
        <f>AI114*VLOOKUP('Données projet'!$B$10,Paramètres!$A$1:$I$89,3,0)*VLOOKUP('Données projet'!$B$10,Paramètres!$A$1:$I$89,5,0)</f>
        <v>6.7984728957526396E-14</v>
      </c>
      <c r="AK114" s="13">
        <f t="shared" si="89"/>
        <v>1.0682447123141398E-12</v>
      </c>
      <c r="AL114" s="20">
        <f t="shared" si="58"/>
        <v>1.978932943548152E-12</v>
      </c>
      <c r="AM114" s="59">
        <f t="shared" si="59"/>
        <v>293.3333333333353</v>
      </c>
      <c r="AN114" s="59">
        <f ca="1">AVERAGE(OFFSET($AM$3,0,0,'Données projet'!$E$10+1,1))-AVERAGE(OFFSET($H$3,0,0,'Données projet'!$E$10+1,1))</f>
        <v>388.12151914648013</v>
      </c>
      <c r="AO114" s="59">
        <f t="shared" si="90"/>
        <v>481.43684454382793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59.899571966308116</v>
      </c>
      <c r="AV114" s="21">
        <f>EXP(-LN(2)/25)*AV113+(1-EXP(-LN(2)/25))/(LN(2)/25)*Calculateur!AQ114*Calculateur!AS114*VLOOKUP('Données projet'!$B$10,Paramètres!$A$1:$I$89,3,0)*0.475*44/12</f>
        <v>13.42149387029834</v>
      </c>
      <c r="AW114" s="21">
        <f>EXP(-LN(2)/2)*AW113+(1-EXP(-LN(2)/2))/(LN(2)/2)*AQ114*AT114*VLOOKUP('Données projet'!$B$10,Paramètres!$A$1:$I$89,3,0)*0.475*44/12</f>
        <v>4.072666411093418E-7</v>
      </c>
      <c r="AX114" s="21">
        <f t="shared" si="60"/>
        <v>73.321066243873091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415.24818074059294</v>
      </c>
      <c r="BJ114" s="59">
        <f t="shared" si="92"/>
        <v>404.45811532046872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27.301053010370183</v>
      </c>
      <c r="BQ114" s="21">
        <f>EXP(-LN(2)/25)*BQ113+(1-EXP(-LN(2)/25))/(LN(2)/25)*Calculateur!BL114*Calculateur!BN114*VLOOKUP('Données projet'!$B$11,Paramètres!$A$1:$I$89,3,0)*0.475*44/12</f>
        <v>21.085961266132976</v>
      </c>
      <c r="BR114" s="21">
        <f>EXP(-LN(2)/2)*BR113+(1-EXP(-LN(2)/2))/(LN(2)/2)*BL114*BO114*VLOOKUP('Données projet'!$B$11,Paramètres!$A$1:$I$89,3,0)*0.475*44/12</f>
        <v>1.6111192353908132E-3</v>
      </c>
      <c r="BS114" s="22">
        <f t="shared" si="63"/>
        <v>48.388625395738551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384.34044781465661</v>
      </c>
      <c r="CE114" s="59">
        <f t="shared" si="94"/>
        <v>374.99493809709708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30.891927310247354</v>
      </c>
      <c r="CL114" s="21">
        <f>EXP(-LN(2)/25)*CL113+(1-EXP(-LN(2)/25))/(LN(2)/25)*Calculateur!CG114*Calculateur!CI114*VLOOKUP('Données projet'!$B$12,Paramètres!$A$1:$I$89,3,0)*0.475*44/12</f>
        <v>23.859372107465759</v>
      </c>
      <c r="CM114" s="21">
        <f>EXP(-LN(2)/2)*CM113+(1-EXP(-LN(2)/2))/(LN(2)/2)*CG114*CJ114*VLOOKUP('Données projet'!$B$12,Paramètres!$A$1:$I$89,3,0)*0.475*44/12</f>
        <v>1.4790602816702552E-3</v>
      </c>
      <c r="CN114" s="22">
        <f t="shared" si="66"/>
        <v>54.752778477994781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5.6843418860808015E-13</v>
      </c>
      <c r="CU114" s="17">
        <f>CT114*VLOOKUP('Données projet'!$B$13,Paramètres!$A$1:$I$89,3,0)*VLOOKUP('Données projet'!$B$13,Paramètres!$A$1:$I$89,5,0)</f>
        <v>3.177547114319168E-13</v>
      </c>
      <c r="CV114" s="13">
        <f t="shared" si="95"/>
        <v>4.1725404435445377E-12</v>
      </c>
      <c r="CW114" s="20">
        <f t="shared" si="67"/>
        <v>7.820597394917325E-12</v>
      </c>
      <c r="CX114" s="59">
        <f t="shared" si="68"/>
        <v>293.33333333334116</v>
      </c>
      <c r="CY114" s="59">
        <f ca="1">AVERAGE(OFFSET($CX$3,0,0,'Données projet'!$E$13+1,1))-AVERAGE(OFFSET($H$3,0,0,'Données projet'!$E$13+1,1))</f>
        <v>386.66324266750968</v>
      </c>
      <c r="CZ114" s="59">
        <f t="shared" si="96"/>
        <v>356.22149461585769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102.44815901456747</v>
      </c>
      <c r="DG114" s="21">
        <f>EXP(-LN(2)/25)*DG113+(1-EXP(-LN(2)/25))/(LN(2)/25)*Calculateur!DB114*Calculateur!DD114*VLOOKUP('Données projet'!$B$13,Paramètres!$A$1:$I$89,3,0)*0.475*44/12</f>
        <v>24.628091173897968</v>
      </c>
      <c r="DH114" s="21">
        <f>EXP(-LN(2)/2)*DH113+(1-EXP(-LN(2)/2))/(LN(2)/2)*DB114*DE114*VLOOKUP('Données projet'!$B$13,Paramètres!$A$1:$I$89,3,0)*0.475*44/12</f>
        <v>5.0917118325912247E-5</v>
      </c>
      <c r="DI114" s="22">
        <f t="shared" si="69"/>
        <v>127.07630110558377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>
        <f>DO114*VLOOKUP('Données projet'!$B$14,Paramètres!$A$1:$I$89,3,0)*VLOOKUP('Données projet'!$B$14,Paramètres!$A$1:$I$89,5,0)</f>
        <v>0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347.17417070871716</v>
      </c>
      <c r="DU114" s="59">
        <f t="shared" si="98"/>
        <v>339.56378046986441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22.377912303582125</v>
      </c>
      <c r="EB114" s="21">
        <f>EXP(-LN(2)/25)*EB113+(1-EXP(-LN(2)/25))/(LN(2)/25)*Calculateur!DW114*Calculateur!DY114*VLOOKUP('Données projet'!$B$14,Paramètres!$A$1:$I$89,3,0)*0.475*44/12</f>
        <v>17.283574808305712</v>
      </c>
      <c r="EC114" s="21">
        <f>EXP(-LN(2)/2)*EC113+(1-EXP(-LN(2)/2))/(LN(2)/2)*DW114*DZ114*VLOOKUP('Données projet'!$B$14,Paramètres!$A$1:$I$89,3,0)*0.475*44/12</f>
        <v>1.3205895372055874E-3</v>
      </c>
      <c r="ED114" s="22">
        <f t="shared" si="72"/>
        <v>39.662807701425045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>
        <f>EJ114*VLOOKUP('Données projet'!$B$15,Paramètres!$A$1:$I$89,3,0)*VLOOKUP('Données projet'!$B$15,Paramètres!$A$1:$I$89,5,0)</f>
        <v>0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384.34044781465661</v>
      </c>
      <c r="EP114" s="59">
        <f t="shared" si="100"/>
        <v>374.99493809709708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25.063261780011992</v>
      </c>
      <c r="EW114" s="21">
        <f>EXP(-LN(2)/25)*EW113+(1-EXP(-LN(2)/25))/(LN(2)/25)*Calculateur!ER114*Calculateur!ET114*VLOOKUP('Données projet'!$B$15,Paramètres!$A$1:$I$89,3,0)*0.475*44/12</f>
        <v>19.357603785302413</v>
      </c>
      <c r="EX114" s="21">
        <f>EXP(-LN(2)/2)*EX113+(1-EXP(-LN(2)/2))/(LN(2)/2)*ER114*EU114*VLOOKUP('Données projet'!$B$15,Paramètres!$A$1:$I$89,3,0)*0.475*44/12</f>
        <v>1.4790602816702552E-3</v>
      </c>
      <c r="EY114" s="22">
        <f t="shared" si="75"/>
        <v>44.422344625596068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>
        <f>FE114*VLOOKUP('Données projet'!$B$16,Paramètres!$A$1:$I$89,3,0)*VLOOKUP('Données projet'!$B$16,Paramètres!$A$1:$I$89,5,0)</f>
        <v>0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359.57284550600366</v>
      </c>
      <c r="FK114" s="59">
        <f t="shared" si="102"/>
        <v>351.38386928091433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23.27302879572542</v>
      </c>
      <c r="FR114" s="21">
        <f>EXP(-LN(2)/25)*FR113+(1-EXP(-LN(2)/25))/(LN(2)/25)*Calculateur!FM114*Calculateur!FO114*VLOOKUP('Données projet'!$B$16,Paramètres!$A$1:$I$89,3,0)*0.475*44/12</f>
        <v>17.97491780063794</v>
      </c>
      <c r="FS114" s="21">
        <f>EXP(-LN(2)/2)*FS113+(1-EXP(-LN(2)/2))/(LN(2)/2)*FM114*FP114*VLOOKUP('Données projet'!$B$16,Paramètres!$A$1:$I$89,3,0)*0.475*44/12</f>
        <v>1.3734131186938111E-3</v>
      </c>
      <c r="FT114" s="22">
        <f t="shared" si="78"/>
        <v>41.249320009482055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6">
        <f t="shared" si="56"/>
        <v>256.66666666666669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10.725999999999999</v>
      </c>
      <c r="N115" s="13">
        <f>IF('Données projet'!$A$36&gt;35,N114+M115-V114,IF(A115&lt;'Données projet'!$A$36,$K$205^A115,IF(A115='Données projet'!$A$36,'Données projet'!$B$36,N114+M115-V114)))</f>
        <v>479.19200000000012</v>
      </c>
      <c r="O115" s="13">
        <f>N115*VLOOKUP('Données projet'!$B$9,Paramètres!$A$1:$I$89,3,0)*VLOOKUP('Données projet'!$B$9,Paramètres!$A$1:$I$89,5,0)</f>
        <v>433.57292160000009</v>
      </c>
      <c r="P115" s="13">
        <f t="shared" si="87"/>
        <v>98.550806203987747</v>
      </c>
      <c r="Q115" s="20">
        <f t="shared" si="107"/>
        <v>926.78215925861196</v>
      </c>
      <c r="R115" s="59">
        <f t="shared" si="55"/>
        <v>1220.1154925919452</v>
      </c>
      <c r="S115" s="59">
        <f ca="1">AVERAGE(OFFSET($R$3,0,0,'Données projet'!$E$9+1,1))-AVERAGE(OFFSET($H$3,0,0,'Données projet'!$E$9+1,1))</f>
        <v>695.0879239758051</v>
      </c>
      <c r="T115" s="59">
        <f t="shared" si="88"/>
        <v>226.22150997227476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55.802301179434814</v>
      </c>
      <c r="AA115" s="21">
        <f>EXP(-LN(2)/25)*AA114+(1-EXP(-LN(2)/25))/(LN(2)/25)*Calculateur!V115*Calculateur!X115*VLOOKUP('Données projet'!$B$9,Paramètres!$A$1:$I$89,3,0)*0.475*44/12</f>
        <v>31.008266003150204</v>
      </c>
      <c r="AB115" s="21">
        <f>EXP(-LN(2)/2)*AB114+(1-EXP(-LN(2)/2))/(LN(2)/2)*V115*Y115*VLOOKUP('Données projet'!$B$9,Paramètres!$A$1:$I$89,3,0)*0.475*44/12</f>
        <v>3.0216285292727569E-3</v>
      </c>
      <c r="AC115" s="22">
        <f t="shared" si="57"/>
        <v>86.813588811114286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1.1368683772161603E-13</v>
      </c>
      <c r="AJ115" s="13">
        <f>AI115*VLOOKUP('Données projet'!$B$10,Paramètres!$A$1:$I$89,3,0)*VLOOKUP('Données projet'!$B$10,Paramètres!$A$1:$I$89,5,0)</f>
        <v>6.7984728957526396E-14</v>
      </c>
      <c r="AK115" s="13">
        <f t="shared" si="89"/>
        <v>1.0682447123141398E-12</v>
      </c>
      <c r="AL115" s="20">
        <f t="shared" si="58"/>
        <v>1.978932943548152E-12</v>
      </c>
      <c r="AM115" s="59">
        <f t="shared" si="59"/>
        <v>293.3333333333353</v>
      </c>
      <c r="AN115" s="59">
        <f ca="1">AVERAGE(OFFSET($AM$3,0,0,'Données projet'!$E$10+1,1))-AVERAGE(OFFSET($H$3,0,0,'Données projet'!$E$10+1,1))</f>
        <v>388.12151914648013</v>
      </c>
      <c r="AO115" s="59">
        <f t="shared" si="90"/>
        <v>481.43684454382793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58.724977895180167</v>
      </c>
      <c r="AV115" s="21">
        <f>EXP(-LN(2)/25)*AV114+(1-EXP(-LN(2)/25))/(LN(2)/25)*Calculateur!AQ115*Calculateur!AS115*VLOOKUP('Données projet'!$B$10,Paramètres!$A$1:$I$89,3,0)*0.475*44/12</f>
        <v>13.054482414609344</v>
      </c>
      <c r="AW115" s="21">
        <f>EXP(-LN(2)/2)*AW114+(1-EXP(-LN(2)/2))/(LN(2)/2)*AQ115*AT115*VLOOKUP('Données projet'!$B$10,Paramètres!$A$1:$I$89,3,0)*0.475*44/12</f>
        <v>2.8798100367948353E-7</v>
      </c>
      <c r="AX115" s="21">
        <f t="shared" si="60"/>
        <v>71.779460597770523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415.24818074059294</v>
      </c>
      <c r="BJ115" s="59">
        <f t="shared" si="92"/>
        <v>404.45811532046872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26.765696012834912</v>
      </c>
      <c r="BQ115" s="21">
        <f>EXP(-LN(2)/25)*BQ114+(1-EXP(-LN(2)/25))/(LN(2)/25)*Calculateur!BL115*Calculateur!BN115*VLOOKUP('Données projet'!$B$11,Paramètres!$A$1:$I$89,3,0)*0.475*44/12</f>
        <v>20.509364546448058</v>
      </c>
      <c r="BR115" s="21">
        <f>EXP(-LN(2)/2)*BR114+(1-EXP(-LN(2)/2))/(LN(2)/2)*BL115*BO115*VLOOKUP('Données projet'!$B$11,Paramètres!$A$1:$I$89,3,0)*0.475*44/12</f>
        <v>1.1392333366449295E-3</v>
      </c>
      <c r="BS115" s="22">
        <f t="shared" si="63"/>
        <v>47.276199792619614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384.34044781465661</v>
      </c>
      <c r="CE115" s="59">
        <f t="shared" si="94"/>
        <v>374.99493809709708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30.286155457908549</v>
      </c>
      <c r="CL115" s="21">
        <f>EXP(-LN(2)/25)*CL114+(1-EXP(-LN(2)/25))/(LN(2)/25)*Calculateur!CG115*Calculateur!CI115*VLOOKUP('Données projet'!$B$12,Paramètres!$A$1:$I$89,3,0)*0.475*44/12</f>
        <v>23.206936322477262</v>
      </c>
      <c r="CM115" s="21">
        <f>EXP(-LN(2)/2)*CM114+(1-EXP(-LN(2)/2))/(LN(2)/2)*CG115*CJ115*VLOOKUP('Données projet'!$B$12,Paramètres!$A$1:$I$89,3,0)*0.475*44/12</f>
        <v>1.0458535549527225E-3</v>
      </c>
      <c r="CN115" s="22">
        <f t="shared" si="66"/>
        <v>53.494137633940767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5.6843418860808015E-13</v>
      </c>
      <c r="CU115" s="17">
        <f>CT115*VLOOKUP('Données projet'!$B$13,Paramètres!$A$1:$I$89,3,0)*VLOOKUP('Données projet'!$B$13,Paramètres!$A$1:$I$89,5,0)</f>
        <v>3.177547114319168E-13</v>
      </c>
      <c r="CV115" s="13">
        <f t="shared" si="95"/>
        <v>4.1725404435445377E-12</v>
      </c>
      <c r="CW115" s="20">
        <f t="shared" si="67"/>
        <v>7.820597394917325E-12</v>
      </c>
      <c r="CX115" s="59">
        <f t="shared" si="68"/>
        <v>293.33333333334116</v>
      </c>
      <c r="CY115" s="59">
        <f ca="1">AVERAGE(OFFSET($CX$3,0,0,'Données projet'!$E$13+1,1))-AVERAGE(OFFSET($H$3,0,0,'Données projet'!$E$13+1,1))</f>
        <v>386.66324266750968</v>
      </c>
      <c r="CZ115" s="59">
        <f t="shared" si="96"/>
        <v>356.22149461585769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100.4392131034987</v>
      </c>
      <c r="DG115" s="21">
        <f>EXP(-LN(2)/25)*DG114+(1-EXP(-LN(2)/25))/(LN(2)/25)*Calculateur!DB115*Calculateur!DD115*VLOOKUP('Données projet'!$B$13,Paramètres!$A$1:$I$89,3,0)*0.475*44/12</f>
        <v>23.954634725612703</v>
      </c>
      <c r="DH115" s="21">
        <f>EXP(-LN(2)/2)*DH114+(1-EXP(-LN(2)/2))/(LN(2)/2)*DB115*DE115*VLOOKUP('Données projet'!$B$13,Paramètres!$A$1:$I$89,3,0)*0.475*44/12</f>
        <v>3.600383964673038E-5</v>
      </c>
      <c r="DI115" s="22">
        <f t="shared" si="69"/>
        <v>124.39388383295106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>
        <f>DO115*VLOOKUP('Données projet'!$B$14,Paramètres!$A$1:$I$89,3,0)*VLOOKUP('Données projet'!$B$14,Paramètres!$A$1:$I$89,5,0)</f>
        <v>0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347.17417070871716</v>
      </c>
      <c r="DU115" s="59">
        <f t="shared" si="98"/>
        <v>339.56378046986441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21.939095092487641</v>
      </c>
      <c r="EB115" s="21">
        <f>EXP(-LN(2)/25)*EB114+(1-EXP(-LN(2)/25))/(LN(2)/25)*Calculateur!DW115*Calculateur!DY115*VLOOKUP('Données projet'!$B$14,Paramètres!$A$1:$I$89,3,0)*0.475*44/12</f>
        <v>16.810954546268896</v>
      </c>
      <c r="EC115" s="21">
        <f>EXP(-LN(2)/2)*EC114+(1-EXP(-LN(2)/2))/(LN(2)/2)*DW115*DZ115*VLOOKUP('Données projet'!$B$14,Paramètres!$A$1:$I$89,3,0)*0.475*44/12</f>
        <v>9.3379781692207533E-4</v>
      </c>
      <c r="ED115" s="22">
        <f t="shared" si="72"/>
        <v>38.750983436573456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>
        <f>EJ115*VLOOKUP('Données projet'!$B$15,Paramètres!$A$1:$I$89,3,0)*VLOOKUP('Données projet'!$B$15,Paramètres!$A$1:$I$89,5,0)</f>
        <v>0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384.34044781465661</v>
      </c>
      <c r="EP115" s="59">
        <f t="shared" si="100"/>
        <v>374.99493809709708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24.571786503586168</v>
      </c>
      <c r="EW115" s="21">
        <f>EXP(-LN(2)/25)*EW114+(1-EXP(-LN(2)/25))/(LN(2)/25)*Calculateur!ER115*Calculateur!ET115*VLOOKUP('Données projet'!$B$15,Paramètres!$A$1:$I$89,3,0)*0.475*44/12</f>
        <v>18.828269091821177</v>
      </c>
      <c r="EX115" s="21">
        <f>EXP(-LN(2)/2)*EX114+(1-EXP(-LN(2)/2))/(LN(2)/2)*ER115*EU115*VLOOKUP('Données projet'!$B$15,Paramètres!$A$1:$I$89,3,0)*0.475*44/12</f>
        <v>1.0458535549527225E-3</v>
      </c>
      <c r="EY115" s="22">
        <f t="shared" si="75"/>
        <v>43.401101448962301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>
        <f>FE115*VLOOKUP('Données projet'!$B$16,Paramètres!$A$1:$I$89,3,0)*VLOOKUP('Données projet'!$B$16,Paramètres!$A$1:$I$89,5,0)</f>
        <v>0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359.57284550600366</v>
      </c>
      <c r="FK115" s="59">
        <f t="shared" si="102"/>
        <v>351.38386928091433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22.816658896187157</v>
      </c>
      <c r="FR115" s="21">
        <f>EXP(-LN(2)/25)*FR114+(1-EXP(-LN(2)/25))/(LN(2)/25)*Calculateur!FM115*Calculateur!FO115*VLOOKUP('Données projet'!$B$16,Paramètres!$A$1:$I$89,3,0)*0.475*44/12</f>
        <v>17.48339272811965</v>
      </c>
      <c r="FS115" s="21">
        <f>EXP(-LN(2)/2)*FS114+(1-EXP(-LN(2)/2))/(LN(2)/2)*FM115*FP115*VLOOKUP('Données projet'!$B$16,Paramètres!$A$1:$I$89,3,0)*0.475*44/12</f>
        <v>9.7114972959895854E-4</v>
      </c>
      <c r="FT115" s="22">
        <f t="shared" si="78"/>
        <v>40.301022774036404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6">
        <f t="shared" si="56"/>
        <v>256.66666666666669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10.725999999999999</v>
      </c>
      <c r="N116" s="13">
        <f>IF('Données projet'!$A$36&gt;35,N115+M116-V115,IF(A116&lt;'Données projet'!$A$36,$K$205^A116,IF(A116='Données projet'!$A$36,'Données projet'!$B$36,N115+M116-V115)))</f>
        <v>489.91800000000012</v>
      </c>
      <c r="O116" s="13">
        <f>N116*VLOOKUP('Données projet'!$B$9,Paramètres!$A$1:$I$89,3,0)*VLOOKUP('Données projet'!$B$9,Paramètres!$A$1:$I$89,5,0)</f>
        <v>443.27780640000015</v>
      </c>
      <c r="P116" s="13">
        <f t="shared" si="87"/>
        <v>100.49743280031032</v>
      </c>
      <c r="Q116" s="20">
        <f t="shared" si="107"/>
        <v>947.07520827387407</v>
      </c>
      <c r="R116" s="59">
        <f t="shared" si="55"/>
        <v>1240.4085416072073</v>
      </c>
      <c r="S116" s="59">
        <f ca="1">AVERAGE(OFFSET($R$3,0,0,'Données projet'!$E$9+1,1))-AVERAGE(OFFSET($H$3,0,0,'Données projet'!$E$9+1,1))</f>
        <v>695.0879239758051</v>
      </c>
      <c r="T116" s="59">
        <f t="shared" si="88"/>
        <v>226.22150997227476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54.708052089349039</v>
      </c>
      <c r="AA116" s="21">
        <f>EXP(-LN(2)/25)*AA115+(1-EXP(-LN(2)/25))/(LN(2)/25)*Calculateur!V116*Calculateur!X116*VLOOKUP('Données projet'!$B$9,Paramètres!$A$1:$I$89,3,0)*0.475*44/12</f>
        <v>30.160343338640224</v>
      </c>
      <c r="AB116" s="21">
        <f>EXP(-LN(2)/2)*AB115+(1-EXP(-LN(2)/2))/(LN(2)/2)*V116*Y116*VLOOKUP('Données projet'!$B$9,Paramètres!$A$1:$I$89,3,0)*0.475*44/12</f>
        <v>2.1366140232755007E-3</v>
      </c>
      <c r="AC116" s="22">
        <f t="shared" si="57"/>
        <v>84.870532042012542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1.1368683772161603E-13</v>
      </c>
      <c r="AJ116" s="13">
        <f>AI116*VLOOKUP('Données projet'!$B$10,Paramètres!$A$1:$I$89,3,0)*VLOOKUP('Données projet'!$B$10,Paramètres!$A$1:$I$89,5,0)</f>
        <v>6.7984728957526396E-14</v>
      </c>
      <c r="AK116" s="13">
        <f t="shared" si="89"/>
        <v>1.0682447123141398E-12</v>
      </c>
      <c r="AL116" s="20">
        <f t="shared" si="58"/>
        <v>1.978932943548152E-12</v>
      </c>
      <c r="AM116" s="59">
        <f t="shared" si="59"/>
        <v>293.3333333333353</v>
      </c>
      <c r="AN116" s="59">
        <f ca="1">AVERAGE(OFFSET($AM$3,0,0,'Données projet'!$E$10+1,1))-AVERAGE(OFFSET($H$3,0,0,'Données projet'!$E$10+1,1))</f>
        <v>388.12151914648013</v>
      </c>
      <c r="AO116" s="59">
        <f t="shared" si="90"/>
        <v>481.43684454382793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57.573416897355401</v>
      </c>
      <c r="AV116" s="21">
        <f>EXP(-LN(2)/25)*AV115+(1-EXP(-LN(2)/25))/(LN(2)/25)*Calculateur!AQ116*Calculateur!AS116*VLOOKUP('Données projet'!$B$10,Paramètres!$A$1:$I$89,3,0)*0.475*44/12</f>
        <v>12.697506906476457</v>
      </c>
      <c r="AW116" s="21">
        <f>EXP(-LN(2)/2)*AW115+(1-EXP(-LN(2)/2))/(LN(2)/2)*AQ116*AT116*VLOOKUP('Données projet'!$B$10,Paramètres!$A$1:$I$89,3,0)*0.475*44/12</f>
        <v>2.036333205546709E-7</v>
      </c>
      <c r="AX116" s="21">
        <f t="shared" si="60"/>
        <v>70.270924007465183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415.24818074059294</v>
      </c>
      <c r="BJ116" s="59">
        <f t="shared" si="92"/>
        <v>404.45811532046872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26.240837039485783</v>
      </c>
      <c r="BQ116" s="21">
        <f>EXP(-LN(2)/25)*BQ115+(1-EXP(-LN(2)/25))/(LN(2)/25)*Calculateur!BL116*Calculateur!BN116*VLOOKUP('Données projet'!$B$11,Paramètres!$A$1:$I$89,3,0)*0.475*44/12</f>
        <v>19.948534894384828</v>
      </c>
      <c r="BR116" s="21">
        <f>EXP(-LN(2)/2)*BR115+(1-EXP(-LN(2)/2))/(LN(2)/2)*BL116*BO116*VLOOKUP('Données projet'!$B$11,Paramètres!$A$1:$I$89,3,0)*0.475*44/12</f>
        <v>8.0555961769540661E-4</v>
      </c>
      <c r="BS116" s="22">
        <f t="shared" si="63"/>
        <v>46.190177493488306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384.34044781465661</v>
      </c>
      <c r="CE116" s="59">
        <f t="shared" si="94"/>
        <v>374.99493809709708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29.69226242210976</v>
      </c>
      <c r="CL116" s="21">
        <f>EXP(-LN(2)/25)*CL115+(1-EXP(-LN(2)/25))/(LN(2)/25)*Calculateur!CG116*Calculateur!CI116*VLOOKUP('Données projet'!$B$12,Paramètres!$A$1:$I$89,3,0)*0.475*44/12</f>
        <v>22.572341428339382</v>
      </c>
      <c r="CM116" s="21">
        <f>EXP(-LN(2)/2)*CM115+(1-EXP(-LN(2)/2))/(LN(2)/2)*CG116*CJ116*VLOOKUP('Données projet'!$B$12,Paramètres!$A$1:$I$89,3,0)*0.475*44/12</f>
        <v>7.3953014083512759E-4</v>
      </c>
      <c r="CN116" s="22">
        <f t="shared" si="66"/>
        <v>52.265343380589975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5.6843418860808015E-13</v>
      </c>
      <c r="CU116" s="17">
        <f>CT116*VLOOKUP('Données projet'!$B$13,Paramètres!$A$1:$I$89,3,0)*VLOOKUP('Données projet'!$B$13,Paramètres!$A$1:$I$89,5,0)</f>
        <v>3.177547114319168E-13</v>
      </c>
      <c r="CV116" s="13">
        <f t="shared" si="95"/>
        <v>4.1725404435445377E-12</v>
      </c>
      <c r="CW116" s="20">
        <f t="shared" si="67"/>
        <v>7.820597394917325E-12</v>
      </c>
      <c r="CX116" s="59">
        <f t="shared" si="68"/>
        <v>293.33333333334116</v>
      </c>
      <c r="CY116" s="59">
        <f ca="1">AVERAGE(OFFSET($CX$3,0,0,'Données projet'!$E$13+1,1))-AVERAGE(OFFSET($H$3,0,0,'Données projet'!$E$13+1,1))</f>
        <v>386.66324266750968</v>
      </c>
      <c r="CZ116" s="59">
        <f t="shared" si="96"/>
        <v>356.22149461585769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98.469661396409975</v>
      </c>
      <c r="DG116" s="21">
        <f>EXP(-LN(2)/25)*DG115+(1-EXP(-LN(2)/25))/(LN(2)/25)*Calculateur!DB116*Calculateur!DD116*VLOOKUP('Données projet'!$B$13,Paramètres!$A$1:$I$89,3,0)*0.475*44/12</f>
        <v>23.299593979321333</v>
      </c>
      <c r="DH116" s="21">
        <f>EXP(-LN(2)/2)*DH115+(1-EXP(-LN(2)/2))/(LN(2)/2)*DB116*DE116*VLOOKUP('Données projet'!$B$13,Paramètres!$A$1:$I$89,3,0)*0.475*44/12</f>
        <v>2.5458559162956124E-5</v>
      </c>
      <c r="DI116" s="22">
        <f t="shared" si="69"/>
        <v>121.76928083429047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>
        <f>DO116*VLOOKUP('Données projet'!$B$14,Paramètres!$A$1:$I$89,3,0)*VLOOKUP('Données projet'!$B$14,Paramètres!$A$1:$I$89,5,0)</f>
        <v>0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347.17417070871716</v>
      </c>
      <c r="DU116" s="59">
        <f t="shared" si="98"/>
        <v>339.56378046986441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21.508882819250648</v>
      </c>
      <c r="EB116" s="21">
        <f>EXP(-LN(2)/25)*EB115+(1-EXP(-LN(2)/25))/(LN(2)/25)*Calculateur!DW116*Calculateur!DY116*VLOOKUP('Données projet'!$B$14,Paramètres!$A$1:$I$89,3,0)*0.475*44/12</f>
        <v>16.351258110151495</v>
      </c>
      <c r="EC116" s="21">
        <f>EXP(-LN(2)/2)*EC115+(1-EXP(-LN(2)/2))/(LN(2)/2)*DW116*DZ116*VLOOKUP('Données projet'!$B$14,Paramètres!$A$1:$I$89,3,0)*0.475*44/12</f>
        <v>6.6029476860279368E-4</v>
      </c>
      <c r="ED116" s="22">
        <f t="shared" si="72"/>
        <v>37.860801224170743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>
        <f>EJ116*VLOOKUP('Données projet'!$B$15,Paramètres!$A$1:$I$89,3,0)*VLOOKUP('Données projet'!$B$15,Paramètres!$A$1:$I$89,5,0)</f>
        <v>0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384.34044781465661</v>
      </c>
      <c r="EP116" s="59">
        <f t="shared" si="100"/>
        <v>374.99493809709708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24.089948757560737</v>
      </c>
      <c r="EW116" s="21">
        <f>EXP(-LN(2)/25)*EW115+(1-EXP(-LN(2)/25))/(LN(2)/25)*Calculateur!ER116*Calculateur!ET116*VLOOKUP('Données projet'!$B$15,Paramètres!$A$1:$I$89,3,0)*0.475*44/12</f>
        <v>18.313409083369688</v>
      </c>
      <c r="EX116" s="21">
        <f>EXP(-LN(2)/2)*EX115+(1-EXP(-LN(2)/2))/(LN(2)/2)*ER116*EU116*VLOOKUP('Données projet'!$B$15,Paramètres!$A$1:$I$89,3,0)*0.475*44/12</f>
        <v>7.3953014083512759E-4</v>
      </c>
      <c r="EY116" s="22">
        <f t="shared" si="75"/>
        <v>42.404097371071259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>
        <f>FE116*VLOOKUP('Données projet'!$B$16,Paramètres!$A$1:$I$89,3,0)*VLOOKUP('Données projet'!$B$16,Paramètres!$A$1:$I$89,5,0)</f>
        <v>0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359.57284550600366</v>
      </c>
      <c r="FK116" s="59">
        <f t="shared" si="102"/>
        <v>351.38386928091433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22.369238132020683</v>
      </c>
      <c r="FR116" s="21">
        <f>EXP(-LN(2)/25)*FR115+(1-EXP(-LN(2)/25))/(LN(2)/25)*Calculateur!FM116*Calculateur!FO116*VLOOKUP('Données projet'!$B$16,Paramètres!$A$1:$I$89,3,0)*0.475*44/12</f>
        <v>17.005308434557552</v>
      </c>
      <c r="FS116" s="21">
        <f>EXP(-LN(2)/2)*FS115+(1-EXP(-LN(2)/2))/(LN(2)/2)*FM116*FP116*VLOOKUP('Données projet'!$B$16,Paramètres!$A$1:$I$89,3,0)*0.475*44/12</f>
        <v>6.8670655934690563E-4</v>
      </c>
      <c r="FT116" s="22">
        <f t="shared" si="78"/>
        <v>39.375233273137582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6">
        <f t="shared" si="56"/>
        <v>256.66666666666669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10.725999999999999</v>
      </c>
      <c r="N117" s="13">
        <f>IF('Données projet'!$A$36&gt;35,N116+M117-V116,IF(A117&lt;'Données projet'!$A$36,$K$205^A117,IF(A117='Données projet'!$A$36,'Données projet'!$B$36,N116+M117-V116)))</f>
        <v>500.64400000000012</v>
      </c>
      <c r="O117" s="13">
        <f>N117*VLOOKUP('Données projet'!$B$9,Paramètres!$A$1:$I$89,3,0)*VLOOKUP('Données projet'!$B$9,Paramètres!$A$1:$I$89,5,0)</f>
        <v>452.98269120000009</v>
      </c>
      <c r="P117" s="13">
        <f t="shared" si="87"/>
        <v>102.43910451319562</v>
      </c>
      <c r="Q117" s="20">
        <f t="shared" si="107"/>
        <v>967.35962753381591</v>
      </c>
      <c r="R117" s="59">
        <f t="shared" si="55"/>
        <v>1260.6929608671492</v>
      </c>
      <c r="S117" s="59">
        <f ca="1">AVERAGE(OFFSET($R$3,0,0,'Données projet'!$E$9+1,1))-AVERAGE(OFFSET($H$3,0,0,'Données projet'!$E$9+1,1))</f>
        <v>695.0879239758051</v>
      </c>
      <c r="T117" s="59">
        <f t="shared" si="88"/>
        <v>226.22150997227476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53.635260556493805</v>
      </c>
      <c r="AA117" s="21">
        <f>EXP(-LN(2)/25)*AA116+(1-EXP(-LN(2)/25))/(LN(2)/25)*Calculateur!V117*Calculateur!X117*VLOOKUP('Données projet'!$B$9,Paramètres!$A$1:$I$89,3,0)*0.475*44/12</f>
        <v>29.335607163981585</v>
      </c>
      <c r="AB117" s="21">
        <f>EXP(-LN(2)/2)*AB116+(1-EXP(-LN(2)/2))/(LN(2)/2)*V117*Y117*VLOOKUP('Données projet'!$B$9,Paramètres!$A$1:$I$89,3,0)*0.475*44/12</f>
        <v>1.5108142646363784E-3</v>
      </c>
      <c r="AC117" s="22">
        <f t="shared" si="57"/>
        <v>82.972378534740017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1.1368683772161603E-13</v>
      </c>
      <c r="AJ117" s="13">
        <f>AI117*VLOOKUP('Données projet'!$B$10,Paramètres!$A$1:$I$89,3,0)*VLOOKUP('Données projet'!$B$10,Paramètres!$A$1:$I$89,5,0)</f>
        <v>6.7984728957526396E-14</v>
      </c>
      <c r="AK117" s="13">
        <f t="shared" si="89"/>
        <v>1.0682447123141398E-12</v>
      </c>
      <c r="AL117" s="20">
        <f t="shared" si="58"/>
        <v>1.978932943548152E-12</v>
      </c>
      <c r="AM117" s="59">
        <f t="shared" si="59"/>
        <v>293.3333333333353</v>
      </c>
      <c r="AN117" s="59">
        <f ca="1">AVERAGE(OFFSET($AM$3,0,0,'Données projet'!$E$10+1,1))-AVERAGE(OFFSET($H$3,0,0,'Données projet'!$E$10+1,1))</f>
        <v>388.12151914648013</v>
      </c>
      <c r="AO117" s="59">
        <f t="shared" si="90"/>
        <v>481.43684454382793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56.444437308315123</v>
      </c>
      <c r="AV117" s="21">
        <f>EXP(-LN(2)/25)*AV116+(1-EXP(-LN(2)/25))/(LN(2)/25)*Calculateur!AQ117*Calculateur!AS117*VLOOKUP('Données projet'!$B$10,Paramètres!$A$1:$I$89,3,0)*0.475*44/12</f>
        <v>12.35029291238599</v>
      </c>
      <c r="AW117" s="21">
        <f>EXP(-LN(2)/2)*AW116+(1-EXP(-LN(2)/2))/(LN(2)/2)*AQ117*AT117*VLOOKUP('Données projet'!$B$10,Paramètres!$A$1:$I$89,3,0)*0.475*44/12</f>
        <v>1.4399050183974177E-7</v>
      </c>
      <c r="AX117" s="21">
        <f t="shared" si="60"/>
        <v>68.794730364691617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415.24818074059294</v>
      </c>
      <c r="BJ117" s="59">
        <f t="shared" si="92"/>
        <v>404.45811532046872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25.726270230471666</v>
      </c>
      <c r="BQ117" s="21">
        <f>EXP(-LN(2)/25)*BQ116+(1-EXP(-LN(2)/25))/(LN(2)/25)*Calculateur!BL117*Calculateur!BN117*VLOOKUP('Données projet'!$B$11,Paramètres!$A$1:$I$89,3,0)*0.475*44/12</f>
        <v>19.403041158650019</v>
      </c>
      <c r="BR117" s="21">
        <f>EXP(-LN(2)/2)*BR116+(1-EXP(-LN(2)/2))/(LN(2)/2)*BL117*BO117*VLOOKUP('Données projet'!$B$11,Paramètres!$A$1:$I$89,3,0)*0.475*44/12</f>
        <v>5.6961666832246476E-4</v>
      </c>
      <c r="BS117" s="22">
        <f t="shared" si="63"/>
        <v>45.129881005790004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384.34044781465661</v>
      </c>
      <c r="CE117" s="59">
        <f t="shared" si="94"/>
        <v>374.99493809709708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29.110015266504004</v>
      </c>
      <c r="CL117" s="21">
        <f>EXP(-LN(2)/25)*CL116+(1-EXP(-LN(2)/25))/(LN(2)/25)*Calculateur!CG117*Calculateur!CI117*VLOOKUP('Données projet'!$B$12,Paramètres!$A$1:$I$89,3,0)*0.475*44/12</f>
        <v>21.955099564953596</v>
      </c>
      <c r="CM117" s="21">
        <f>EXP(-LN(2)/2)*CM116+(1-EXP(-LN(2)/2))/(LN(2)/2)*CG117*CJ117*VLOOKUP('Données projet'!$B$12,Paramètres!$A$1:$I$89,3,0)*0.475*44/12</f>
        <v>5.2292677747636123E-4</v>
      </c>
      <c r="CN117" s="22">
        <f t="shared" si="66"/>
        <v>51.065637758235077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5.6843418860808015E-13</v>
      </c>
      <c r="CU117" s="17">
        <f>CT117*VLOOKUP('Données projet'!$B$13,Paramètres!$A$1:$I$89,3,0)*VLOOKUP('Données projet'!$B$13,Paramètres!$A$1:$I$89,5,0)</f>
        <v>3.177547114319168E-13</v>
      </c>
      <c r="CV117" s="13">
        <f t="shared" si="95"/>
        <v>4.1725404435445377E-12</v>
      </c>
      <c r="CW117" s="20">
        <f t="shared" si="67"/>
        <v>7.820597394917325E-12</v>
      </c>
      <c r="CX117" s="59">
        <f t="shared" si="68"/>
        <v>293.33333333334116</v>
      </c>
      <c r="CY117" s="59">
        <f ca="1">AVERAGE(OFFSET($CX$3,0,0,'Données projet'!$E$13+1,1))-AVERAGE(OFFSET($H$3,0,0,'Données projet'!$E$13+1,1))</f>
        <v>386.66324266750968</v>
      </c>
      <c r="CZ117" s="59">
        <f t="shared" si="96"/>
        <v>356.22149461585769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96.538731396989334</v>
      </c>
      <c r="DG117" s="21">
        <f>EXP(-LN(2)/25)*DG116+(1-EXP(-LN(2)/25))/(LN(2)/25)*Calculateur!DB117*Calculateur!DD117*VLOOKUP('Données projet'!$B$13,Paramètres!$A$1:$I$89,3,0)*0.475*44/12</f>
        <v>22.662465356684397</v>
      </c>
      <c r="DH117" s="21">
        <f>EXP(-LN(2)/2)*DH116+(1-EXP(-LN(2)/2))/(LN(2)/2)*DB117*DE117*VLOOKUP('Données projet'!$B$13,Paramètres!$A$1:$I$89,3,0)*0.475*44/12</f>
        <v>1.800191982336519E-5</v>
      </c>
      <c r="DI117" s="22">
        <f t="shared" si="69"/>
        <v>119.20121475559355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>
        <f>DO117*VLOOKUP('Données projet'!$B$14,Paramètres!$A$1:$I$89,3,0)*VLOOKUP('Données projet'!$B$14,Paramètres!$A$1:$I$89,5,0)</f>
        <v>0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347.17417070871716</v>
      </c>
      <c r="DU117" s="59">
        <f t="shared" si="98"/>
        <v>339.56378046986441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21.087106746288256</v>
      </c>
      <c r="EB117" s="21">
        <f>EXP(-LN(2)/25)*EB116+(1-EXP(-LN(2)/25))/(LN(2)/25)*Calculateur!DW117*Calculateur!DY117*VLOOKUP('Données projet'!$B$14,Paramètres!$A$1:$I$89,3,0)*0.475*44/12</f>
        <v>15.904132097254109</v>
      </c>
      <c r="EC117" s="21">
        <f>EXP(-LN(2)/2)*EC116+(1-EXP(-LN(2)/2))/(LN(2)/2)*DW117*DZ117*VLOOKUP('Données projet'!$B$14,Paramètres!$A$1:$I$89,3,0)*0.475*44/12</f>
        <v>4.6689890846103767E-4</v>
      </c>
      <c r="ED117" s="22">
        <f t="shared" si="72"/>
        <v>36.991705742450826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>
        <f>EJ117*VLOOKUP('Données projet'!$B$15,Paramètres!$A$1:$I$89,3,0)*VLOOKUP('Données projet'!$B$15,Paramètres!$A$1:$I$89,5,0)</f>
        <v>0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384.34044781465661</v>
      </c>
      <c r="EP117" s="59">
        <f t="shared" si="100"/>
        <v>374.99493809709708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23.61755955584286</v>
      </c>
      <c r="EW117" s="21">
        <f>EXP(-LN(2)/25)*EW116+(1-EXP(-LN(2)/25))/(LN(2)/25)*Calculateur!ER117*Calculateur!ET117*VLOOKUP('Données projet'!$B$15,Paramètres!$A$1:$I$89,3,0)*0.475*44/12</f>
        <v>17.812627948924614</v>
      </c>
      <c r="EX117" s="21">
        <f>EXP(-LN(2)/2)*EX116+(1-EXP(-LN(2)/2))/(LN(2)/2)*ER117*EU117*VLOOKUP('Données projet'!$B$15,Paramètres!$A$1:$I$89,3,0)*0.475*44/12</f>
        <v>5.2292677747636123E-4</v>
      </c>
      <c r="EY117" s="22">
        <f t="shared" si="75"/>
        <v>41.430710431544952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>
        <f>FE117*VLOOKUP('Données projet'!$B$16,Paramètres!$A$1:$I$89,3,0)*VLOOKUP('Données projet'!$B$16,Paramètres!$A$1:$I$89,5,0)</f>
        <v>0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359.57284550600366</v>
      </c>
      <c r="FK117" s="59">
        <f t="shared" si="102"/>
        <v>351.38386928091433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21.930591016139797</v>
      </c>
      <c r="FR117" s="21">
        <f>EXP(-LN(2)/25)*FR116+(1-EXP(-LN(2)/25))/(LN(2)/25)*Calculateur!FM117*Calculateur!FO117*VLOOKUP('Données projet'!$B$16,Paramètres!$A$1:$I$89,3,0)*0.475*44/12</f>
        <v>16.540297381144271</v>
      </c>
      <c r="FS117" s="21">
        <f>EXP(-LN(2)/2)*FS116+(1-EXP(-LN(2)/2))/(LN(2)/2)*FM117*FP117*VLOOKUP('Données projet'!$B$16,Paramètres!$A$1:$I$89,3,0)*0.475*44/12</f>
        <v>4.8557486479947932E-4</v>
      </c>
      <c r="FT117" s="22">
        <f t="shared" si="78"/>
        <v>38.471373972148868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6">
        <f t="shared" si="56"/>
        <v>256.66666666666669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10.725999999999999</v>
      </c>
      <c r="N118" s="13">
        <f>IF('Données projet'!$A$36&gt;35,N117+M118-V117,IF(A118&lt;'Données projet'!$A$36,$K$205^A118,IF(A118='Données projet'!$A$36,'Données projet'!$B$36,N117+M118-V117)))</f>
        <v>511.37000000000012</v>
      </c>
      <c r="O118" s="13">
        <f>N118*VLOOKUP('Données projet'!$B$9,Paramètres!$A$1:$I$89,3,0)*VLOOKUP('Données projet'!$B$9,Paramètres!$A$1:$I$89,5,0)</f>
        <v>462.68757600000015</v>
      </c>
      <c r="P118" s="13">
        <f t="shared" si="87"/>
        <v>104.37593972520772</v>
      </c>
      <c r="Q118" s="20">
        <f t="shared" si="107"/>
        <v>987.63562322140353</v>
      </c>
      <c r="R118" s="59">
        <f t="shared" si="55"/>
        <v>1280.9689565547369</v>
      </c>
      <c r="S118" s="59">
        <f ca="1">AVERAGE(OFFSET($R$3,0,0,'Données projet'!$E$9+1,1))-AVERAGE(OFFSET($H$3,0,0,'Données projet'!$E$9+1,1))</f>
        <v>695.0879239758051</v>
      </c>
      <c r="T118" s="59">
        <f t="shared" si="88"/>
        <v>226.22150997227476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52.583505811259634</v>
      </c>
      <c r="AA118" s="21">
        <f>EXP(-LN(2)/25)*AA117+(1-EXP(-LN(2)/25))/(LN(2)/25)*Calculateur!V118*Calculateur!X118*VLOOKUP('Données projet'!$B$9,Paramètres!$A$1:$I$89,3,0)*0.475*44/12</f>
        <v>28.533423443389974</v>
      </c>
      <c r="AB118" s="21">
        <f>EXP(-LN(2)/2)*AB117+(1-EXP(-LN(2)/2))/(LN(2)/2)*V118*Y118*VLOOKUP('Données projet'!$B$9,Paramètres!$A$1:$I$89,3,0)*0.475*44/12</f>
        <v>1.0683070116377503E-3</v>
      </c>
      <c r="AC118" s="22">
        <f t="shared" si="57"/>
        <v>81.117997561661241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1.1368683772161603E-13</v>
      </c>
      <c r="AJ118" s="13">
        <f>AI118*VLOOKUP('Données projet'!$B$10,Paramètres!$A$1:$I$89,3,0)*VLOOKUP('Données projet'!$B$10,Paramètres!$A$1:$I$89,5,0)</f>
        <v>6.7984728957526396E-14</v>
      </c>
      <c r="AK118" s="13">
        <f t="shared" si="89"/>
        <v>1.0682447123141398E-12</v>
      </c>
      <c r="AL118" s="20">
        <f t="shared" si="58"/>
        <v>1.978932943548152E-12</v>
      </c>
      <c r="AM118" s="59">
        <f t="shared" si="59"/>
        <v>293.3333333333353</v>
      </c>
      <c r="AN118" s="59">
        <f ca="1">AVERAGE(OFFSET($AM$3,0,0,'Données projet'!$E$10+1,1))-AVERAGE(OFFSET($H$3,0,0,'Données projet'!$E$10+1,1))</f>
        <v>388.12151914648013</v>
      </c>
      <c r="AO118" s="59">
        <f t="shared" si="90"/>
        <v>481.43684454382793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55.337596320406369</v>
      </c>
      <c r="AV118" s="21">
        <f>EXP(-LN(2)/25)*AV117+(1-EXP(-LN(2)/25))/(LN(2)/25)*Calculateur!AQ118*Calculateur!AS118*VLOOKUP('Données projet'!$B$10,Paramètres!$A$1:$I$89,3,0)*0.475*44/12</f>
        <v>12.012573503223118</v>
      </c>
      <c r="AW118" s="21">
        <f>EXP(-LN(2)/2)*AW117+(1-EXP(-LN(2)/2))/(LN(2)/2)*AQ118*AT118*VLOOKUP('Données projet'!$B$10,Paramètres!$A$1:$I$89,3,0)*0.475*44/12</f>
        <v>1.0181666027733545E-7</v>
      </c>
      <c r="AX118" s="21">
        <f t="shared" si="60"/>
        <v>67.350169925446153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415.24818074059294</v>
      </c>
      <c r="BJ118" s="59">
        <f t="shared" si="92"/>
        <v>404.45811532046872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25.221793762727554</v>
      </c>
      <c r="BQ118" s="21">
        <f>EXP(-LN(2)/25)*BQ117+(1-EXP(-LN(2)/25))/(LN(2)/25)*Calculateur!BL118*Calculateur!BN118*VLOOKUP('Données projet'!$B$11,Paramètres!$A$1:$I$89,3,0)*0.475*44/12</f>
        <v>18.872463977805147</v>
      </c>
      <c r="BR118" s="21">
        <f>EXP(-LN(2)/2)*BR117+(1-EXP(-LN(2)/2))/(LN(2)/2)*BL118*BO118*VLOOKUP('Données projet'!$B$11,Paramètres!$A$1:$I$89,3,0)*0.475*44/12</f>
        <v>4.0277980884770331E-4</v>
      </c>
      <c r="BS118" s="22">
        <f t="shared" si="63"/>
        <v>44.094660520341542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384.34044781465661</v>
      </c>
      <c r="CE118" s="59">
        <f t="shared" si="94"/>
        <v>374.99493809709708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28.539185622483977</v>
      </c>
      <c r="CL118" s="21">
        <f>EXP(-LN(2)/25)*CL117+(1-EXP(-LN(2)/25))/(LN(2)/25)*Calculateur!CG118*Calculateur!CI118*VLOOKUP('Données projet'!$B$12,Paramètres!$A$1:$I$89,3,0)*0.475*44/12</f>
        <v>21.354736212781432</v>
      </c>
      <c r="CM118" s="21">
        <f>EXP(-LN(2)/2)*CM117+(1-EXP(-LN(2)/2))/(LN(2)/2)*CG118*CJ118*VLOOKUP('Données projet'!$B$12,Paramètres!$A$1:$I$89,3,0)*0.475*44/12</f>
        <v>3.697650704175638E-4</v>
      </c>
      <c r="CN118" s="22">
        <f t="shared" si="66"/>
        <v>49.894291600335826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5.6843418860808015E-13</v>
      </c>
      <c r="CU118" s="17">
        <f>CT118*VLOOKUP('Données projet'!$B$13,Paramètres!$A$1:$I$89,3,0)*VLOOKUP('Données projet'!$B$13,Paramètres!$A$1:$I$89,5,0)</f>
        <v>3.177547114319168E-13</v>
      </c>
      <c r="CV118" s="13">
        <f t="shared" si="95"/>
        <v>4.1725404435445377E-12</v>
      </c>
      <c r="CW118" s="20">
        <f t="shared" si="67"/>
        <v>7.820597394917325E-12</v>
      </c>
      <c r="CX118" s="59">
        <f t="shared" si="68"/>
        <v>293.33333333334116</v>
      </c>
      <c r="CY118" s="59">
        <f ca="1">AVERAGE(OFFSET($CX$3,0,0,'Données projet'!$E$13+1,1))-AVERAGE(OFFSET($H$3,0,0,'Données projet'!$E$13+1,1))</f>
        <v>386.66324266750968</v>
      </c>
      <c r="CZ118" s="59">
        <f t="shared" si="96"/>
        <v>356.22149461585769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94.645665757106329</v>
      </c>
      <c r="DG118" s="21">
        <f>EXP(-LN(2)/25)*DG117+(1-EXP(-LN(2)/25))/(LN(2)/25)*Calculateur!DB118*Calculateur!DD118*VLOOKUP('Données projet'!$B$13,Paramètres!$A$1:$I$89,3,0)*0.475*44/12</f>
        <v>22.042759049738606</v>
      </c>
      <c r="DH118" s="21">
        <f>EXP(-LN(2)/2)*DH117+(1-EXP(-LN(2)/2))/(LN(2)/2)*DB118*DE118*VLOOKUP('Données projet'!$B$13,Paramètres!$A$1:$I$89,3,0)*0.475*44/12</f>
        <v>1.2729279581478062E-5</v>
      </c>
      <c r="DI118" s="22">
        <f t="shared" si="69"/>
        <v>116.68843753612451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>
        <f>DO118*VLOOKUP('Données projet'!$B$14,Paramètres!$A$1:$I$89,3,0)*VLOOKUP('Données projet'!$B$14,Paramètres!$A$1:$I$89,5,0)</f>
        <v>0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347.17417070871716</v>
      </c>
      <c r="DU118" s="59">
        <f t="shared" si="98"/>
        <v>339.56378046986441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20.673601444858654</v>
      </c>
      <c r="EB118" s="21">
        <f>EXP(-LN(2)/25)*EB117+(1-EXP(-LN(2)/25))/(LN(2)/25)*Calculateur!DW118*Calculateur!DY118*VLOOKUP('Données projet'!$B$14,Paramètres!$A$1:$I$89,3,0)*0.475*44/12</f>
        <v>15.469232768692738</v>
      </c>
      <c r="EC118" s="21">
        <f>EXP(-LN(2)/2)*EC117+(1-EXP(-LN(2)/2))/(LN(2)/2)*DW118*DZ118*VLOOKUP('Données projet'!$B$14,Paramètres!$A$1:$I$89,3,0)*0.475*44/12</f>
        <v>3.3014738430139684E-4</v>
      </c>
      <c r="ED118" s="22">
        <f t="shared" si="72"/>
        <v>36.1431643609357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>
        <f>EJ118*VLOOKUP('Données projet'!$B$15,Paramètres!$A$1:$I$89,3,0)*VLOOKUP('Données projet'!$B$15,Paramètres!$A$1:$I$89,5,0)</f>
        <v>0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384.34044781465661</v>
      </c>
      <c r="EP118" s="59">
        <f t="shared" si="100"/>
        <v>374.99493809709708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23.154433618241708</v>
      </c>
      <c r="EW118" s="21">
        <f>EXP(-LN(2)/25)*EW117+(1-EXP(-LN(2)/25))/(LN(2)/25)*Calculateur!ER118*Calculateur!ET118*VLOOKUP('Données projet'!$B$15,Paramètres!$A$1:$I$89,3,0)*0.475*44/12</f>
        <v>17.325540700935878</v>
      </c>
      <c r="EX118" s="21">
        <f>EXP(-LN(2)/2)*EX117+(1-EXP(-LN(2)/2))/(LN(2)/2)*ER118*EU118*VLOOKUP('Données projet'!$B$15,Paramètres!$A$1:$I$89,3,0)*0.475*44/12</f>
        <v>3.697650704175638E-4</v>
      </c>
      <c r="EY118" s="22">
        <f t="shared" si="75"/>
        <v>40.480344084248003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>
        <f>FE118*VLOOKUP('Données projet'!$B$16,Paramètres!$A$1:$I$89,3,0)*VLOOKUP('Données projet'!$B$16,Paramètres!$A$1:$I$89,5,0)</f>
        <v>0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359.57284550600366</v>
      </c>
      <c r="FK118" s="59">
        <f t="shared" si="102"/>
        <v>351.38386928091433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21.500545502653011</v>
      </c>
      <c r="FR118" s="21">
        <f>EXP(-LN(2)/25)*FR117+(1-EXP(-LN(2)/25))/(LN(2)/25)*Calculateur!FM118*Calculateur!FO118*VLOOKUP('Données projet'!$B$16,Paramètres!$A$1:$I$89,3,0)*0.475*44/12</f>
        <v>16.088002079440443</v>
      </c>
      <c r="FS118" s="21">
        <f>EXP(-LN(2)/2)*FS117+(1-EXP(-LN(2)/2))/(LN(2)/2)*FM118*FP118*VLOOKUP('Données projet'!$B$16,Paramètres!$A$1:$I$89,3,0)*0.475*44/12</f>
        <v>3.4335327967345287E-4</v>
      </c>
      <c r="FT118" s="22">
        <f t="shared" si="78"/>
        <v>37.588890935373129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6">
        <f t="shared" si="56"/>
        <v>256.66666666666669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10.725999999999999</v>
      </c>
      <c r="N119" s="13">
        <f>IF('Données projet'!$A$36&gt;35,N118+M119-V118,IF(A119&lt;'Données projet'!$A$36,$K$205^A119,IF(A119='Données projet'!$A$36,'Données projet'!$B$36,N118+M119-V118)))</f>
        <v>522.09600000000012</v>
      </c>
      <c r="O119" s="13">
        <f>N119*VLOOKUP('Données projet'!$B$9,Paramètres!$A$1:$I$89,3,0)*VLOOKUP('Données projet'!$B$9,Paramètres!$A$1:$I$89,5,0)</f>
        <v>472.39246080000009</v>
      </c>
      <c r="P119" s="13">
        <f t="shared" si="87"/>
        <v>106.30805156897928</v>
      </c>
      <c r="Q119" s="20">
        <f t="shared" si="107"/>
        <v>1007.9033923759724</v>
      </c>
      <c r="R119" s="59">
        <f t="shared" si="55"/>
        <v>1301.2367257093058</v>
      </c>
      <c r="S119" s="59">
        <f ca="1">AVERAGE(OFFSET($R$3,0,0,'Données projet'!$E$9+1,1))-AVERAGE(OFFSET($H$3,0,0,'Données projet'!$E$9+1,1))</f>
        <v>695.0879239758051</v>
      </c>
      <c r="T119" s="59">
        <f t="shared" si="88"/>
        <v>226.22150997227476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51.552375335072455</v>
      </c>
      <c r="AA119" s="21">
        <f>EXP(-LN(2)/25)*AA118+(1-EXP(-LN(2)/25))/(LN(2)/25)*Calculateur!V119*Calculateur!X119*VLOOKUP('Données projet'!$B$9,Paramètres!$A$1:$I$89,3,0)*0.475*44/12</f>
        <v>27.75317547882295</v>
      </c>
      <c r="AB119" s="21">
        <f>EXP(-LN(2)/2)*AB118+(1-EXP(-LN(2)/2))/(LN(2)/2)*V119*Y119*VLOOKUP('Données projet'!$B$9,Paramètres!$A$1:$I$89,3,0)*0.475*44/12</f>
        <v>7.5540713231818921E-4</v>
      </c>
      <c r="AC119" s="22">
        <f t="shared" si="57"/>
        <v>79.306306221027725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1.1368683772161603E-13</v>
      </c>
      <c r="AJ119" s="13">
        <f>AI119*VLOOKUP('Données projet'!$B$10,Paramètres!$A$1:$I$89,3,0)*VLOOKUP('Données projet'!$B$10,Paramètres!$A$1:$I$89,5,0)</f>
        <v>6.7984728957526396E-14</v>
      </c>
      <c r="AK119" s="13">
        <f t="shared" si="89"/>
        <v>1.0682447123141398E-12</v>
      </c>
      <c r="AL119" s="20">
        <f t="shared" si="58"/>
        <v>1.978932943548152E-12</v>
      </c>
      <c r="AM119" s="59">
        <f t="shared" si="59"/>
        <v>293.3333333333353</v>
      </c>
      <c r="AN119" s="59">
        <f ca="1">AVERAGE(OFFSET($AM$3,0,0,'Données projet'!$E$10+1,1))-AVERAGE(OFFSET($H$3,0,0,'Données projet'!$E$10+1,1))</f>
        <v>388.12151914648013</v>
      </c>
      <c r="AO119" s="59">
        <f t="shared" si="90"/>
        <v>481.43684454382793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54.252459809164165</v>
      </c>
      <c r="AV119" s="21">
        <f>EXP(-LN(2)/25)*AV118+(1-EXP(-LN(2)/25))/(LN(2)/25)*Calculateur!AQ119*Calculateur!AS119*VLOOKUP('Données projet'!$B$10,Paramètres!$A$1:$I$89,3,0)*0.475*44/12</f>
        <v>11.684089049063697</v>
      </c>
      <c r="AW119" s="21">
        <f>EXP(-LN(2)/2)*AW118+(1-EXP(-LN(2)/2))/(LN(2)/2)*AQ119*AT119*VLOOKUP('Données projet'!$B$10,Paramètres!$A$1:$I$89,3,0)*0.475*44/12</f>
        <v>7.1995250919870883E-8</v>
      </c>
      <c r="AX119" s="21">
        <f t="shared" si="60"/>
        <v>65.936548930223111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415.24818074059294</v>
      </c>
      <c r="BJ119" s="59">
        <f t="shared" si="92"/>
        <v>404.45811532046872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24.727209770815641</v>
      </c>
      <c r="BQ119" s="21">
        <f>EXP(-LN(2)/25)*BQ118+(1-EXP(-LN(2)/25))/(LN(2)/25)*Calculateur!BL119*Calculateur!BN119*VLOOKUP('Données projet'!$B$11,Paramètres!$A$1:$I$89,3,0)*0.475*44/12</f>
        <v>18.356395457872317</v>
      </c>
      <c r="BR119" s="21">
        <f>EXP(-LN(2)/2)*BR118+(1-EXP(-LN(2)/2))/(LN(2)/2)*BL119*BO119*VLOOKUP('Données projet'!$B$11,Paramètres!$A$1:$I$89,3,0)*0.475*44/12</f>
        <v>2.8480833416123238E-4</v>
      </c>
      <c r="BS119" s="22">
        <f t="shared" si="63"/>
        <v>43.083890037022122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384.34044781465661</v>
      </c>
      <c r="CE119" s="59">
        <f t="shared" si="94"/>
        <v>374.99493809709708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27.979549599611481</v>
      </c>
      <c r="CL119" s="21">
        <f>EXP(-LN(2)/25)*CL118+(1-EXP(-LN(2)/25))/(LN(2)/25)*Calculateur!CG119*Calculateur!CI119*VLOOKUP('Données projet'!$B$12,Paramètres!$A$1:$I$89,3,0)*0.475*44/12</f>
        <v>20.770789828046155</v>
      </c>
      <c r="CM119" s="21">
        <f>EXP(-LN(2)/2)*CM118+(1-EXP(-LN(2)/2))/(LN(2)/2)*CG119*CJ119*VLOOKUP('Données projet'!$B$12,Paramètres!$A$1:$I$89,3,0)*0.475*44/12</f>
        <v>2.6146338873818062E-4</v>
      </c>
      <c r="CN119" s="22">
        <f t="shared" si="66"/>
        <v>48.750600891046375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5.6843418860808015E-13</v>
      </c>
      <c r="CU119" s="17">
        <f>CT119*VLOOKUP('Données projet'!$B$13,Paramètres!$A$1:$I$89,3,0)*VLOOKUP('Données projet'!$B$13,Paramètres!$A$1:$I$89,5,0)</f>
        <v>3.177547114319168E-13</v>
      </c>
      <c r="CV119" s="13">
        <f t="shared" si="95"/>
        <v>4.1725404435445377E-12</v>
      </c>
      <c r="CW119" s="20">
        <f t="shared" si="67"/>
        <v>7.820597394917325E-12</v>
      </c>
      <c r="CX119" s="59">
        <f t="shared" si="68"/>
        <v>293.33333333334116</v>
      </c>
      <c r="CY119" s="59">
        <f ca="1">AVERAGE(OFFSET($CX$3,0,0,'Données projet'!$E$13+1,1))-AVERAGE(OFFSET($H$3,0,0,'Données projet'!$E$13+1,1))</f>
        <v>386.66324266750968</v>
      </c>
      <c r="CZ119" s="59">
        <f t="shared" si="96"/>
        <v>356.22149461585769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92.789721979765403</v>
      </c>
      <c r="DG119" s="21">
        <f>EXP(-LN(2)/25)*DG118+(1-EXP(-LN(2)/25))/(LN(2)/25)*Calculateur!DB119*Calculateur!DD119*VLOOKUP('Données projet'!$B$13,Paramètres!$A$1:$I$89,3,0)*0.475*44/12</f>
        <v>21.439998644345184</v>
      </c>
      <c r="DH119" s="21">
        <f>EXP(-LN(2)/2)*DH118+(1-EXP(-LN(2)/2))/(LN(2)/2)*DB119*DE119*VLOOKUP('Données projet'!$B$13,Paramètres!$A$1:$I$89,3,0)*0.475*44/12</f>
        <v>9.0009599116825949E-6</v>
      </c>
      <c r="DI119" s="22">
        <f t="shared" si="69"/>
        <v>114.22972962507049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>
        <f>DO119*VLOOKUP('Données projet'!$B$14,Paramètres!$A$1:$I$89,3,0)*VLOOKUP('Données projet'!$B$14,Paramètres!$A$1:$I$89,5,0)</f>
        <v>0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347.17417070871716</v>
      </c>
      <c r="DU119" s="59">
        <f t="shared" si="98"/>
        <v>339.56378046986441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20.268204730176759</v>
      </c>
      <c r="EB119" s="21">
        <f>EXP(-LN(2)/25)*EB118+(1-EXP(-LN(2)/25))/(LN(2)/25)*Calculateur!DW119*Calculateur!DY119*VLOOKUP('Données projet'!$B$14,Paramètres!$A$1:$I$89,3,0)*0.475*44/12</f>
        <v>15.046225785141239</v>
      </c>
      <c r="EC119" s="21">
        <f>EXP(-LN(2)/2)*EC118+(1-EXP(-LN(2)/2))/(LN(2)/2)*DW119*DZ119*VLOOKUP('Données projet'!$B$14,Paramètres!$A$1:$I$89,3,0)*0.475*44/12</f>
        <v>2.3344945423051883E-4</v>
      </c>
      <c r="ED119" s="22">
        <f t="shared" si="72"/>
        <v>35.314663964772222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>
        <f>EJ119*VLOOKUP('Données projet'!$B$15,Paramètres!$A$1:$I$89,3,0)*VLOOKUP('Données projet'!$B$15,Paramètres!$A$1:$I$89,5,0)</f>
        <v>0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384.34044781465661</v>
      </c>
      <c r="EP119" s="59">
        <f t="shared" si="100"/>
        <v>374.99493809709708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22.700389297797983</v>
      </c>
      <c r="EW119" s="21">
        <f>EXP(-LN(2)/25)*EW118+(1-EXP(-LN(2)/25))/(LN(2)/25)*Calculateur!ER119*Calculateur!ET119*VLOOKUP('Données projet'!$B$15,Paramètres!$A$1:$I$89,3,0)*0.475*44/12</f>
        <v>16.851772879358201</v>
      </c>
      <c r="EX119" s="21">
        <f>EXP(-LN(2)/2)*EX118+(1-EXP(-LN(2)/2))/(LN(2)/2)*ER119*EU119*VLOOKUP('Données projet'!$B$15,Paramètres!$A$1:$I$89,3,0)*0.475*44/12</f>
        <v>2.6146338873818062E-4</v>
      </c>
      <c r="EY119" s="22">
        <f t="shared" si="75"/>
        <v>39.552423640544923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>
        <f>FE119*VLOOKUP('Données projet'!$B$16,Paramètres!$A$1:$I$89,3,0)*VLOOKUP('Données projet'!$B$16,Paramètres!$A$1:$I$89,5,0)</f>
        <v>0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359.57284550600366</v>
      </c>
      <c r="FK119" s="59">
        <f t="shared" si="102"/>
        <v>351.38386928091433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21.078932919383838</v>
      </c>
      <c r="FR119" s="21">
        <f>EXP(-LN(2)/25)*FR118+(1-EXP(-LN(2)/25))/(LN(2)/25)*Calculateur!FM119*Calculateur!FO119*VLOOKUP('Données projet'!$B$16,Paramètres!$A$1:$I$89,3,0)*0.475*44/12</f>
        <v>15.648074816546885</v>
      </c>
      <c r="FS119" s="21">
        <f>EXP(-LN(2)/2)*FS118+(1-EXP(-LN(2)/2))/(LN(2)/2)*FM119*FP119*VLOOKUP('Données projet'!$B$16,Paramètres!$A$1:$I$89,3,0)*0.475*44/12</f>
        <v>2.4278743239973972E-4</v>
      </c>
      <c r="FT119" s="22">
        <f t="shared" si="78"/>
        <v>36.727250523363125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6">
        <f t="shared" si="56"/>
        <v>256.66666666666669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10.725999999999999</v>
      </c>
      <c r="N120" s="13">
        <f>IF('Données projet'!$A$36&gt;35,N119+M120-V119,IF(A120&lt;'Données projet'!$A$36,$K$205^A120,IF(A120='Données projet'!$A$36,'Données projet'!$B$36,N119+M120-V119)))</f>
        <v>532.82200000000012</v>
      </c>
      <c r="O120" s="13">
        <f>N120*VLOOKUP('Données projet'!$B$9,Paramètres!$A$1:$I$89,3,0)*VLOOKUP('Données projet'!$B$9,Paramètres!$A$1:$I$89,5,0)</f>
        <v>482.09734560000015</v>
      </c>
      <c r="P120" s="13">
        <f t="shared" si="87"/>
        <v>108.23554826302497</v>
      </c>
      <c r="Q120" s="20">
        <f t="shared" si="107"/>
        <v>1028.1631234781019</v>
      </c>
      <c r="R120" s="59">
        <f t="shared" si="55"/>
        <v>1321.4964568114351</v>
      </c>
      <c r="S120" s="59">
        <f ca="1">AVERAGE(OFFSET($R$3,0,0,'Données projet'!$E$9+1,1))-AVERAGE(OFFSET($H$3,0,0,'Données projet'!$E$9+1,1))</f>
        <v>695.0879239758051</v>
      </c>
      <c r="T120" s="59">
        <f t="shared" si="88"/>
        <v>226.22150997227476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50.541464698595817</v>
      </c>
      <c r="AA120" s="21">
        <f>EXP(-LN(2)/25)*AA119+(1-EXP(-LN(2)/25))/(LN(2)/25)*Calculateur!V120*Calculateur!X120*VLOOKUP('Données projet'!$B$9,Paramètres!$A$1:$I$89,3,0)*0.475*44/12</f>
        <v>26.994263435878469</v>
      </c>
      <c r="AB120" s="21">
        <f>EXP(-LN(2)/2)*AB119+(1-EXP(-LN(2)/2))/(LN(2)/2)*V120*Y120*VLOOKUP('Données projet'!$B$9,Paramètres!$A$1:$I$89,3,0)*0.475*44/12</f>
        <v>5.3415350581887517E-4</v>
      </c>
      <c r="AC120" s="22">
        <f t="shared" si="57"/>
        <v>77.536262287980108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1.1368683772161603E-13</v>
      </c>
      <c r="AJ120" s="13">
        <f>AI120*VLOOKUP('Données projet'!$B$10,Paramètres!$A$1:$I$89,3,0)*VLOOKUP('Données projet'!$B$10,Paramètres!$A$1:$I$89,5,0)</f>
        <v>6.7984728957526396E-14</v>
      </c>
      <c r="AK120" s="13">
        <f t="shared" si="89"/>
        <v>1.0682447123141398E-12</v>
      </c>
      <c r="AL120" s="20">
        <f t="shared" si="58"/>
        <v>1.978932943548152E-12</v>
      </c>
      <c r="AM120" s="59">
        <f t="shared" si="59"/>
        <v>293.3333333333353</v>
      </c>
      <c r="AN120" s="59">
        <f ca="1">AVERAGE(OFFSET($AM$3,0,0,'Données projet'!$E$10+1,1))-AVERAGE(OFFSET($H$3,0,0,'Données projet'!$E$10+1,1))</f>
        <v>388.12151914648013</v>
      </c>
      <c r="AO120" s="59">
        <f t="shared" si="90"/>
        <v>481.43684454382793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53.188602163039498</v>
      </c>
      <c r="AV120" s="21">
        <f>EXP(-LN(2)/25)*AV119+(1-EXP(-LN(2)/25))/(LN(2)/25)*Calculateur!AQ120*Calculateur!AS120*VLOOKUP('Données projet'!$B$10,Paramètres!$A$1:$I$89,3,0)*0.475*44/12</f>
        <v>11.364587019577511</v>
      </c>
      <c r="AW120" s="21">
        <f>EXP(-LN(2)/2)*AW119+(1-EXP(-LN(2)/2))/(LN(2)/2)*AQ120*AT120*VLOOKUP('Données projet'!$B$10,Paramètres!$A$1:$I$89,3,0)*0.475*44/12</f>
        <v>5.0908330138667725E-8</v>
      </c>
      <c r="AX120" s="21">
        <f t="shared" si="60"/>
        <v>64.55318923352533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415.24818074059294</v>
      </c>
      <c r="BJ120" s="59">
        <f t="shared" si="92"/>
        <v>404.45811532046872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24.242324269318672</v>
      </c>
      <c r="BQ120" s="21">
        <f>EXP(-LN(2)/25)*BQ119+(1-EXP(-LN(2)/25))/(LN(2)/25)*Calculateur!BL120*Calculateur!BN120*VLOOKUP('Données projet'!$B$11,Paramètres!$A$1:$I$89,3,0)*0.475*44/12</f>
        <v>17.854438858755916</v>
      </c>
      <c r="BR120" s="21">
        <f>EXP(-LN(2)/2)*BR119+(1-EXP(-LN(2)/2))/(LN(2)/2)*BL120*BO120*VLOOKUP('Données projet'!$B$11,Paramètres!$A$1:$I$89,3,0)*0.475*44/12</f>
        <v>2.0138990442385165E-4</v>
      </c>
      <c r="BS120" s="22">
        <f t="shared" si="63"/>
        <v>42.096964517979011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384.34044781465661</v>
      </c>
      <c r="CE120" s="59">
        <f t="shared" si="94"/>
        <v>374.99493809709708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27.430887697803243</v>
      </c>
      <c r="CL120" s="21">
        <f>EXP(-LN(2)/25)*CL119+(1-EXP(-LN(2)/25))/(LN(2)/25)*Calculateur!CG120*Calculateur!CI120*VLOOKUP('Données projet'!$B$12,Paramètres!$A$1:$I$89,3,0)*0.475*44/12</f>
        <v>20.202811487909869</v>
      </c>
      <c r="CM120" s="21">
        <f>EXP(-LN(2)/2)*CM119+(1-EXP(-LN(2)/2))/(LN(2)/2)*CG120*CJ120*VLOOKUP('Données projet'!$B$12,Paramètres!$A$1:$I$89,3,0)*0.475*44/12</f>
        <v>1.848825352087819E-4</v>
      </c>
      <c r="CN120" s="22">
        <f t="shared" si="66"/>
        <v>47.633884068248321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5.6843418860808015E-13</v>
      </c>
      <c r="CU120" s="17">
        <f>CT120*VLOOKUP('Données projet'!$B$13,Paramètres!$A$1:$I$89,3,0)*VLOOKUP('Données projet'!$B$13,Paramètres!$A$1:$I$89,5,0)</f>
        <v>3.177547114319168E-13</v>
      </c>
      <c r="CV120" s="13">
        <f t="shared" si="95"/>
        <v>4.1725404435445377E-12</v>
      </c>
      <c r="CW120" s="20">
        <f t="shared" si="67"/>
        <v>7.820597394917325E-12</v>
      </c>
      <c r="CX120" s="59">
        <f t="shared" si="68"/>
        <v>293.33333333334116</v>
      </c>
      <c r="CY120" s="59">
        <f ca="1">AVERAGE(OFFSET($CX$3,0,0,'Données projet'!$E$13+1,1))-AVERAGE(OFFSET($H$3,0,0,'Données projet'!$E$13+1,1))</f>
        <v>386.66324266750968</v>
      </c>
      <c r="CZ120" s="59">
        <f t="shared" si="96"/>
        <v>356.22149461585769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90.970172127884211</v>
      </c>
      <c r="DG120" s="21">
        <f>EXP(-LN(2)/25)*DG119+(1-EXP(-LN(2)/25))/(LN(2)/25)*Calculateur!DB120*Calculateur!DD120*VLOOKUP('Données projet'!$B$13,Paramètres!$A$1:$I$89,3,0)*0.475*44/12</f>
        <v>20.85372075393504</v>
      </c>
      <c r="DH120" s="21">
        <f>EXP(-LN(2)/2)*DH119+(1-EXP(-LN(2)/2))/(LN(2)/2)*DB120*DE120*VLOOKUP('Données projet'!$B$13,Paramètres!$A$1:$I$89,3,0)*0.475*44/12</f>
        <v>6.3646397907390309E-6</v>
      </c>
      <c r="DI120" s="22">
        <f t="shared" si="69"/>
        <v>111.82389924645904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>
        <f>DO120*VLOOKUP('Données projet'!$B$14,Paramètres!$A$1:$I$89,3,0)*VLOOKUP('Données projet'!$B$14,Paramètres!$A$1:$I$89,5,0)</f>
        <v>0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347.17417070871716</v>
      </c>
      <c r="DU120" s="59">
        <f t="shared" si="98"/>
        <v>339.56378046986441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19.870757597802193</v>
      </c>
      <c r="EB120" s="21">
        <f>EXP(-LN(2)/25)*EB119+(1-EXP(-LN(2)/25))/(LN(2)/25)*Calculateur!DW120*Calculateur!DY120*VLOOKUP('Données projet'!$B$14,Paramètres!$A$1:$I$89,3,0)*0.475*44/12</f>
        <v>14.634785949799927</v>
      </c>
      <c r="EC120" s="21">
        <f>EXP(-LN(2)/2)*EC119+(1-EXP(-LN(2)/2))/(LN(2)/2)*DW120*DZ120*VLOOKUP('Données projet'!$B$14,Paramètres!$A$1:$I$89,3,0)*0.475*44/12</f>
        <v>1.6507369215069842E-4</v>
      </c>
      <c r="ED120" s="22">
        <f t="shared" si="72"/>
        <v>34.505708621294268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>
        <f>EJ120*VLOOKUP('Données projet'!$B$15,Paramètres!$A$1:$I$89,3,0)*VLOOKUP('Données projet'!$B$15,Paramètres!$A$1:$I$89,5,0)</f>
        <v>0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384.34044781465661</v>
      </c>
      <c r="EP120" s="59">
        <f t="shared" si="100"/>
        <v>374.99493809709708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22.255248509538472</v>
      </c>
      <c r="EW120" s="21">
        <f>EXP(-LN(2)/25)*EW119+(1-EXP(-LN(2)/25))/(LN(2)/25)*Calculateur!ER120*Calculateur!ET120*VLOOKUP('Données projet'!$B$15,Paramètres!$A$1:$I$89,3,0)*0.475*44/12</f>
        <v>16.390960263775931</v>
      </c>
      <c r="EX120" s="21">
        <f>EXP(-LN(2)/2)*EX119+(1-EXP(-LN(2)/2))/(LN(2)/2)*ER120*EU120*VLOOKUP('Données projet'!$B$15,Paramètres!$A$1:$I$89,3,0)*0.475*44/12</f>
        <v>1.848825352087819E-4</v>
      </c>
      <c r="EY120" s="22">
        <f t="shared" si="75"/>
        <v>38.646393655849607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>
        <f>FE120*VLOOKUP('Données projet'!$B$16,Paramètres!$A$1:$I$89,3,0)*VLOOKUP('Données projet'!$B$16,Paramètres!$A$1:$I$89,5,0)</f>
        <v>0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359.57284550600366</v>
      </c>
      <c r="FK120" s="59">
        <f t="shared" si="102"/>
        <v>351.38386928091433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20.665587901714289</v>
      </c>
      <c r="FR120" s="21">
        <f>EXP(-LN(2)/25)*FR119+(1-EXP(-LN(2)/25))/(LN(2)/25)*Calculateur!FM120*Calculateur!FO120*VLOOKUP('Données projet'!$B$16,Paramètres!$A$1:$I$89,3,0)*0.475*44/12</f>
        <v>15.220177387791919</v>
      </c>
      <c r="FS120" s="21">
        <f>EXP(-LN(2)/2)*FS119+(1-EXP(-LN(2)/2))/(LN(2)/2)*FM120*FP120*VLOOKUP('Données projet'!$B$16,Paramètres!$A$1:$I$89,3,0)*0.475*44/12</f>
        <v>1.7167663983672646E-4</v>
      </c>
      <c r="FT120" s="22">
        <f t="shared" si="78"/>
        <v>35.885936966146048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6">
        <f t="shared" si="56"/>
        <v>256.66666666666669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10.725999999999999</v>
      </c>
      <c r="N121" s="13">
        <f>IF('Données projet'!$A$36&gt;35,N120+M121-V120,IF(A121&lt;'Données projet'!$A$36,$K$205^A121,IF(A121='Données projet'!$A$36,'Données projet'!$B$36,N120+M121-V120)))</f>
        <v>543.54800000000012</v>
      </c>
      <c r="O121" s="13">
        <f>N121*VLOOKUP('Données projet'!$B$9,Paramètres!$A$1:$I$89,3,0)*VLOOKUP('Données projet'!$B$9,Paramètres!$A$1:$I$89,5,0)</f>
        <v>491.8022304000001</v>
      </c>
      <c r="P121" s="13">
        <f t="shared" si="87"/>
        <v>110.1585334197499</v>
      </c>
      <c r="Q121" s="20">
        <f t="shared" si="107"/>
        <v>1048.4149969860646</v>
      </c>
      <c r="R121" s="59">
        <f t="shared" si="55"/>
        <v>1341.7483303193978</v>
      </c>
      <c r="S121" s="59">
        <f ca="1">AVERAGE(OFFSET($R$3,0,0,'Données projet'!$E$9+1,1))-AVERAGE(OFFSET($H$3,0,0,'Données projet'!$E$9+1,1))</f>
        <v>695.0879239758051</v>
      </c>
      <c r="T121" s="59">
        <f t="shared" si="88"/>
        <v>226.22150997227476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49.550377403105884</v>
      </c>
      <c r="AA121" s="21">
        <f>EXP(-LN(2)/25)*AA120+(1-EXP(-LN(2)/25))/(LN(2)/25)*Calculateur!V121*Calculateur!X121*VLOOKUP('Données projet'!$B$9,Paramètres!$A$1:$I$89,3,0)*0.475*44/12</f>
        <v>26.256103882657754</v>
      </c>
      <c r="AB121" s="21">
        <f>EXP(-LN(2)/2)*AB120+(1-EXP(-LN(2)/2))/(LN(2)/2)*V121*Y121*VLOOKUP('Données projet'!$B$9,Paramètres!$A$1:$I$89,3,0)*0.475*44/12</f>
        <v>3.7770356615909461E-4</v>
      </c>
      <c r="AC121" s="22">
        <f t="shared" si="57"/>
        <v>75.806858989329797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1.1368683772161603E-13</v>
      </c>
      <c r="AJ121" s="13">
        <f>AI121*VLOOKUP('Données projet'!$B$10,Paramètres!$A$1:$I$89,3,0)*VLOOKUP('Données projet'!$B$10,Paramètres!$A$1:$I$89,5,0)</f>
        <v>6.7984728957526396E-14</v>
      </c>
      <c r="AK121" s="13">
        <f t="shared" si="89"/>
        <v>1.0682447123141398E-12</v>
      </c>
      <c r="AL121" s="20">
        <f t="shared" si="58"/>
        <v>1.978932943548152E-12</v>
      </c>
      <c r="AM121" s="59">
        <f t="shared" si="59"/>
        <v>293.3333333333353</v>
      </c>
      <c r="AN121" s="59">
        <f ca="1">AVERAGE(OFFSET($AM$3,0,0,'Données projet'!$E$10+1,1))-AVERAGE(OFFSET($H$3,0,0,'Données projet'!$E$10+1,1))</f>
        <v>388.12151914648013</v>
      </c>
      <c r="AO121" s="59">
        <f t="shared" si="90"/>
        <v>481.43684454382793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52.145606116466247</v>
      </c>
      <c r="AV121" s="21">
        <f>EXP(-LN(2)/25)*AV120+(1-EXP(-LN(2)/25))/(LN(2)/25)*Calculateur!AQ121*Calculateur!AS121*VLOOKUP('Données projet'!$B$10,Paramètres!$A$1:$I$89,3,0)*0.475*44/12</f>
        <v>11.053821789889508</v>
      </c>
      <c r="AW121" s="21">
        <f>EXP(-LN(2)/2)*AW120+(1-EXP(-LN(2)/2))/(LN(2)/2)*AQ121*AT121*VLOOKUP('Données projet'!$B$10,Paramètres!$A$1:$I$89,3,0)*0.475*44/12</f>
        <v>3.5997625459935441E-8</v>
      </c>
      <c r="AX121" s="21">
        <f t="shared" si="60"/>
        <v>63.199427942353374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415.24818074059294</v>
      </c>
      <c r="BJ121" s="59">
        <f t="shared" si="92"/>
        <v>404.45811532046872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23.766947076755105</v>
      </c>
      <c r="BQ121" s="21">
        <f>EXP(-LN(2)/25)*BQ120+(1-EXP(-LN(2)/25))/(LN(2)/25)*Calculateur!BL121*Calculateur!BN121*VLOOKUP('Données projet'!$B$11,Paramètres!$A$1:$I$89,3,0)*0.475*44/12</f>
        <v>17.366208289239104</v>
      </c>
      <c r="BR121" s="21">
        <f>EXP(-LN(2)/2)*BR120+(1-EXP(-LN(2)/2))/(LN(2)/2)*BL121*BO121*VLOOKUP('Données projet'!$B$11,Paramètres!$A$1:$I$89,3,0)*0.475*44/12</f>
        <v>1.4240416708061619E-4</v>
      </c>
      <c r="BS121" s="22">
        <f t="shared" si="63"/>
        <v>41.133297770161292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384.34044781465661</v>
      </c>
      <c r="CE121" s="59">
        <f t="shared" si="94"/>
        <v>374.99493809709708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26.892984721238751</v>
      </c>
      <c r="CL121" s="21">
        <f>EXP(-LN(2)/25)*CL120+(1-EXP(-LN(2)/25))/(LN(2)/25)*Calculateur!CG121*Calculateur!CI121*VLOOKUP('Données projet'!$B$12,Paramètres!$A$1:$I$89,3,0)*0.475*44/12</f>
        <v>19.650364545353291</v>
      </c>
      <c r="CM121" s="21">
        <f>EXP(-LN(2)/2)*CM120+(1-EXP(-LN(2)/2))/(LN(2)/2)*CG121*CJ121*VLOOKUP('Données projet'!$B$12,Paramètres!$A$1:$I$89,3,0)*0.475*44/12</f>
        <v>1.3073169436909031E-4</v>
      </c>
      <c r="CN121" s="22">
        <f t="shared" si="66"/>
        <v>46.543479998286415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5.6843418860808015E-13</v>
      </c>
      <c r="CU121" s="17">
        <f>CT121*VLOOKUP('Données projet'!$B$13,Paramètres!$A$1:$I$89,3,0)*VLOOKUP('Données projet'!$B$13,Paramètres!$A$1:$I$89,5,0)</f>
        <v>3.177547114319168E-13</v>
      </c>
      <c r="CV121" s="13">
        <f t="shared" si="95"/>
        <v>4.1725404435445377E-12</v>
      </c>
      <c r="CW121" s="20">
        <f t="shared" si="67"/>
        <v>7.820597394917325E-12</v>
      </c>
      <c r="CX121" s="59">
        <f t="shared" si="68"/>
        <v>293.33333333334116</v>
      </c>
      <c r="CY121" s="59">
        <f ca="1">AVERAGE(OFFSET($CX$3,0,0,'Données projet'!$E$13+1,1))-AVERAGE(OFFSET($H$3,0,0,'Données projet'!$E$13+1,1))</f>
        <v>386.66324266750968</v>
      </c>
      <c r="CZ121" s="59">
        <f t="shared" si="96"/>
        <v>356.22149461585769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89.186302538782584</v>
      </c>
      <c r="DG121" s="21">
        <f>EXP(-LN(2)/25)*DG120+(1-EXP(-LN(2)/25))/(LN(2)/25)*Calculateur!DB121*Calculateur!DD121*VLOOKUP('Données projet'!$B$13,Paramètres!$A$1:$I$89,3,0)*0.475*44/12</f>
        <v>20.283474663269175</v>
      </c>
      <c r="DH121" s="21">
        <f>EXP(-LN(2)/2)*DH120+(1-EXP(-LN(2)/2))/(LN(2)/2)*DB121*DE121*VLOOKUP('Données projet'!$B$13,Paramètres!$A$1:$I$89,3,0)*0.475*44/12</f>
        <v>4.5004799558412974E-6</v>
      </c>
      <c r="DI121" s="22">
        <f t="shared" si="69"/>
        <v>109.46978170253172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>
        <f>DO121*VLOOKUP('Données projet'!$B$14,Paramètres!$A$1:$I$89,3,0)*VLOOKUP('Données projet'!$B$14,Paramètres!$A$1:$I$89,5,0)</f>
        <v>0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347.17417070871716</v>
      </c>
      <c r="DU121" s="59">
        <f t="shared" si="98"/>
        <v>339.56378046986441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19.481104161274679</v>
      </c>
      <c r="EB121" s="21">
        <f>EXP(-LN(2)/25)*EB120+(1-EXP(-LN(2)/25))/(LN(2)/25)*Calculateur!DW121*Calculateur!DY121*VLOOKUP('Données projet'!$B$14,Paramètres!$A$1:$I$89,3,0)*0.475*44/12</f>
        <v>14.234596958392704</v>
      </c>
      <c r="EC121" s="21">
        <f>EXP(-LN(2)/2)*EC120+(1-EXP(-LN(2)/2))/(LN(2)/2)*DW121*DZ121*VLOOKUP('Données projet'!$B$14,Paramètres!$A$1:$I$89,3,0)*0.475*44/12</f>
        <v>1.1672472711525942E-4</v>
      </c>
      <c r="ED121" s="22">
        <f t="shared" si="72"/>
        <v>33.7158178443945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>
        <f>EJ121*VLOOKUP('Données projet'!$B$15,Paramètres!$A$1:$I$89,3,0)*VLOOKUP('Données projet'!$B$15,Paramètres!$A$1:$I$89,5,0)</f>
        <v>0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384.34044781465661</v>
      </c>
      <c r="EP121" s="59">
        <f t="shared" si="100"/>
        <v>374.99493809709708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21.818836660627657</v>
      </c>
      <c r="EW121" s="21">
        <f>EXP(-LN(2)/25)*EW120+(1-EXP(-LN(2)/25))/(LN(2)/25)*Calculateur!ER121*Calculateur!ET121*VLOOKUP('Données projet'!$B$15,Paramètres!$A$1:$I$89,3,0)*0.475*44/12</f>
        <v>15.942748593399839</v>
      </c>
      <c r="EX121" s="21">
        <f>EXP(-LN(2)/2)*EX120+(1-EXP(-LN(2)/2))/(LN(2)/2)*ER121*EU121*VLOOKUP('Données projet'!$B$15,Paramètres!$A$1:$I$89,3,0)*0.475*44/12</f>
        <v>1.3073169436909031E-4</v>
      </c>
      <c r="EY121" s="22">
        <f t="shared" si="75"/>
        <v>37.761715985721864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>
        <f>FE121*VLOOKUP('Données projet'!$B$16,Paramètres!$A$1:$I$89,3,0)*VLOOKUP('Données projet'!$B$16,Paramètres!$A$1:$I$89,5,0)</f>
        <v>0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359.57284550600366</v>
      </c>
      <c r="FK121" s="59">
        <f t="shared" si="102"/>
        <v>351.38386928091433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20.260348327725676</v>
      </c>
      <c r="FR121" s="21">
        <f>EXP(-LN(2)/25)*FR120+(1-EXP(-LN(2)/25))/(LN(2)/25)*Calculateur!FM121*Calculateur!FO121*VLOOKUP('Données projet'!$B$16,Paramètres!$A$1:$I$89,3,0)*0.475*44/12</f>
        <v>14.803980836728407</v>
      </c>
      <c r="FS121" s="21">
        <f>EXP(-LN(2)/2)*FS120+(1-EXP(-LN(2)/2))/(LN(2)/2)*FM121*FP121*VLOOKUP('Données projet'!$B$16,Paramètres!$A$1:$I$89,3,0)*0.475*44/12</f>
        <v>1.2139371619986987E-4</v>
      </c>
      <c r="FT121" s="22">
        <f t="shared" si="78"/>
        <v>35.064450558170279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6">
        <f t="shared" si="56"/>
        <v>256.66666666666669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10.725999999999999</v>
      </c>
      <c r="N122" s="13">
        <f>IF('Données projet'!$A$36&gt;35,N121+M122-V121,IF(A122&lt;'Données projet'!$A$36,$K$205^A122,IF(A122='Données projet'!$A$36,'Données projet'!$B$36,N121+M122-V121)))</f>
        <v>554.27400000000011</v>
      </c>
      <c r="O122" s="13">
        <f>N122*VLOOKUP('Données projet'!$B$9,Paramètres!$A$1:$I$89,3,0)*VLOOKUP('Données projet'!$B$9,Paramètres!$A$1:$I$89,5,0)</f>
        <v>501.50711520000004</v>
      </c>
      <c r="P122" s="13">
        <f t="shared" si="87"/>
        <v>112.07710632845966</v>
      </c>
      <c r="Q122" s="20">
        <f t="shared" si="107"/>
        <v>1068.6591858287338</v>
      </c>
      <c r="R122" s="59">
        <f t="shared" si="55"/>
        <v>1361.9925191620671</v>
      </c>
      <c r="S122" s="59">
        <f ca="1">AVERAGE(OFFSET($R$3,0,0,'Données projet'!$E$9+1,1))-AVERAGE(OFFSET($H$3,0,0,'Données projet'!$E$9+1,1))</f>
        <v>695.0879239758051</v>
      </c>
      <c r="T122" s="59">
        <f t="shared" si="88"/>
        <v>226.22150997227476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48.578724724976944</v>
      </c>
      <c r="AA122" s="21">
        <f>EXP(-LN(2)/25)*AA121+(1-EXP(-LN(2)/25))/(LN(2)/25)*Calculateur!V122*Calculateur!X122*VLOOKUP('Données projet'!$B$9,Paramètres!$A$1:$I$89,3,0)*0.475*44/12</f>
        <v>25.538129341237983</v>
      </c>
      <c r="AB122" s="21">
        <f>EXP(-LN(2)/2)*AB121+(1-EXP(-LN(2)/2))/(LN(2)/2)*V122*Y122*VLOOKUP('Données projet'!$B$9,Paramètres!$A$1:$I$89,3,0)*0.475*44/12</f>
        <v>2.6707675290943758E-4</v>
      </c>
      <c r="AC122" s="22">
        <f t="shared" si="57"/>
        <v>74.117121142967832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1.1368683772161603E-13</v>
      </c>
      <c r="AJ122" s="13">
        <f>AI122*VLOOKUP('Données projet'!$B$10,Paramètres!$A$1:$I$89,3,0)*VLOOKUP('Données projet'!$B$10,Paramètres!$A$1:$I$89,5,0)</f>
        <v>6.7984728957526396E-14</v>
      </c>
      <c r="AK122" s="13">
        <f t="shared" si="89"/>
        <v>1.0682447123141398E-12</v>
      </c>
      <c r="AL122" s="20">
        <f t="shared" si="58"/>
        <v>1.978932943548152E-12</v>
      </c>
      <c r="AM122" s="59">
        <f t="shared" si="59"/>
        <v>293.3333333333353</v>
      </c>
      <c r="AN122" s="59">
        <f ca="1">AVERAGE(OFFSET($AM$3,0,0,'Données projet'!$E$10+1,1))-AVERAGE(OFFSET($H$3,0,0,'Données projet'!$E$10+1,1))</f>
        <v>388.12151914648013</v>
      </c>
      <c r="AO122" s="59">
        <f t="shared" si="90"/>
        <v>481.43684454382793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51.123062586201527</v>
      </c>
      <c r="AV122" s="21">
        <f>EXP(-LN(2)/25)*AV121+(1-EXP(-LN(2)/25))/(LN(2)/25)*Calculateur!AQ122*Calculateur!AS122*VLOOKUP('Données projet'!$B$10,Paramètres!$A$1:$I$89,3,0)*0.475*44/12</f>
        <v>10.751554451749755</v>
      </c>
      <c r="AW122" s="21">
        <f>EXP(-LN(2)/2)*AW121+(1-EXP(-LN(2)/2))/(LN(2)/2)*AQ122*AT122*VLOOKUP('Données projet'!$B$10,Paramètres!$A$1:$I$89,3,0)*0.475*44/12</f>
        <v>2.5454165069333863E-8</v>
      </c>
      <c r="AX122" s="21">
        <f t="shared" si="60"/>
        <v>61.874617063405445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415.24818074059294</v>
      </c>
      <c r="BJ122" s="59">
        <f t="shared" si="92"/>
        <v>404.45811532046872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23.300891740986252</v>
      </c>
      <c r="BQ122" s="21">
        <f>EXP(-LN(2)/25)*BQ121+(1-EXP(-LN(2)/25))/(LN(2)/25)*Calculateur!BL122*Calculateur!BN122*VLOOKUP('Données projet'!$B$11,Paramètres!$A$1:$I$89,3,0)*0.475*44/12</f>
        <v>16.891328410320657</v>
      </c>
      <c r="BR122" s="21">
        <f>EXP(-LN(2)/2)*BR121+(1-EXP(-LN(2)/2))/(LN(2)/2)*BL122*BO122*VLOOKUP('Données projet'!$B$11,Paramètres!$A$1:$I$89,3,0)*0.475*44/12</f>
        <v>1.0069495221192583E-4</v>
      </c>
      <c r="BS122" s="22">
        <f t="shared" si="63"/>
        <v>40.192320846259122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384.34044781465661</v>
      </c>
      <c r="CE122" s="59">
        <f t="shared" si="94"/>
        <v>374.99493809709708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26.365629693956269</v>
      </c>
      <c r="CL122" s="21">
        <f>EXP(-LN(2)/25)*CL121+(1-EXP(-LN(2)/25))/(LN(2)/25)*Calculateur!CG122*Calculateur!CI122*VLOOKUP('Données projet'!$B$12,Paramètres!$A$1:$I$89,3,0)*0.475*44/12</f>
        <v>19.113024293492845</v>
      </c>
      <c r="CM122" s="21">
        <f>EXP(-LN(2)/2)*CM121+(1-EXP(-LN(2)/2))/(LN(2)/2)*CG122*CJ122*VLOOKUP('Données projet'!$B$12,Paramètres!$A$1:$I$89,3,0)*0.475*44/12</f>
        <v>9.2441267604390949E-5</v>
      </c>
      <c r="CN122" s="22">
        <f t="shared" si="66"/>
        <v>45.478746428716718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5.6843418860808015E-13</v>
      </c>
      <c r="CU122" s="17">
        <f>CT122*VLOOKUP('Données projet'!$B$13,Paramètres!$A$1:$I$89,3,0)*VLOOKUP('Données projet'!$B$13,Paramètres!$A$1:$I$89,5,0)</f>
        <v>3.177547114319168E-13</v>
      </c>
      <c r="CV122" s="13">
        <f t="shared" si="95"/>
        <v>4.1725404435445377E-12</v>
      </c>
      <c r="CW122" s="20">
        <f t="shared" si="67"/>
        <v>7.820597394917325E-12</v>
      </c>
      <c r="CX122" s="59">
        <f t="shared" si="68"/>
        <v>293.33333333334116</v>
      </c>
      <c r="CY122" s="59">
        <f ca="1">AVERAGE(OFFSET($CX$3,0,0,'Données projet'!$E$13+1,1))-AVERAGE(OFFSET($H$3,0,0,'Données projet'!$E$13+1,1))</f>
        <v>386.66324266750968</v>
      </c>
      <c r="CZ122" s="59">
        <f t="shared" si="96"/>
        <v>356.22149461585769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87.437413544270228</v>
      </c>
      <c r="DG122" s="21">
        <f>EXP(-LN(2)/25)*DG121+(1-EXP(-LN(2)/25))/(LN(2)/25)*Calculateur!DB122*Calculateur!DD122*VLOOKUP('Données projet'!$B$13,Paramètres!$A$1:$I$89,3,0)*0.475*44/12</f>
        <v>19.728821981940506</v>
      </c>
      <c r="DH122" s="21">
        <f>EXP(-LN(2)/2)*DH121+(1-EXP(-LN(2)/2))/(LN(2)/2)*DB122*DE122*VLOOKUP('Données projet'!$B$13,Paramètres!$A$1:$I$89,3,0)*0.475*44/12</f>
        <v>3.1823198953695154E-6</v>
      </c>
      <c r="DI122" s="22">
        <f t="shared" si="69"/>
        <v>107.16623870853063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>
        <f>DO122*VLOOKUP('Données projet'!$B$14,Paramètres!$A$1:$I$89,3,0)*VLOOKUP('Données projet'!$B$14,Paramètres!$A$1:$I$89,5,0)</f>
        <v>0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347.17417070871716</v>
      </c>
      <c r="DU122" s="59">
        <f t="shared" si="98"/>
        <v>339.56378046986441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19.099091590972343</v>
      </c>
      <c r="EB122" s="21">
        <f>EXP(-LN(2)/25)*EB121+(1-EXP(-LN(2)/25))/(LN(2)/25)*Calculateur!DW122*Calculateur!DY122*VLOOKUP('Données projet'!$B$14,Paramètres!$A$1:$I$89,3,0)*0.475*44/12</f>
        <v>13.845351156000534</v>
      </c>
      <c r="EC122" s="21">
        <f>EXP(-LN(2)/2)*EC121+(1-EXP(-LN(2)/2))/(LN(2)/2)*DW122*DZ122*VLOOKUP('Données projet'!$B$14,Paramètres!$A$1:$I$89,3,0)*0.475*44/12</f>
        <v>8.253684607534921E-5</v>
      </c>
      <c r="ED122" s="22">
        <f t="shared" si="72"/>
        <v>32.944525283818948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>
        <f>EJ122*VLOOKUP('Données projet'!$B$15,Paramètres!$A$1:$I$89,3,0)*VLOOKUP('Données projet'!$B$15,Paramètres!$A$1:$I$89,5,0)</f>
        <v>0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384.34044781465661</v>
      </c>
      <c r="EP122" s="59">
        <f t="shared" si="100"/>
        <v>374.99493809709708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21.390982581889038</v>
      </c>
      <c r="EW122" s="21">
        <f>EXP(-LN(2)/25)*EW121+(1-EXP(-LN(2)/25))/(LN(2)/25)*Calculateur!ER122*Calculateur!ET122*VLOOKUP('Données projet'!$B$15,Paramètres!$A$1:$I$89,3,0)*0.475*44/12</f>
        <v>15.506793294720611</v>
      </c>
      <c r="EX122" s="21">
        <f>EXP(-LN(2)/2)*EX121+(1-EXP(-LN(2)/2))/(LN(2)/2)*ER122*EU122*VLOOKUP('Données projet'!$B$15,Paramètres!$A$1:$I$89,3,0)*0.475*44/12</f>
        <v>9.2441267604390949E-5</v>
      </c>
      <c r="EY122" s="22">
        <f t="shared" si="75"/>
        <v>36.897868317877254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>
        <f>FE122*VLOOKUP('Données projet'!$B$16,Paramètres!$A$1:$I$89,3,0)*VLOOKUP('Données projet'!$B$16,Paramètres!$A$1:$I$89,5,0)</f>
        <v>0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359.57284550600366</v>
      </c>
      <c r="FK122" s="59">
        <f t="shared" si="102"/>
        <v>351.38386928091433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19.863055254611243</v>
      </c>
      <c r="FR122" s="21">
        <f>EXP(-LN(2)/25)*FR121+(1-EXP(-LN(2)/25))/(LN(2)/25)*Calculateur!FM122*Calculateur!FO122*VLOOKUP('Données projet'!$B$16,Paramètres!$A$1:$I$89,3,0)*0.475*44/12</f>
        <v>14.399165202240551</v>
      </c>
      <c r="FS122" s="21">
        <f>EXP(-LN(2)/2)*FS121+(1-EXP(-LN(2)/2))/(LN(2)/2)*FM122*FP122*VLOOKUP('Données projet'!$B$16,Paramètres!$A$1:$I$89,3,0)*0.475*44/12</f>
        <v>8.5838319918363245E-5</v>
      </c>
      <c r="FT122" s="22">
        <f t="shared" si="78"/>
        <v>34.262306295171712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6">
        <f t="shared" si="56"/>
        <v>256.66666666666669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565</v>
      </c>
      <c r="L123" s="12">
        <f>VLOOKUP(A123,'Données projet'!$A$35:$I$55,9,0)</f>
        <v>10.725999999999999</v>
      </c>
      <c r="M123" s="12">
        <f t="array" ref="M123">INDEX(L:L,MIN(IF(ISNUMBER(L123:L319),ROW(L123:L319),"")))</f>
        <v>10.725999999999999</v>
      </c>
      <c r="N123" s="13">
        <f>IF('Données projet'!$A$36&gt;35,N122+M123-V122,IF(A123&lt;'Données projet'!$A$36,$K$205^A123,IF(A123='Données projet'!$A$36,'Données projet'!$B$36,N122+M123-V122)))</f>
        <v>565.00000000000011</v>
      </c>
      <c r="O123" s="13">
        <f>N123*VLOOKUP('Données projet'!$B$9,Paramètres!$A$1:$I$89,3,0)*VLOOKUP('Données projet'!$B$9,Paramètres!$A$1:$I$89,5,0)</f>
        <v>511.2120000000001</v>
      </c>
      <c r="P123" s="13">
        <f t="shared" si="87"/>
        <v>113.9913622158443</v>
      </c>
      <c r="Q123" s="20">
        <f t="shared" si="107"/>
        <v>1088.8958558592624</v>
      </c>
      <c r="R123" s="59">
        <f t="shared" si="55"/>
        <v>1382.2291891925956</v>
      </c>
      <c r="S123" s="59">
        <f ca="1">AVERAGE(OFFSET($R$3,0,0,'Données projet'!$E$9+1,1))-AVERAGE(OFFSET($H$3,0,0,'Données projet'!$E$9+1,1))</f>
        <v>695.0879239758051</v>
      </c>
      <c r="T123" s="59">
        <f t="shared" si="88"/>
        <v>226.22150997227476</v>
      </c>
      <c r="U123" s="15">
        <f>IF(ISNA(VLOOKUP(A123,'Données projet'!$A$35:$I$55,3,0)),0,VLOOKUP(A123,'Données projet'!$A$35:$I$55,3,0))</f>
        <v>11</v>
      </c>
      <c r="V123" s="15">
        <f>IF(ISNA(VLOOKUP(A123,'Données projet'!$A$35:$I$55,4,0)),0,VLOOKUP(A123,'Données projet'!$A$35:$I$55,4,0))</f>
        <v>66.050000000000011</v>
      </c>
      <c r="W123" s="16">
        <f>IF(ISNA(VLOOKUP(A123,'Données projet'!$A$35:$I$55,5,0)),0%,VLOOKUP(A123,'Données projet'!$A$35:$I$55,5,0)*VLOOKUP('Données projet'!$B$9,Paramètres!$A$1:$I$89,7,0))</f>
        <v>0.215</v>
      </c>
      <c r="X123" s="16">
        <f>IF(ISNA(VLOOKUP(A123,'Données projet'!$A$35:$I$55,6,0)),0%,VLOOKUP(A123,'Données projet'!$A$35:$I$55,6,0)*VLOOKUP('Données projet'!$B$9,Paramètres!$A$1:$I$89,7,0))</f>
        <v>8.6000000000000007E-2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61.830136046916117</v>
      </c>
      <c r="AA123" s="21">
        <f>EXP(-LN(2)/25)*AA122+(1-EXP(-LN(2)/25))/(LN(2)/25)*Calculateur!V123*Calculateur!X123*VLOOKUP('Données projet'!$B$9,Paramètres!$A$1:$I$89,3,0)*0.475*44/12</f>
        <v>30.499021404319176</v>
      </c>
      <c r="AB123" s="21">
        <f>EXP(-LN(2)/2)*AB122+(1-EXP(-LN(2)/2))/(LN(2)/2)*V123*Y123*VLOOKUP('Données projet'!$B$9,Paramètres!$A$1:$I$89,3,0)*0.475*44/12</f>
        <v>1.888517830795473E-4</v>
      </c>
      <c r="AC123" s="22">
        <f t="shared" si="57"/>
        <v>92.329346303018369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1.1368683772161603E-13</v>
      </c>
      <c r="AJ123" s="13">
        <f>AI123*VLOOKUP('Données projet'!$B$10,Paramètres!$A$1:$I$89,3,0)*VLOOKUP('Données projet'!$B$10,Paramètres!$A$1:$I$89,5,0)</f>
        <v>6.7984728957526396E-14</v>
      </c>
      <c r="AK123" s="13">
        <f t="shared" si="89"/>
        <v>1.0682447123141398E-12</v>
      </c>
      <c r="AL123" s="20">
        <f t="shared" si="58"/>
        <v>1.978932943548152E-12</v>
      </c>
      <c r="AM123" s="59">
        <f t="shared" si="59"/>
        <v>293.3333333333353</v>
      </c>
      <c r="AN123" s="59">
        <f ca="1">AVERAGE(OFFSET($AM$3,0,0,'Données projet'!$E$10+1,1))-AVERAGE(OFFSET($H$3,0,0,'Données projet'!$E$10+1,1))</f>
        <v>388.12151914648013</v>
      </c>
      <c r="AO123" s="59">
        <f t="shared" si="90"/>
        <v>481.43684454382793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50.120570510875325</v>
      </c>
      <c r="AV123" s="21">
        <f>EXP(-LN(2)/25)*AV122+(1-EXP(-LN(2)/25))/(LN(2)/25)*Calculateur!AQ123*Calculateur!AS123*VLOOKUP('Données projet'!$B$10,Paramètres!$A$1:$I$89,3,0)*0.475*44/12</f>
        <v>10.457552629866981</v>
      </c>
      <c r="AW123" s="21">
        <f>EXP(-LN(2)/2)*AW122+(1-EXP(-LN(2)/2))/(LN(2)/2)*AQ123*AT123*VLOOKUP('Données projet'!$B$10,Paramètres!$A$1:$I$89,3,0)*0.475*44/12</f>
        <v>1.7998812729967721E-8</v>
      </c>
      <c r="AX123" s="21">
        <f t="shared" si="60"/>
        <v>60.578123158741121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415.24818074059294</v>
      </c>
      <c r="BJ123" s="59">
        <f t="shared" si="92"/>
        <v>404.45811532046872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22.843975466086142</v>
      </c>
      <c r="BQ123" s="21">
        <f>EXP(-LN(2)/25)*BQ122+(1-EXP(-LN(2)/25))/(LN(2)/25)*Calculateur!BL123*Calculateur!BN123*VLOOKUP('Données projet'!$B$11,Paramètres!$A$1:$I$89,3,0)*0.475*44/12</f>
        <v>16.429434146664082</v>
      </c>
      <c r="BR123" s="21">
        <f>EXP(-LN(2)/2)*BR122+(1-EXP(-LN(2)/2))/(LN(2)/2)*BL123*BO123*VLOOKUP('Données projet'!$B$11,Paramètres!$A$1:$I$89,3,0)*0.475*44/12</f>
        <v>7.1202083540308094E-5</v>
      </c>
      <c r="BS123" s="22">
        <f t="shared" si="63"/>
        <v>39.273480814833768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384.34044781465661</v>
      </c>
      <c r="CE123" s="59">
        <f t="shared" si="94"/>
        <v>374.99493809709708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25.848615777103987</v>
      </c>
      <c r="CL123" s="21">
        <f>EXP(-LN(2)/25)*CL122+(1-EXP(-LN(2)/25))/(LN(2)/25)*Calculateur!CG123*Calculateur!CI123*VLOOKUP('Données projet'!$B$12,Paramètres!$A$1:$I$89,3,0)*0.475*44/12</f>
        <v>18.590377639077019</v>
      </c>
      <c r="CM123" s="21">
        <f>EXP(-LN(2)/2)*CM122+(1-EXP(-LN(2)/2))/(LN(2)/2)*CG123*CJ123*VLOOKUP('Données projet'!$B$12,Paramètres!$A$1:$I$89,3,0)*0.475*44/12</f>
        <v>6.5365847184545154E-5</v>
      </c>
      <c r="CN123" s="22">
        <f t="shared" si="66"/>
        <v>44.439058782028191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5.6843418860808015E-13</v>
      </c>
      <c r="CU123" s="17">
        <f>CT123*VLOOKUP('Données projet'!$B$13,Paramètres!$A$1:$I$89,3,0)*VLOOKUP('Données projet'!$B$13,Paramètres!$A$1:$I$89,5,0)</f>
        <v>3.177547114319168E-13</v>
      </c>
      <c r="CV123" s="13">
        <f t="shared" si="95"/>
        <v>4.1725404435445377E-12</v>
      </c>
      <c r="CW123" s="20">
        <f t="shared" si="67"/>
        <v>7.820597394917325E-12</v>
      </c>
      <c r="CX123" s="59">
        <f t="shared" si="68"/>
        <v>293.33333333334116</v>
      </c>
      <c r="CY123" s="59">
        <f ca="1">AVERAGE(OFFSET($CX$3,0,0,'Données projet'!$E$13+1,1))-AVERAGE(OFFSET($H$3,0,0,'Données projet'!$E$13+1,1))</f>
        <v>386.66324266750968</v>
      </c>
      <c r="CZ123" s="59">
        <f t="shared" si="96"/>
        <v>356.22149461585769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85.722819196223298</v>
      </c>
      <c r="DG123" s="21">
        <f>EXP(-LN(2)/25)*DG122+(1-EXP(-LN(2)/25))/(LN(2)/25)*Calculateur!DB123*Calculateur!DD123*VLOOKUP('Données projet'!$B$13,Paramètres!$A$1:$I$89,3,0)*0.475*44/12</f>
        <v>19.189336307350686</v>
      </c>
      <c r="DH123" s="21">
        <f>EXP(-LN(2)/2)*DH122+(1-EXP(-LN(2)/2))/(LN(2)/2)*DB123*DE123*VLOOKUP('Données projet'!$B$13,Paramètres!$A$1:$I$89,3,0)*0.475*44/12</f>
        <v>2.2502399779206487E-6</v>
      </c>
      <c r="DI123" s="22">
        <f t="shared" si="69"/>
        <v>104.91215775381396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>
        <f>DO123*VLOOKUP('Données projet'!$B$14,Paramètres!$A$1:$I$89,3,0)*VLOOKUP('Données projet'!$B$14,Paramètres!$A$1:$I$89,5,0)</f>
        <v>0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347.17417070871716</v>
      </c>
      <c r="DU123" s="59">
        <f t="shared" si="98"/>
        <v>339.56378046986441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18.724570054168971</v>
      </c>
      <c r="EB123" s="21">
        <f>EXP(-LN(2)/25)*EB122+(1-EXP(-LN(2)/25))/(LN(2)/25)*Calculateur!DW123*Calculateur!DY123*VLOOKUP('Données projet'!$B$14,Paramètres!$A$1:$I$89,3,0)*0.475*44/12</f>
        <v>13.466749300544326</v>
      </c>
      <c r="EC123" s="21">
        <f>EXP(-LN(2)/2)*EC122+(1-EXP(-LN(2)/2))/(LN(2)/2)*DW123*DZ123*VLOOKUP('Données projet'!$B$14,Paramètres!$A$1:$I$89,3,0)*0.475*44/12</f>
        <v>5.8362363557629708E-5</v>
      </c>
      <c r="ED123" s="22">
        <f t="shared" si="72"/>
        <v>32.191377717076861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>
        <f>EJ123*VLOOKUP('Données projet'!$B$15,Paramètres!$A$1:$I$89,3,0)*VLOOKUP('Données projet'!$B$15,Paramètres!$A$1:$I$89,5,0)</f>
        <v>0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384.34044781465661</v>
      </c>
      <c r="EP123" s="59">
        <f t="shared" si="100"/>
        <v>374.99493809709708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20.971518460669262</v>
      </c>
      <c r="EW123" s="21">
        <f>EXP(-LN(2)/25)*EW122+(1-EXP(-LN(2)/25))/(LN(2)/25)*Calculateur!ER123*Calculateur!ET123*VLOOKUP('Données projet'!$B$15,Paramètres!$A$1:$I$89,3,0)*0.475*44/12</f>
        <v>15.082759216609658</v>
      </c>
      <c r="EX123" s="21">
        <f>EXP(-LN(2)/2)*EX122+(1-EXP(-LN(2)/2))/(LN(2)/2)*ER123*EU123*VLOOKUP('Données projet'!$B$15,Paramètres!$A$1:$I$89,3,0)*0.475*44/12</f>
        <v>6.5365847184545154E-5</v>
      </c>
      <c r="EY123" s="22">
        <f t="shared" si="75"/>
        <v>36.054343043126103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>
        <f>FE123*VLOOKUP('Données projet'!$B$16,Paramètres!$A$1:$I$89,3,0)*VLOOKUP('Données projet'!$B$16,Paramètres!$A$1:$I$89,5,0)</f>
        <v>0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359.57284550600366</v>
      </c>
      <c r="FK123" s="59">
        <f t="shared" si="102"/>
        <v>351.38386928091433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19.47355285633574</v>
      </c>
      <c r="FR123" s="21">
        <f>EXP(-LN(2)/25)*FR122+(1-EXP(-LN(2)/25))/(LN(2)/25)*Calculateur!FM123*Calculateur!FO123*VLOOKUP('Données projet'!$B$16,Paramètres!$A$1:$I$89,3,0)*0.475*44/12</f>
        <v>14.005419272566096</v>
      </c>
      <c r="FS123" s="21">
        <f>EXP(-LN(2)/2)*FS122+(1-EXP(-LN(2)/2))/(LN(2)/2)*FM123*FP123*VLOOKUP('Données projet'!$B$16,Paramètres!$A$1:$I$89,3,0)*0.475*44/12</f>
        <v>6.0696858099934949E-5</v>
      </c>
      <c r="FT123" s="22">
        <f t="shared" si="78"/>
        <v>33.479032825759937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6">
        <f t="shared" si="56"/>
        <v>256.66666666666669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10.745999999999999</v>
      </c>
      <c r="N124" s="13">
        <f>IF('Données projet'!$A$36&gt;35,N123+M124-V123,IF(A124&lt;'Données projet'!$A$36,$K$205^A124,IF(A124='Données projet'!$A$36,'Données projet'!$B$36,N123+M124-V123)))</f>
        <v>509.69600000000008</v>
      </c>
      <c r="O124" s="13">
        <f>N124*VLOOKUP('Données projet'!$B$9,Paramètres!$A$1:$I$89,3,0)*VLOOKUP('Données projet'!$B$9,Paramètres!$A$1:$I$89,5,0)</f>
        <v>461.17294080000005</v>
      </c>
      <c r="P124" s="13">
        <f t="shared" si="87"/>
        <v>104.07397295861892</v>
      </c>
      <c r="Q124" s="20">
        <f t="shared" si="107"/>
        <v>984.47170812959484</v>
      </c>
      <c r="R124" s="59">
        <f t="shared" si="55"/>
        <v>1277.8050414629281</v>
      </c>
      <c r="S124" s="59">
        <f ca="1">AVERAGE(OFFSET($R$3,0,0,'Données projet'!$E$9+1,1))-AVERAGE(OFFSET($H$3,0,0,'Données projet'!$E$9+1,1))</f>
        <v>695.0879239758051</v>
      </c>
      <c r="T124" s="59">
        <f t="shared" si="88"/>
        <v>226.22150997227476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60.617684791695261</v>
      </c>
      <c r="AA124" s="21">
        <f>EXP(-LN(2)/25)*AA123+(1-EXP(-LN(2)/25))/(LN(2)/25)*Calculateur!V124*Calculateur!X124*VLOOKUP('Données projet'!$B$9,Paramètres!$A$1:$I$89,3,0)*0.475*44/12</f>
        <v>29.665024060144241</v>
      </c>
      <c r="AB124" s="21">
        <f>EXP(-LN(2)/2)*AB123+(1-EXP(-LN(2)/2))/(LN(2)/2)*V124*Y124*VLOOKUP('Données projet'!$B$9,Paramètres!$A$1:$I$89,3,0)*0.475*44/12</f>
        <v>1.3353837645471879E-4</v>
      </c>
      <c r="AC124" s="22">
        <f t="shared" si="57"/>
        <v>90.282842390215961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1.1368683772161603E-13</v>
      </c>
      <c r="AJ124" s="13">
        <f>AI124*VLOOKUP('Données projet'!$B$10,Paramètres!$A$1:$I$89,3,0)*VLOOKUP('Données projet'!$B$10,Paramètres!$A$1:$I$89,5,0)</f>
        <v>6.7984728957526396E-14</v>
      </c>
      <c r="AK124" s="13">
        <f t="shared" si="89"/>
        <v>1.0682447123141398E-12</v>
      </c>
      <c r="AL124" s="20">
        <f t="shared" si="58"/>
        <v>1.978932943548152E-12</v>
      </c>
      <c r="AM124" s="59">
        <f t="shared" si="59"/>
        <v>293.3333333333353</v>
      </c>
      <c r="AN124" s="59">
        <f ca="1">AVERAGE(OFFSET($AM$3,0,0,'Données projet'!$E$10+1,1))-AVERAGE(OFFSET($H$3,0,0,'Données projet'!$E$10+1,1))</f>
        <v>388.12151914648013</v>
      </c>
      <c r="AO124" s="59">
        <f t="shared" si="90"/>
        <v>481.43684454382793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49.137736693686485</v>
      </c>
      <c r="AV124" s="21">
        <f>EXP(-LN(2)/25)*AV123+(1-EXP(-LN(2)/25))/(LN(2)/25)*Calculateur!AQ124*Calculateur!AS124*VLOOKUP('Données projet'!$B$10,Paramètres!$A$1:$I$89,3,0)*0.475*44/12</f>
        <v>10.171590303264477</v>
      </c>
      <c r="AW124" s="21">
        <f>EXP(-LN(2)/2)*AW123+(1-EXP(-LN(2)/2))/(LN(2)/2)*AQ124*AT124*VLOOKUP('Données projet'!$B$10,Paramètres!$A$1:$I$89,3,0)*0.475*44/12</f>
        <v>1.2727082534666931E-8</v>
      </c>
      <c r="AX124" s="21">
        <f t="shared" si="60"/>
        <v>59.309327009678043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415.24818074059294</v>
      </c>
      <c r="BJ124" s="59">
        <f t="shared" si="92"/>
        <v>404.45811532046872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22.396019040645413</v>
      </c>
      <c r="BQ124" s="21">
        <f>EXP(-LN(2)/25)*BQ123+(1-EXP(-LN(2)/25))/(LN(2)/25)*Calculateur!BL124*Calculateur!BN124*VLOOKUP('Données projet'!$B$11,Paramètres!$A$1:$I$89,3,0)*0.475*44/12</f>
        <v>15.980170405937161</v>
      </c>
      <c r="BR124" s="21">
        <f>EXP(-LN(2)/2)*BR123+(1-EXP(-LN(2)/2))/(LN(2)/2)*BL124*BO124*VLOOKUP('Données projet'!$B$11,Paramètres!$A$1:$I$89,3,0)*0.475*44/12</f>
        <v>5.0347476105962913E-5</v>
      </c>
      <c r="BS124" s="22">
        <f t="shared" si="63"/>
        <v>38.376239794058677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384.34044781465661</v>
      </c>
      <c r="CE124" s="59">
        <f t="shared" si="94"/>
        <v>374.99493809709708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25.34174018781383</v>
      </c>
      <c r="CL124" s="21">
        <f>EXP(-LN(2)/25)*CL123+(1-EXP(-LN(2)/25))/(LN(2)/25)*Calculateur!CG124*Calculateur!CI124*VLOOKUP('Données projet'!$B$12,Paramètres!$A$1:$I$89,3,0)*0.475*44/12</f>
        <v>18.082022784910986</v>
      </c>
      <c r="CM124" s="21">
        <f>EXP(-LN(2)/2)*CM123+(1-EXP(-LN(2)/2))/(LN(2)/2)*CG124*CJ124*VLOOKUP('Données projet'!$B$12,Paramètres!$A$1:$I$89,3,0)*0.475*44/12</f>
        <v>4.6220633802195475E-5</v>
      </c>
      <c r="CN124" s="22">
        <f t="shared" si="66"/>
        <v>43.423809193358622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5.6843418860808015E-13</v>
      </c>
      <c r="CU124" s="17">
        <f>CT124*VLOOKUP('Données projet'!$B$13,Paramètres!$A$1:$I$89,3,0)*VLOOKUP('Données projet'!$B$13,Paramètres!$A$1:$I$89,5,0)</f>
        <v>3.177547114319168E-13</v>
      </c>
      <c r="CV124" s="13">
        <f t="shared" si="95"/>
        <v>4.1725404435445377E-12</v>
      </c>
      <c r="CW124" s="20">
        <f t="shared" si="67"/>
        <v>7.820597394917325E-12</v>
      </c>
      <c r="CX124" s="59">
        <f t="shared" si="68"/>
        <v>293.33333333334116</v>
      </c>
      <c r="CY124" s="59">
        <f ca="1">AVERAGE(OFFSET($CX$3,0,0,'Données projet'!$E$13+1,1))-AVERAGE(OFFSET($H$3,0,0,'Données projet'!$E$13+1,1))</f>
        <v>386.66324266750968</v>
      </c>
      <c r="CZ124" s="59">
        <f t="shared" si="96"/>
        <v>356.22149461585769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84.041846997542279</v>
      </c>
      <c r="DG124" s="21">
        <f>EXP(-LN(2)/25)*DG123+(1-EXP(-LN(2)/25))/(LN(2)/25)*Calculateur!DB124*Calculateur!DD124*VLOOKUP('Données projet'!$B$13,Paramètres!$A$1:$I$89,3,0)*0.475*44/12</f>
        <v>18.664602896902842</v>
      </c>
      <c r="DH124" s="21">
        <f>EXP(-LN(2)/2)*DH123+(1-EXP(-LN(2)/2))/(LN(2)/2)*DB124*DE124*VLOOKUP('Données projet'!$B$13,Paramètres!$A$1:$I$89,3,0)*0.475*44/12</f>
        <v>1.5911599476847577E-6</v>
      </c>
      <c r="DI124" s="22">
        <f t="shared" si="69"/>
        <v>102.70645148560506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>
        <f>DO124*VLOOKUP('Données projet'!$B$14,Paramètres!$A$1:$I$89,3,0)*VLOOKUP('Données projet'!$B$14,Paramètres!$A$1:$I$89,5,0)</f>
        <v>0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347.17417070871716</v>
      </c>
      <c r="DU124" s="59">
        <f t="shared" si="98"/>
        <v>339.56378046986441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18.357392656266736</v>
      </c>
      <c r="EB124" s="21">
        <f>EXP(-LN(2)/25)*EB123+(1-EXP(-LN(2)/25))/(LN(2)/25)*Calculateur!DW124*Calculateur!DY124*VLOOKUP('Données projet'!$B$14,Paramètres!$A$1:$I$89,3,0)*0.475*44/12</f>
        <v>13.098500332735373</v>
      </c>
      <c r="EC124" s="21">
        <f>EXP(-LN(2)/2)*EC123+(1-EXP(-LN(2)/2))/(LN(2)/2)*DW124*DZ124*VLOOKUP('Données projet'!$B$14,Paramètres!$A$1:$I$89,3,0)*0.475*44/12</f>
        <v>4.1268423037674605E-5</v>
      </c>
      <c r="ED124" s="22">
        <f t="shared" si="72"/>
        <v>31.455934257425145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>
        <f>EJ124*VLOOKUP('Données projet'!$B$15,Paramètres!$A$1:$I$89,3,0)*VLOOKUP('Données projet'!$B$15,Paramètres!$A$1:$I$89,5,0)</f>
        <v>0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384.34044781465661</v>
      </c>
      <c r="EP124" s="59">
        <f t="shared" si="100"/>
        <v>374.99493809709708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20.560279775018756</v>
      </c>
      <c r="EW124" s="21">
        <f>EXP(-LN(2)/25)*EW123+(1-EXP(-LN(2)/25))/(LN(2)/25)*Calculateur!ER124*Calculateur!ET124*VLOOKUP('Données projet'!$B$15,Paramètres!$A$1:$I$89,3,0)*0.475*44/12</f>
        <v>14.670320372663632</v>
      </c>
      <c r="EX124" s="21">
        <f>EXP(-LN(2)/2)*EX123+(1-EXP(-LN(2)/2))/(LN(2)/2)*ER124*EU124*VLOOKUP('Données projet'!$B$15,Paramètres!$A$1:$I$89,3,0)*0.475*44/12</f>
        <v>4.6220633802195475E-5</v>
      </c>
      <c r="EY124" s="22">
        <f t="shared" si="75"/>
        <v>35.230646368316194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>
        <f>FE124*VLOOKUP('Données projet'!$B$16,Paramètres!$A$1:$I$89,3,0)*VLOOKUP('Données projet'!$B$16,Paramètres!$A$1:$I$89,5,0)</f>
        <v>0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359.57284550600366</v>
      </c>
      <c r="FK124" s="59">
        <f t="shared" si="102"/>
        <v>351.38386928091433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19.091688362517413</v>
      </c>
      <c r="FR124" s="21">
        <f>EXP(-LN(2)/25)*FR123+(1-EXP(-LN(2)/25))/(LN(2)/25)*Calculateur!FM124*Calculateur!FO124*VLOOKUP('Données projet'!$B$16,Paramètres!$A$1:$I$89,3,0)*0.475*44/12</f>
        <v>13.622440346044787</v>
      </c>
      <c r="FS124" s="21">
        <f>EXP(-LN(2)/2)*FS123+(1-EXP(-LN(2)/2))/(LN(2)/2)*FM124*FP124*VLOOKUP('Données projet'!$B$16,Paramètres!$A$1:$I$89,3,0)*0.475*44/12</f>
        <v>4.2919159959181629E-5</v>
      </c>
      <c r="FT124" s="22">
        <f t="shared" si="78"/>
        <v>32.714171627722159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6">
        <f t="shared" si="56"/>
        <v>256.66666666666669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10.745999999999999</v>
      </c>
      <c r="N125" s="13">
        <f>IF('Données projet'!$A$36&gt;35,N124+M125-V124,IF(A125&lt;'Données projet'!$A$36,$K$205^A125,IF(A125='Données projet'!$A$36,'Données projet'!$B$36,N124+M125-V124)))</f>
        <v>520.44200000000012</v>
      </c>
      <c r="O125" s="13">
        <f>N125*VLOOKUP('Données projet'!$B$9,Paramètres!$A$1:$I$89,3,0)*VLOOKUP('Données projet'!$B$9,Paramètres!$A$1:$I$89,5,0)</f>
        <v>470.89592160000012</v>
      </c>
      <c r="P125" s="13">
        <f t="shared" si="87"/>
        <v>106.0104143991686</v>
      </c>
      <c r="Q125" s="20">
        <f t="shared" si="107"/>
        <v>1004.7785351985522</v>
      </c>
      <c r="R125" s="59">
        <f t="shared" si="55"/>
        <v>1298.1118685318854</v>
      </c>
      <c r="S125" s="59">
        <f ca="1">AVERAGE(OFFSET($R$3,0,0,'Données projet'!$E$9+1,1))-AVERAGE(OFFSET($H$3,0,0,'Données projet'!$E$9+1,1))</f>
        <v>695.0879239758051</v>
      </c>
      <c r="T125" s="59">
        <f t="shared" si="88"/>
        <v>226.22150997227476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59.429008966067045</v>
      </c>
      <c r="AA125" s="21">
        <f>EXP(-LN(2)/25)*AA124+(1-EXP(-LN(2)/25))/(LN(2)/25)*Calculateur!V125*Calculateur!X125*VLOOKUP('Données projet'!$B$9,Paramètres!$A$1:$I$89,3,0)*0.475*44/12</f>
        <v>28.85383241720378</v>
      </c>
      <c r="AB125" s="21">
        <f>EXP(-LN(2)/2)*AB124+(1-EXP(-LN(2)/2))/(LN(2)/2)*V125*Y125*VLOOKUP('Données projet'!$B$9,Paramètres!$A$1:$I$89,3,0)*0.475*44/12</f>
        <v>9.4425891539773652E-5</v>
      </c>
      <c r="AC125" s="22">
        <f t="shared" si="57"/>
        <v>88.282935809162367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1.1368683772161603E-13</v>
      </c>
      <c r="AJ125" s="13">
        <f>AI125*VLOOKUP('Données projet'!$B$10,Paramètres!$A$1:$I$89,3,0)*VLOOKUP('Données projet'!$B$10,Paramètres!$A$1:$I$89,5,0)</f>
        <v>6.7984728957526396E-14</v>
      </c>
      <c r="AK125" s="13">
        <f t="shared" si="89"/>
        <v>1.0682447123141398E-12</v>
      </c>
      <c r="AL125" s="20">
        <f t="shared" si="58"/>
        <v>1.978932943548152E-12</v>
      </c>
      <c r="AM125" s="59">
        <f t="shared" si="59"/>
        <v>293.3333333333353</v>
      </c>
      <c r="AN125" s="59">
        <f ca="1">AVERAGE(OFFSET($AM$3,0,0,'Données projet'!$E$10+1,1))-AVERAGE(OFFSET($H$3,0,0,'Données projet'!$E$10+1,1))</f>
        <v>388.12151914648013</v>
      </c>
      <c r="AO125" s="59">
        <f t="shared" si="90"/>
        <v>481.43684454382793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48.174175648183279</v>
      </c>
      <c r="AV125" s="21">
        <f>EXP(-LN(2)/25)*AV124+(1-EXP(-LN(2)/25))/(LN(2)/25)*Calculateur!AQ125*Calculateur!AS125*VLOOKUP('Données projet'!$B$10,Paramètres!$A$1:$I$89,3,0)*0.475*44/12</f>
        <v>9.8934476315210222</v>
      </c>
      <c r="AW125" s="21">
        <f>EXP(-LN(2)/2)*AW124+(1-EXP(-LN(2)/2))/(LN(2)/2)*AQ125*AT125*VLOOKUP('Données projet'!$B$10,Paramètres!$A$1:$I$89,3,0)*0.475*44/12</f>
        <v>8.9994063649838603E-9</v>
      </c>
      <c r="AX125" s="21">
        <f t="shared" si="60"/>
        <v>58.067623288703707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415.24818074059294</v>
      </c>
      <c r="BJ125" s="59">
        <f t="shared" si="92"/>
        <v>404.45811532046872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21.956846767481135</v>
      </c>
      <c r="BQ125" s="21">
        <f>EXP(-LN(2)/25)*BQ124+(1-EXP(-LN(2)/25))/(LN(2)/25)*Calculateur!BL125*Calculateur!BN125*VLOOKUP('Données projet'!$B$11,Paramètres!$A$1:$I$89,3,0)*0.475*44/12</f>
        <v>15.54319180582617</v>
      </c>
      <c r="BR125" s="21">
        <f>EXP(-LN(2)/2)*BR124+(1-EXP(-LN(2)/2))/(LN(2)/2)*BL125*BO125*VLOOKUP('Données projet'!$B$11,Paramètres!$A$1:$I$89,3,0)*0.475*44/12</f>
        <v>3.5601041770154047E-5</v>
      </c>
      <c r="BS125" s="22">
        <f t="shared" si="63"/>
        <v>37.500074174349081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384.34044781465661</v>
      </c>
      <c r="CE125" s="59">
        <f t="shared" si="94"/>
        <v>374.99493809709708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24.844804119666069</v>
      </c>
      <c r="CL125" s="21">
        <f>EXP(-LN(2)/25)*CL124+(1-EXP(-LN(2)/25))/(LN(2)/25)*Calculateur!CG125*Calculateur!CI125*VLOOKUP('Données projet'!$B$12,Paramètres!$A$1:$I$89,3,0)*0.475*44/12</f>
        <v>17.587568920965346</v>
      </c>
      <c r="CM125" s="21">
        <f>EXP(-LN(2)/2)*CM124+(1-EXP(-LN(2)/2))/(LN(2)/2)*CG125*CJ125*VLOOKUP('Données projet'!$B$12,Paramètres!$A$1:$I$89,3,0)*0.475*44/12</f>
        <v>3.2682923592272577E-5</v>
      </c>
      <c r="CN125" s="22">
        <f t="shared" si="66"/>
        <v>42.432405723555007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5.6843418860808015E-13</v>
      </c>
      <c r="CU125" s="17">
        <f>CT125*VLOOKUP('Données projet'!$B$13,Paramètres!$A$1:$I$89,3,0)*VLOOKUP('Données projet'!$B$13,Paramètres!$A$1:$I$89,5,0)</f>
        <v>3.177547114319168E-13</v>
      </c>
      <c r="CV125" s="13">
        <f t="shared" si="95"/>
        <v>4.1725404435445377E-12</v>
      </c>
      <c r="CW125" s="20">
        <f t="shared" si="67"/>
        <v>7.820597394917325E-12</v>
      </c>
      <c r="CX125" s="59">
        <f t="shared" si="68"/>
        <v>293.33333333334116</v>
      </c>
      <c r="CY125" s="59">
        <f ca="1">AVERAGE(OFFSET($CX$3,0,0,'Données projet'!$E$13+1,1))-AVERAGE(OFFSET($H$3,0,0,'Données projet'!$E$13+1,1))</f>
        <v>386.66324266750968</v>
      </c>
      <c r="CZ125" s="59">
        <f t="shared" si="96"/>
        <v>356.22149461585769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82.393837638385591</v>
      </c>
      <c r="DG125" s="21">
        <f>EXP(-LN(2)/25)*DG124+(1-EXP(-LN(2)/25))/(LN(2)/25)*Calculateur!DB125*Calculateur!DD125*VLOOKUP('Données projet'!$B$13,Paramètres!$A$1:$I$89,3,0)*0.475*44/12</f>
        <v>18.154218349158228</v>
      </c>
      <c r="DH125" s="21">
        <f>EXP(-LN(2)/2)*DH124+(1-EXP(-LN(2)/2))/(LN(2)/2)*DB125*DE125*VLOOKUP('Données projet'!$B$13,Paramètres!$A$1:$I$89,3,0)*0.475*44/12</f>
        <v>1.1251199889603244E-6</v>
      </c>
      <c r="DI125" s="22">
        <f t="shared" si="69"/>
        <v>100.54805711266381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>
        <f>DO125*VLOOKUP('Données projet'!$B$14,Paramètres!$A$1:$I$89,3,0)*VLOOKUP('Données projet'!$B$14,Paramètres!$A$1:$I$89,5,0)</f>
        <v>0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347.17417070871716</v>
      </c>
      <c r="DU125" s="59">
        <f t="shared" si="98"/>
        <v>339.56378046986441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17.997415383181263</v>
      </c>
      <c r="EB125" s="21">
        <f>EXP(-LN(2)/25)*EB124+(1-EXP(-LN(2)/25))/(LN(2)/25)*Calculateur!DW125*Calculateur!DY125*VLOOKUP('Données projet'!$B$14,Paramètres!$A$1:$I$89,3,0)*0.475*44/12</f>
        <v>12.740321152316529</v>
      </c>
      <c r="EC125" s="21">
        <f>EXP(-LN(2)/2)*EC124+(1-EXP(-LN(2)/2))/(LN(2)/2)*DW125*DZ125*VLOOKUP('Données projet'!$B$14,Paramètres!$A$1:$I$89,3,0)*0.475*44/12</f>
        <v>2.9181181778814854E-5</v>
      </c>
      <c r="ED125" s="22">
        <f t="shared" si="72"/>
        <v>30.737765716679572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>
        <f>EJ125*VLOOKUP('Données projet'!$B$15,Paramètres!$A$1:$I$89,3,0)*VLOOKUP('Données projet'!$B$15,Paramètres!$A$1:$I$89,5,0)</f>
        <v>0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384.34044781465661</v>
      </c>
      <c r="EP125" s="59">
        <f t="shared" si="100"/>
        <v>374.99493809709708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20.157105229163026</v>
      </c>
      <c r="EW125" s="21">
        <f>EXP(-LN(2)/25)*EW124+(1-EXP(-LN(2)/25))/(LN(2)/25)*Calculateur!ER125*Calculateur!ET125*VLOOKUP('Données projet'!$B$15,Paramètres!$A$1:$I$89,3,0)*0.475*44/12</f>
        <v>14.269159690594526</v>
      </c>
      <c r="EX125" s="21">
        <f>EXP(-LN(2)/2)*EX124+(1-EXP(-LN(2)/2))/(LN(2)/2)*ER125*EU125*VLOOKUP('Données projet'!$B$15,Paramètres!$A$1:$I$89,3,0)*0.475*44/12</f>
        <v>3.2682923592272577E-5</v>
      </c>
      <c r="EY125" s="22">
        <f t="shared" si="75"/>
        <v>34.426297602681139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>
        <f>FE125*VLOOKUP('Données projet'!$B$16,Paramètres!$A$1:$I$89,3,0)*VLOOKUP('Données projet'!$B$16,Paramètres!$A$1:$I$89,5,0)</f>
        <v>0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359.57284550600366</v>
      </c>
      <c r="FK125" s="59">
        <f t="shared" si="102"/>
        <v>351.38386928091433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18.717311998508521</v>
      </c>
      <c r="FR125" s="21">
        <f>EXP(-LN(2)/25)*FR124+(1-EXP(-LN(2)/25))/(LN(2)/25)*Calculateur!FM125*Calculateur!FO125*VLOOKUP('Données projet'!$B$16,Paramètres!$A$1:$I$89,3,0)*0.475*44/12</f>
        <v>13.249933998409189</v>
      </c>
      <c r="FS125" s="21">
        <f>EXP(-LN(2)/2)*FS124+(1-EXP(-LN(2)/2))/(LN(2)/2)*FM125*FP125*VLOOKUP('Données projet'!$B$16,Paramètres!$A$1:$I$89,3,0)*0.475*44/12</f>
        <v>3.0348429049967478E-5</v>
      </c>
      <c r="FT125" s="22">
        <f t="shared" si="78"/>
        <v>31.967276345346761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6">
        <f t="shared" si="56"/>
        <v>256.66666666666669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10.745999999999999</v>
      </c>
      <c r="N126" s="13">
        <f>IF('Données projet'!$A$36&gt;35,N125+M126-V125,IF(A126&lt;'Données projet'!$A$36,$K$205^A126,IF(A126='Données projet'!$A$36,'Données projet'!$B$36,N125+M126-V125)))</f>
        <v>531.1880000000001</v>
      </c>
      <c r="O126" s="13">
        <f>N126*VLOOKUP('Données projet'!$B$9,Paramètres!$A$1:$I$89,3,0)*VLOOKUP('Données projet'!$B$9,Paramètres!$A$1:$I$89,5,0)</f>
        <v>480.61890240000002</v>
      </c>
      <c r="P126" s="13">
        <f t="shared" si="87"/>
        <v>107.9422070202726</v>
      </c>
      <c r="Q126" s="20">
        <f t="shared" si="107"/>
        <v>1025.0772655736414</v>
      </c>
      <c r="R126" s="59">
        <f t="shared" si="55"/>
        <v>1318.4105989069747</v>
      </c>
      <c r="S126" s="59">
        <f ca="1">AVERAGE(OFFSET($R$3,0,0,'Données projet'!$E$9+1,1))-AVERAGE(OFFSET($H$3,0,0,'Données projet'!$E$9+1,1))</f>
        <v>695.0879239758051</v>
      </c>
      <c r="T126" s="59">
        <f t="shared" si="88"/>
        <v>226.22150997227476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58.263642348358736</v>
      </c>
      <c r="AA126" s="21">
        <f>EXP(-LN(2)/25)*AA125+(1-EXP(-LN(2)/25))/(LN(2)/25)*Calculateur!V126*Calculateur!X126*VLOOKUP('Données projet'!$B$9,Paramètres!$A$1:$I$89,3,0)*0.475*44/12</f>
        <v>28.06482285239824</v>
      </c>
      <c r="AB126" s="21">
        <f>EXP(-LN(2)/2)*AB125+(1-EXP(-LN(2)/2))/(LN(2)/2)*V126*Y126*VLOOKUP('Données projet'!$B$9,Paramètres!$A$1:$I$89,3,0)*0.475*44/12</f>
        <v>6.6769188227359396E-5</v>
      </c>
      <c r="AC126" s="22">
        <f t="shared" si="57"/>
        <v>86.328531969945203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1.1368683772161603E-13</v>
      </c>
      <c r="AJ126" s="13">
        <f>AI126*VLOOKUP('Données projet'!$B$10,Paramètres!$A$1:$I$89,3,0)*VLOOKUP('Données projet'!$B$10,Paramètres!$A$1:$I$89,5,0)</f>
        <v>6.7984728957526396E-14</v>
      </c>
      <c r="AK126" s="13">
        <f t="shared" si="89"/>
        <v>1.0682447123141398E-12</v>
      </c>
      <c r="AL126" s="20">
        <f t="shared" si="58"/>
        <v>1.978932943548152E-12</v>
      </c>
      <c r="AM126" s="59">
        <f t="shared" si="59"/>
        <v>293.3333333333353</v>
      </c>
      <c r="AN126" s="59">
        <f ca="1">AVERAGE(OFFSET($AM$3,0,0,'Données projet'!$E$10+1,1))-AVERAGE(OFFSET($H$3,0,0,'Données projet'!$E$10+1,1))</f>
        <v>388.12151914648013</v>
      </c>
      <c r="AO126" s="59">
        <f t="shared" si="90"/>
        <v>481.43684454382793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47.229509447068189</v>
      </c>
      <c r="AV126" s="21">
        <f>EXP(-LN(2)/25)*AV125+(1-EXP(-LN(2)/25))/(LN(2)/25)*Calculateur!AQ126*Calculateur!AS126*VLOOKUP('Données projet'!$B$10,Paramètres!$A$1:$I$89,3,0)*0.475*44/12</f>
        <v>9.6229107857632812</v>
      </c>
      <c r="AW126" s="21">
        <f>EXP(-LN(2)/2)*AW125+(1-EXP(-LN(2)/2))/(LN(2)/2)*AQ126*AT126*VLOOKUP('Données projet'!$B$10,Paramètres!$A$1:$I$89,3,0)*0.475*44/12</f>
        <v>6.3635412673334656E-9</v>
      </c>
      <c r="AX126" s="21">
        <f t="shared" si="60"/>
        <v>56.852420239195013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415.24818074059294</v>
      </c>
      <c r="BJ126" s="59">
        <f t="shared" si="92"/>
        <v>404.45811532046872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21.526286394724973</v>
      </c>
      <c r="BQ126" s="21">
        <f>EXP(-LN(2)/25)*BQ125+(1-EXP(-LN(2)/25))/(LN(2)/25)*Calculateur!BL126*Calculateur!BN126*VLOOKUP('Données projet'!$B$11,Paramètres!$A$1:$I$89,3,0)*0.475*44/12</f>
        <v>15.118162408514921</v>
      </c>
      <c r="BR126" s="21">
        <f>EXP(-LN(2)/2)*BR125+(1-EXP(-LN(2)/2))/(LN(2)/2)*BL126*BO126*VLOOKUP('Données projet'!$B$11,Paramètres!$A$1:$I$89,3,0)*0.475*44/12</f>
        <v>2.5173738052981457E-5</v>
      </c>
      <c r="BS126" s="22">
        <f t="shared" si="63"/>
        <v>36.644473976977949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384.34044781465661</v>
      </c>
      <c r="CE126" s="59">
        <f t="shared" si="94"/>
        <v>374.99493809709708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24.357612664713614</v>
      </c>
      <c r="CL126" s="21">
        <f>EXP(-LN(2)/25)*CL125+(1-EXP(-LN(2)/25))/(LN(2)/25)*Calculateur!CG126*Calculateur!CI126*VLOOKUP('Données projet'!$B$12,Paramètres!$A$1:$I$89,3,0)*0.475*44/12</f>
        <v>17.106635923931496</v>
      </c>
      <c r="CM126" s="21">
        <f>EXP(-LN(2)/2)*CM125+(1-EXP(-LN(2)/2))/(LN(2)/2)*CG126*CJ126*VLOOKUP('Données projet'!$B$12,Paramètres!$A$1:$I$89,3,0)*0.475*44/12</f>
        <v>2.3110316901097737E-5</v>
      </c>
      <c r="CN126" s="22">
        <f t="shared" si="66"/>
        <v>41.464271698962008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5.6843418860808015E-13</v>
      </c>
      <c r="CU126" s="17">
        <f>CT126*VLOOKUP('Données projet'!$B$13,Paramètres!$A$1:$I$89,3,0)*VLOOKUP('Données projet'!$B$13,Paramètres!$A$1:$I$89,5,0)</f>
        <v>3.177547114319168E-13</v>
      </c>
      <c r="CV126" s="13">
        <f t="shared" si="95"/>
        <v>4.1725404435445377E-12</v>
      </c>
      <c r="CW126" s="20">
        <f t="shared" si="67"/>
        <v>7.820597394917325E-12</v>
      </c>
      <c r="CX126" s="59">
        <f t="shared" si="68"/>
        <v>293.33333333334116</v>
      </c>
      <c r="CY126" s="59">
        <f ca="1">AVERAGE(OFFSET($CX$3,0,0,'Données projet'!$E$13+1,1))-AVERAGE(OFFSET($H$3,0,0,'Données projet'!$E$13+1,1))</f>
        <v>386.66324266750968</v>
      </c>
      <c r="CZ126" s="59">
        <f t="shared" si="96"/>
        <v>356.22149461585769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80.778144737575516</v>
      </c>
      <c r="DG126" s="21">
        <f>EXP(-LN(2)/25)*DG125+(1-EXP(-LN(2)/25))/(LN(2)/25)*Calculateur!DB126*Calculateur!DD126*VLOOKUP('Données projet'!$B$13,Paramètres!$A$1:$I$89,3,0)*0.475*44/12</f>
        <v>17.657790293711646</v>
      </c>
      <c r="DH126" s="21">
        <f>EXP(-LN(2)/2)*DH125+(1-EXP(-LN(2)/2))/(LN(2)/2)*DB126*DE126*VLOOKUP('Données projet'!$B$13,Paramètres!$A$1:$I$89,3,0)*0.475*44/12</f>
        <v>7.9557997384237886E-7</v>
      </c>
      <c r="DI126" s="22">
        <f t="shared" si="69"/>
        <v>98.435935826867137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>
        <f>DO126*VLOOKUP('Données projet'!$B$14,Paramètres!$A$1:$I$89,3,0)*VLOOKUP('Données projet'!$B$14,Paramètres!$A$1:$I$89,5,0)</f>
        <v>0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347.17417070871716</v>
      </c>
      <c r="DU126" s="59">
        <f t="shared" si="98"/>
        <v>339.56378046986441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17.644497044856539</v>
      </c>
      <c r="EB126" s="21">
        <f>EXP(-LN(2)/25)*EB125+(1-EXP(-LN(2)/25))/(LN(2)/25)*Calculateur!DW126*Calculateur!DY126*VLOOKUP('Données projet'!$B$14,Paramètres!$A$1:$I$89,3,0)*0.475*44/12</f>
        <v>12.391936400422063</v>
      </c>
      <c r="EC126" s="21">
        <f>EXP(-LN(2)/2)*EC125+(1-EXP(-LN(2)/2))/(LN(2)/2)*DW126*DZ126*VLOOKUP('Données projet'!$B$14,Paramètres!$A$1:$I$89,3,0)*0.475*44/12</f>
        <v>2.0634211518837302E-5</v>
      </c>
      <c r="ED126" s="22">
        <f t="shared" si="72"/>
        <v>30.036454079490124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>
        <f>EJ126*VLOOKUP('Données projet'!$B$15,Paramètres!$A$1:$I$89,3,0)*VLOOKUP('Données projet'!$B$15,Paramètres!$A$1:$I$89,5,0)</f>
        <v>0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384.34044781465661</v>
      </c>
      <c r="EP126" s="59">
        <f t="shared" si="100"/>
        <v>374.99493809709708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19.761836690239335</v>
      </c>
      <c r="EW126" s="21">
        <f>EXP(-LN(2)/25)*EW125+(1-EXP(-LN(2)/25))/(LN(2)/25)*Calculateur!ER126*Calculateur!ET126*VLOOKUP('Données projet'!$B$15,Paramètres!$A$1:$I$89,3,0)*0.475*44/12</f>
        <v>13.878968768472722</v>
      </c>
      <c r="EX126" s="21">
        <f>EXP(-LN(2)/2)*EX125+(1-EXP(-LN(2)/2))/(LN(2)/2)*ER126*EU126*VLOOKUP('Données projet'!$B$15,Paramètres!$A$1:$I$89,3,0)*0.475*44/12</f>
        <v>2.3110316901097737E-5</v>
      </c>
      <c r="EY126" s="22">
        <f t="shared" si="75"/>
        <v>33.640828569028962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>
        <f>FE126*VLOOKUP('Données projet'!$B$16,Paramètres!$A$1:$I$89,3,0)*VLOOKUP('Données projet'!$B$16,Paramètres!$A$1:$I$89,5,0)</f>
        <v>0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359.57284550600366</v>
      </c>
      <c r="FK126" s="59">
        <f t="shared" si="102"/>
        <v>351.38386928091433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18.35027692665081</v>
      </c>
      <c r="FR126" s="21">
        <f>EXP(-LN(2)/25)*FR125+(1-EXP(-LN(2)/25))/(LN(2)/25)*Calculateur!FM126*Calculateur!FO126*VLOOKUP('Données projet'!$B$16,Paramètres!$A$1:$I$89,3,0)*0.475*44/12</f>
        <v>12.887613856438943</v>
      </c>
      <c r="FS126" s="21">
        <f>EXP(-LN(2)/2)*FS125+(1-EXP(-LN(2)/2))/(LN(2)/2)*FM126*FP126*VLOOKUP('Données projet'!$B$16,Paramètres!$A$1:$I$89,3,0)*0.475*44/12</f>
        <v>2.1459579979590818E-5</v>
      </c>
      <c r="FT126" s="22">
        <f t="shared" si="78"/>
        <v>31.237912242669733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6">
        <f t="shared" si="56"/>
        <v>256.66666666666669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10.745999999999999</v>
      </c>
      <c r="N127" s="13">
        <f>IF('Données projet'!$A$36&gt;35,N126+M127-V126,IF(A127&lt;'Données projet'!$A$36,$K$205^A127,IF(A127='Données projet'!$A$36,'Données projet'!$B$36,N126+M127-V126)))</f>
        <v>541.93400000000008</v>
      </c>
      <c r="O127" s="13">
        <f>N127*VLOOKUP('Données projet'!$B$9,Paramètres!$A$1:$I$89,3,0)*VLOOKUP('Données projet'!$B$9,Paramètres!$A$1:$I$89,5,0)</f>
        <v>490.34188320000004</v>
      </c>
      <c r="P127" s="13">
        <f t="shared" si="87"/>
        <v>109.86945570602957</v>
      </c>
      <c r="Q127" s="20">
        <f t="shared" si="107"/>
        <v>1045.3680819280014</v>
      </c>
      <c r="R127" s="59">
        <f t="shared" si="55"/>
        <v>1338.7014152613347</v>
      </c>
      <c r="S127" s="59">
        <f ca="1">AVERAGE(OFFSET($R$3,0,0,'Données projet'!$E$9+1,1))-AVERAGE(OFFSET($H$3,0,0,'Données projet'!$E$9+1,1))</f>
        <v>695.0879239758051</v>
      </c>
      <c r="T127" s="59">
        <f t="shared" si="88"/>
        <v>226.22150997227476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57.121127859220238</v>
      </c>
      <c r="AA127" s="21">
        <f>EXP(-LN(2)/25)*AA126+(1-EXP(-LN(2)/25))/(LN(2)/25)*Calculateur!V127*Calculateur!X127*VLOOKUP('Données projet'!$B$9,Paramètres!$A$1:$I$89,3,0)*0.475*44/12</f>
        <v>27.297388795634518</v>
      </c>
      <c r="AB127" s="21">
        <f>EXP(-LN(2)/2)*AB126+(1-EXP(-LN(2)/2))/(LN(2)/2)*V127*Y127*VLOOKUP('Données projet'!$B$9,Paramètres!$A$1:$I$89,3,0)*0.475*44/12</f>
        <v>4.7212945769886826E-5</v>
      </c>
      <c r="AC127" s="22">
        <f t="shared" si="57"/>
        <v>84.418563867800529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1.1368683772161603E-13</v>
      </c>
      <c r="AJ127" s="13">
        <f>AI127*VLOOKUP('Données projet'!$B$10,Paramètres!$A$1:$I$89,3,0)*VLOOKUP('Données projet'!$B$10,Paramètres!$A$1:$I$89,5,0)</f>
        <v>6.7984728957526396E-14</v>
      </c>
      <c r="AK127" s="13">
        <f t="shared" si="89"/>
        <v>1.0682447123141398E-12</v>
      </c>
      <c r="AL127" s="20">
        <f t="shared" si="58"/>
        <v>1.978932943548152E-12</v>
      </c>
      <c r="AM127" s="59">
        <f t="shared" si="59"/>
        <v>293.3333333333353</v>
      </c>
      <c r="AN127" s="59">
        <f ca="1">AVERAGE(OFFSET($AM$3,0,0,'Données projet'!$E$10+1,1))-AVERAGE(OFFSET($H$3,0,0,'Données projet'!$E$10+1,1))</f>
        <v>388.12151914648013</v>
      </c>
      <c r="AO127" s="59">
        <f t="shared" si="90"/>
        <v>481.43684454382793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46.303367573967471</v>
      </c>
      <c r="AV127" s="21">
        <f>EXP(-LN(2)/25)*AV126+(1-EXP(-LN(2)/25))/(LN(2)/25)*Calculateur!AQ127*Calculateur!AS127*VLOOKUP('Données projet'!$B$10,Paramètres!$A$1:$I$89,3,0)*0.475*44/12</f>
        <v>9.3597717842796992</v>
      </c>
      <c r="AW127" s="21">
        <f>EXP(-LN(2)/2)*AW126+(1-EXP(-LN(2)/2))/(LN(2)/2)*AQ127*AT127*VLOOKUP('Données projet'!$B$10,Paramètres!$A$1:$I$89,3,0)*0.475*44/12</f>
        <v>4.4997031824919302E-9</v>
      </c>
      <c r="AX127" s="21">
        <f t="shared" si="60"/>
        <v>55.663139362746875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415.24818074059294</v>
      </c>
      <c r="BJ127" s="59">
        <f t="shared" si="92"/>
        <v>404.45811532046872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21.104169048262662</v>
      </c>
      <c r="BQ127" s="21">
        <f>EXP(-LN(2)/25)*BQ126+(1-EXP(-LN(2)/25))/(LN(2)/25)*Calculateur!BL127*Calculateur!BN127*VLOOKUP('Données projet'!$B$11,Paramètres!$A$1:$I$89,3,0)*0.475*44/12</f>
        <v>14.704755462424473</v>
      </c>
      <c r="BR127" s="21">
        <f>EXP(-LN(2)/2)*BR126+(1-EXP(-LN(2)/2))/(LN(2)/2)*BL127*BO127*VLOOKUP('Données projet'!$B$11,Paramètres!$A$1:$I$89,3,0)*0.475*44/12</f>
        <v>1.7800520885077024E-5</v>
      </c>
      <c r="BS127" s="22">
        <f t="shared" si="63"/>
        <v>35.808942311208021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384.34044781465661</v>
      </c>
      <c r="CE127" s="59">
        <f t="shared" si="94"/>
        <v>374.99493809709708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23.879974737035329</v>
      </c>
      <c r="CL127" s="21">
        <f>EXP(-LN(2)/25)*CL126+(1-EXP(-LN(2)/25))/(LN(2)/25)*Calculateur!CG127*Calculateur!CI127*VLOOKUP('Données projet'!$B$12,Paramètres!$A$1:$I$89,3,0)*0.475*44/12</f>
        <v>16.638854064992703</v>
      </c>
      <c r="CM127" s="21">
        <f>EXP(-LN(2)/2)*CM126+(1-EXP(-LN(2)/2))/(LN(2)/2)*CG127*CJ127*VLOOKUP('Données projet'!$B$12,Paramètres!$A$1:$I$89,3,0)*0.475*44/12</f>
        <v>1.6341461796136289E-5</v>
      </c>
      <c r="CN127" s="22">
        <f t="shared" si="66"/>
        <v>40.518845143489827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5.6843418860808015E-13</v>
      </c>
      <c r="CU127" s="17">
        <f>CT127*VLOOKUP('Données projet'!$B$13,Paramètres!$A$1:$I$89,3,0)*VLOOKUP('Données projet'!$B$13,Paramètres!$A$1:$I$89,5,0)</f>
        <v>3.177547114319168E-13</v>
      </c>
      <c r="CV127" s="13">
        <f t="shared" si="95"/>
        <v>4.1725404435445377E-12</v>
      </c>
      <c r="CW127" s="20">
        <f t="shared" si="67"/>
        <v>7.820597394917325E-12</v>
      </c>
      <c r="CX127" s="59">
        <f t="shared" si="68"/>
        <v>293.33333333334116</v>
      </c>
      <c r="CY127" s="59">
        <f ca="1">AVERAGE(OFFSET($CX$3,0,0,'Données projet'!$E$13+1,1))-AVERAGE(OFFSET($H$3,0,0,'Données projet'!$E$13+1,1))</f>
        <v>386.66324266750968</v>
      </c>
      <c r="CZ127" s="59">
        <f t="shared" si="96"/>
        <v>356.22149461585769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79.194134589074963</v>
      </c>
      <c r="DG127" s="21">
        <f>EXP(-LN(2)/25)*DG126+(1-EXP(-LN(2)/25))/(LN(2)/25)*Calculateur!DB127*Calculateur!DD127*VLOOKUP('Données projet'!$B$13,Paramètres!$A$1:$I$89,3,0)*0.475*44/12</f>
        <v>17.174937089547267</v>
      </c>
      <c r="DH127" s="21">
        <f>EXP(-LN(2)/2)*DH126+(1-EXP(-LN(2)/2))/(LN(2)/2)*DB127*DE127*VLOOKUP('Données projet'!$B$13,Paramètres!$A$1:$I$89,3,0)*0.475*44/12</f>
        <v>5.6255999448016218E-7</v>
      </c>
      <c r="DI127" s="22">
        <f t="shared" si="69"/>
        <v>96.369072241182224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>
        <f>DO127*VLOOKUP('Données projet'!$B$14,Paramètres!$A$1:$I$89,3,0)*VLOOKUP('Données projet'!$B$14,Paramètres!$A$1:$I$89,5,0)</f>
        <v>0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347.17417070871716</v>
      </c>
      <c r="DU127" s="59">
        <f t="shared" si="98"/>
        <v>339.56378046986441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17.298499219887432</v>
      </c>
      <c r="EB127" s="21">
        <f>EXP(-LN(2)/25)*EB126+(1-EXP(-LN(2)/25))/(LN(2)/25)*Calculateur!DW127*Calculateur!DY127*VLOOKUP('Données projet'!$B$14,Paramètres!$A$1:$I$89,3,0)*0.475*44/12</f>
        <v>12.053078247888909</v>
      </c>
      <c r="EC127" s="21">
        <f>EXP(-LN(2)/2)*EC126+(1-EXP(-LN(2)/2))/(LN(2)/2)*DW127*DZ127*VLOOKUP('Données projet'!$B$14,Paramètres!$A$1:$I$89,3,0)*0.475*44/12</f>
        <v>1.4590590889407427E-5</v>
      </c>
      <c r="ED127" s="22">
        <f t="shared" si="72"/>
        <v>29.351592058367231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>
        <f>EJ127*VLOOKUP('Données projet'!$B$15,Paramètres!$A$1:$I$89,3,0)*VLOOKUP('Données projet'!$B$15,Paramètres!$A$1:$I$89,5,0)</f>
        <v>0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384.34044781465661</v>
      </c>
      <c r="EP127" s="59">
        <f t="shared" si="100"/>
        <v>374.99493809709708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19.374319126273935</v>
      </c>
      <c r="EW127" s="21">
        <f>EXP(-LN(2)/25)*EW126+(1-EXP(-LN(2)/25))/(LN(2)/25)*Calculateur!ER127*Calculateur!ET127*VLOOKUP('Données projet'!$B$15,Paramètres!$A$1:$I$89,3,0)*0.475*44/12</f>
        <v>13.499447637635589</v>
      </c>
      <c r="EX127" s="21">
        <f>EXP(-LN(2)/2)*EX126+(1-EXP(-LN(2)/2))/(LN(2)/2)*ER127*EU127*VLOOKUP('Données projet'!$B$15,Paramètres!$A$1:$I$89,3,0)*0.475*44/12</f>
        <v>1.6341461796136289E-5</v>
      </c>
      <c r="EY127" s="22">
        <f t="shared" si="75"/>
        <v>32.873783105371317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>
        <f>FE127*VLOOKUP('Données projet'!$B$16,Paramètres!$A$1:$I$89,3,0)*VLOOKUP('Données projet'!$B$16,Paramètres!$A$1:$I$89,5,0)</f>
        <v>0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359.57284550600366</v>
      </c>
      <c r="FK127" s="59">
        <f t="shared" si="102"/>
        <v>351.38386928091433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17.990439188682938</v>
      </c>
      <c r="FR127" s="21">
        <f>EXP(-LN(2)/25)*FR126+(1-EXP(-LN(2)/25))/(LN(2)/25)*Calculateur!FM127*Calculateur!FO127*VLOOKUP('Données projet'!$B$16,Paramètres!$A$1:$I$89,3,0)*0.475*44/12</f>
        <v>12.535201377804462</v>
      </c>
      <c r="FS127" s="21">
        <f>EXP(-LN(2)/2)*FS126+(1-EXP(-LN(2)/2))/(LN(2)/2)*FM127*FP127*VLOOKUP('Données projet'!$B$16,Paramètres!$A$1:$I$89,3,0)*0.475*44/12</f>
        <v>1.5174214524983741E-5</v>
      </c>
      <c r="FT127" s="22">
        <f t="shared" si="78"/>
        <v>30.525655740701925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6">
        <f t="shared" si="56"/>
        <v>256.66666666666669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10.745999999999999</v>
      </c>
      <c r="N128" s="13">
        <f>IF('Données projet'!$A$36&gt;35,N127+M128-V127,IF(A128&lt;'Données projet'!$A$36,$K$205^A128,IF(A128='Données projet'!$A$36,'Données projet'!$B$36,N127+M128-V127)))</f>
        <v>552.68000000000006</v>
      </c>
      <c r="O128" s="13">
        <f>N128*VLOOKUP('Données projet'!$B$9,Paramètres!$A$1:$I$89,3,0)*VLOOKUP('Données projet'!$B$9,Paramètres!$A$1:$I$89,5,0)</f>
        <v>500.064864</v>
      </c>
      <c r="P128" s="13">
        <f t="shared" si="87"/>
        <v>111.7922609431773</v>
      </c>
      <c r="Q128" s="20">
        <f t="shared" si="107"/>
        <v>1065.6511592760337</v>
      </c>
      <c r="R128" s="59">
        <f t="shared" si="55"/>
        <v>1358.984492609367</v>
      </c>
      <c r="S128" s="59">
        <f ca="1">AVERAGE(OFFSET($R$3,0,0,'Données projet'!$E$9+1,1))-AVERAGE(OFFSET($H$3,0,0,'Données projet'!$E$9+1,1))</f>
        <v>695.0879239758051</v>
      </c>
      <c r="T128" s="59">
        <f t="shared" si="88"/>
        <v>226.22150997227476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56.001017382348714</v>
      </c>
      <c r="AA128" s="21">
        <f>EXP(-LN(2)/25)*AA127+(1-EXP(-LN(2)/25))/(LN(2)/25)*Calculateur!V128*Calculateur!X128*VLOOKUP('Données projet'!$B$9,Paramètres!$A$1:$I$89,3,0)*0.475*44/12</f>
        <v>26.550940263510604</v>
      </c>
      <c r="AB128" s="21">
        <f>EXP(-LN(2)/2)*AB127+(1-EXP(-LN(2)/2))/(LN(2)/2)*V128*Y128*VLOOKUP('Données projet'!$B$9,Paramètres!$A$1:$I$89,3,0)*0.475*44/12</f>
        <v>3.3384594113679698E-5</v>
      </c>
      <c r="AC128" s="22">
        <f t="shared" si="57"/>
        <v>82.551991030453436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1.1368683772161603E-13</v>
      </c>
      <c r="AJ128" s="13">
        <f>AI128*VLOOKUP('Données projet'!$B$10,Paramètres!$A$1:$I$89,3,0)*VLOOKUP('Données projet'!$B$10,Paramètres!$A$1:$I$89,5,0)</f>
        <v>6.7984728957526396E-14</v>
      </c>
      <c r="AK128" s="13">
        <f t="shared" si="89"/>
        <v>1.0682447123141398E-12</v>
      </c>
      <c r="AL128" s="20">
        <f t="shared" si="58"/>
        <v>1.978932943548152E-12</v>
      </c>
      <c r="AM128" s="59">
        <f t="shared" si="59"/>
        <v>293.3333333333353</v>
      </c>
      <c r="AN128" s="59">
        <f ca="1">AVERAGE(OFFSET($AM$3,0,0,'Données projet'!$E$10+1,1))-AVERAGE(OFFSET($H$3,0,0,'Données projet'!$E$10+1,1))</f>
        <v>388.12151914648013</v>
      </c>
      <c r="AO128" s="59">
        <f t="shared" si="90"/>
        <v>481.43684454382793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45.395386778107493</v>
      </c>
      <c r="AV128" s="21">
        <f>EXP(-LN(2)/25)*AV127+(1-EXP(-LN(2)/25))/(LN(2)/25)*Calculateur!AQ128*Calculateur!AS128*VLOOKUP('Données projet'!$B$10,Paramètres!$A$1:$I$89,3,0)*0.475*44/12</f>
        <v>9.1038283326295648</v>
      </c>
      <c r="AW128" s="21">
        <f>EXP(-LN(2)/2)*AW127+(1-EXP(-LN(2)/2))/(LN(2)/2)*AQ128*AT128*VLOOKUP('Données projet'!$B$10,Paramètres!$A$1:$I$89,3,0)*0.475*44/12</f>
        <v>3.1817706336667328E-9</v>
      </c>
      <c r="AX128" s="21">
        <f t="shared" si="60"/>
        <v>54.499215113918822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415.24818074059294</v>
      </c>
      <c r="BJ128" s="59">
        <f t="shared" si="92"/>
        <v>404.45811532046872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20.690329165498319</v>
      </c>
      <c r="BQ128" s="21">
        <f>EXP(-LN(2)/25)*BQ127+(1-EXP(-LN(2)/25))/(LN(2)/25)*Calculateur!BL128*Calculateur!BN128*VLOOKUP('Données projet'!$B$11,Paramètres!$A$1:$I$89,3,0)*0.475*44/12</f>
        <v>14.302653151014994</v>
      </c>
      <c r="BR128" s="21">
        <f>EXP(-LN(2)/2)*BR127+(1-EXP(-LN(2)/2))/(LN(2)/2)*BL128*BO128*VLOOKUP('Données projet'!$B$11,Paramètres!$A$1:$I$89,3,0)*0.475*44/12</f>
        <v>1.2586869026490728E-5</v>
      </c>
      <c r="BS128" s="22">
        <f t="shared" si="63"/>
        <v>34.992994903382339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384.34044781465661</v>
      </c>
      <c r="CE128" s="59">
        <f t="shared" si="94"/>
        <v>374.99493809709708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23.411702997788449</v>
      </c>
      <c r="CL128" s="21">
        <f>EXP(-LN(2)/25)*CL127+(1-EXP(-LN(2)/25))/(LN(2)/25)*Calculateur!CG128*Calculateur!CI128*VLOOKUP('Données projet'!$B$12,Paramètres!$A$1:$I$89,3,0)*0.475*44/12</f>
        <v>16.183863725586171</v>
      </c>
      <c r="CM128" s="21">
        <f>EXP(-LN(2)/2)*CM127+(1-EXP(-LN(2)/2))/(LN(2)/2)*CG128*CJ128*VLOOKUP('Données projet'!$B$12,Paramètres!$A$1:$I$89,3,0)*0.475*44/12</f>
        <v>1.1555158450548869E-5</v>
      </c>
      <c r="CN128" s="22">
        <f t="shared" si="66"/>
        <v>39.595578278533068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5.6843418860808015E-13</v>
      </c>
      <c r="CU128" s="17">
        <f>CT128*VLOOKUP('Données projet'!$B$13,Paramètres!$A$1:$I$89,3,0)*VLOOKUP('Données projet'!$B$13,Paramètres!$A$1:$I$89,5,0)</f>
        <v>3.177547114319168E-13</v>
      </c>
      <c r="CV128" s="13">
        <f t="shared" si="95"/>
        <v>4.1725404435445377E-12</v>
      </c>
      <c r="CW128" s="20">
        <f t="shared" si="67"/>
        <v>7.820597394917325E-12</v>
      </c>
      <c r="CX128" s="59">
        <f t="shared" si="68"/>
        <v>293.33333333334116</v>
      </c>
      <c r="CY128" s="59">
        <f ca="1">AVERAGE(OFFSET($CX$3,0,0,'Données projet'!$E$13+1,1))-AVERAGE(OFFSET($H$3,0,0,'Données projet'!$E$13+1,1))</f>
        <v>386.66324266750968</v>
      </c>
      <c r="CZ128" s="59">
        <f t="shared" si="96"/>
        <v>356.22149461585769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77.641185913435706</v>
      </c>
      <c r="DG128" s="21">
        <f>EXP(-LN(2)/25)*DG127+(1-EXP(-LN(2)/25))/(LN(2)/25)*Calculateur!DB128*Calculateur!DD128*VLOOKUP('Données projet'!$B$13,Paramètres!$A$1:$I$89,3,0)*0.475*44/12</f>
        <v>16.705287531642909</v>
      </c>
      <c r="DH128" s="21">
        <f>EXP(-LN(2)/2)*DH127+(1-EXP(-LN(2)/2))/(LN(2)/2)*DB128*DE128*VLOOKUP('Données projet'!$B$13,Paramètres!$A$1:$I$89,3,0)*0.475*44/12</f>
        <v>3.9778998692118943E-7</v>
      </c>
      <c r="DI128" s="22">
        <f t="shared" si="69"/>
        <v>94.346473842868605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>
        <f>DO128*VLOOKUP('Données projet'!$B$14,Paramètres!$A$1:$I$89,3,0)*VLOOKUP('Données projet'!$B$14,Paramètres!$A$1:$I$89,5,0)</f>
        <v>0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347.17417070871716</v>
      </c>
      <c r="DU128" s="59">
        <f t="shared" si="98"/>
        <v>339.56378046986441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16.959286201228135</v>
      </c>
      <c r="EB128" s="21">
        <f>EXP(-LN(2)/25)*EB127+(1-EXP(-LN(2)/25))/(LN(2)/25)*Calculateur!DW128*Calculateur!DY128*VLOOKUP('Données projet'!$B$14,Paramètres!$A$1:$I$89,3,0)*0.475*44/12</f>
        <v>11.723486189356549</v>
      </c>
      <c r="EC128" s="21">
        <f>EXP(-LN(2)/2)*EC127+(1-EXP(-LN(2)/2))/(LN(2)/2)*DW128*DZ128*VLOOKUP('Données projet'!$B$14,Paramètres!$A$1:$I$89,3,0)*0.475*44/12</f>
        <v>1.0317105759418651E-5</v>
      </c>
      <c r="ED128" s="22">
        <f t="shared" si="72"/>
        <v>28.682782707690443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>
        <f>EJ128*VLOOKUP('Données projet'!$B$15,Paramètres!$A$1:$I$89,3,0)*VLOOKUP('Données projet'!$B$15,Paramètres!$A$1:$I$89,5,0)</f>
        <v>0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384.34044781465661</v>
      </c>
      <c r="EP128" s="59">
        <f t="shared" si="100"/>
        <v>374.99493809709708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18.994400545375523</v>
      </c>
      <c r="EW128" s="21">
        <f>EXP(-LN(2)/25)*EW127+(1-EXP(-LN(2)/25))/(LN(2)/25)*Calculateur!ER128*Calculateur!ET128*VLOOKUP('Données projet'!$B$15,Paramètres!$A$1:$I$89,3,0)*0.475*44/12</f>
        <v>13.130304532079347</v>
      </c>
      <c r="EX128" s="21">
        <f>EXP(-LN(2)/2)*EX127+(1-EXP(-LN(2)/2))/(LN(2)/2)*ER128*EU128*VLOOKUP('Données projet'!$B$15,Paramètres!$A$1:$I$89,3,0)*0.475*44/12</f>
        <v>1.1555158450548869E-5</v>
      </c>
      <c r="EY128" s="22">
        <f t="shared" si="75"/>
        <v>32.124716632613321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>
        <f>FE128*VLOOKUP('Données projet'!$B$16,Paramètres!$A$1:$I$89,3,0)*VLOOKUP('Données projet'!$B$16,Paramètres!$A$1:$I$89,5,0)</f>
        <v>0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359.57284550600366</v>
      </c>
      <c r="FK128" s="59">
        <f t="shared" si="102"/>
        <v>351.38386928091433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17.637657649277269</v>
      </c>
      <c r="FR128" s="21">
        <f>EXP(-LN(2)/25)*FR127+(1-EXP(-LN(2)/25))/(LN(2)/25)*Calculateur!FM128*Calculateur!FO128*VLOOKUP('Données projet'!$B$16,Paramètres!$A$1:$I$89,3,0)*0.475*44/12</f>
        <v>12.192425636930809</v>
      </c>
      <c r="FS128" s="21">
        <f>EXP(-LN(2)/2)*FS127+(1-EXP(-LN(2)/2))/(LN(2)/2)*FM128*FP128*VLOOKUP('Données projet'!$B$16,Paramètres!$A$1:$I$89,3,0)*0.475*44/12</f>
        <v>1.0729789989795411E-5</v>
      </c>
      <c r="FT128" s="22">
        <f t="shared" si="78"/>
        <v>29.830094015998068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6">
        <f t="shared" si="56"/>
        <v>256.66666666666669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10.745999999999999</v>
      </c>
      <c r="N129" s="13">
        <f>IF('Données projet'!$A$36&gt;35,N128+M129-V128,IF(A129&lt;'Données projet'!$A$36,$K$205^A129,IF(A129='Données projet'!$A$36,'Données projet'!$B$36,N128+M129-V128)))</f>
        <v>563.42600000000004</v>
      </c>
      <c r="O129" s="13">
        <f>N129*VLOOKUP('Données projet'!$B$9,Paramètres!$A$1:$I$89,3,0)*VLOOKUP('Données projet'!$B$9,Paramètres!$A$1:$I$89,5,0)</f>
        <v>509.78784480000002</v>
      </c>
      <c r="P129" s="13">
        <f t="shared" si="87"/>
        <v>113.71071908731024</v>
      </c>
      <c r="Q129" s="20">
        <f t="shared" si="107"/>
        <v>1085.9266654370654</v>
      </c>
      <c r="R129" s="59">
        <f t="shared" si="55"/>
        <v>1379.2599987703986</v>
      </c>
      <c r="S129" s="59">
        <f ca="1">AVERAGE(OFFSET($R$3,0,0,'Données projet'!$E$9+1,1))-AVERAGE(OFFSET($H$3,0,0,'Données projet'!$E$9+1,1))</f>
        <v>695.0879239758051</v>
      </c>
      <c r="T129" s="59">
        <f t="shared" si="88"/>
        <v>226.22150997227476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54.902871588728708</v>
      </c>
      <c r="AA129" s="21">
        <f>EXP(-LN(2)/25)*AA128+(1-EXP(-LN(2)/25))/(LN(2)/25)*Calculateur!V129*Calculateur!X129*VLOOKUP('Données projet'!$B$9,Paramètres!$A$1:$I$89,3,0)*0.475*44/12</f>
        <v>25.824903405751641</v>
      </c>
      <c r="AB129" s="21">
        <f>EXP(-LN(2)/2)*AB128+(1-EXP(-LN(2)/2))/(LN(2)/2)*V129*Y129*VLOOKUP('Données projet'!$B$9,Paramètres!$A$1:$I$89,3,0)*0.475*44/12</f>
        <v>2.3606472884943413E-5</v>
      </c>
      <c r="AC129" s="22">
        <f t="shared" si="57"/>
        <v>80.727798600953221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1.1368683772161603E-13</v>
      </c>
      <c r="AJ129" s="13">
        <f>AI129*VLOOKUP('Données projet'!$B$10,Paramètres!$A$1:$I$89,3,0)*VLOOKUP('Données projet'!$B$10,Paramètres!$A$1:$I$89,5,0)</f>
        <v>6.7984728957526396E-14</v>
      </c>
      <c r="AK129" s="13">
        <f t="shared" si="89"/>
        <v>1.0682447123141398E-12</v>
      </c>
      <c r="AL129" s="20">
        <f t="shared" si="58"/>
        <v>1.978932943548152E-12</v>
      </c>
      <c r="AM129" s="59">
        <f t="shared" si="59"/>
        <v>293.3333333333353</v>
      </c>
      <c r="AN129" s="59">
        <f ca="1">AVERAGE(OFFSET($AM$3,0,0,'Données projet'!$E$10+1,1))-AVERAGE(OFFSET($H$3,0,0,'Données projet'!$E$10+1,1))</f>
        <v>388.12151914648013</v>
      </c>
      <c r="AO129" s="59">
        <f t="shared" si="90"/>
        <v>481.43684454382793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44.505210931840729</v>
      </c>
      <c r="AV129" s="21">
        <f>EXP(-LN(2)/25)*AV128+(1-EXP(-LN(2)/25))/(LN(2)/25)*Calculateur!AQ129*Calculateur!AS129*VLOOKUP('Données projet'!$B$10,Paramètres!$A$1:$I$89,3,0)*0.475*44/12</f>
        <v>8.854883668124284</v>
      </c>
      <c r="AW129" s="21">
        <f>EXP(-LN(2)/2)*AW128+(1-EXP(-LN(2)/2))/(LN(2)/2)*AQ129*AT129*VLOOKUP('Données projet'!$B$10,Paramètres!$A$1:$I$89,3,0)*0.475*44/12</f>
        <v>2.2498515912459651E-9</v>
      </c>
      <c r="AX129" s="21">
        <f t="shared" si="60"/>
        <v>53.360094602214858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415.24818074059294</v>
      </c>
      <c r="BJ129" s="59">
        <f t="shared" si="92"/>
        <v>404.45811532046872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20.284604430417581</v>
      </c>
      <c r="BQ129" s="21">
        <f>EXP(-LN(2)/25)*BQ128+(1-EXP(-LN(2)/25))/(LN(2)/25)*Calculateur!BL129*Calculateur!BN129*VLOOKUP('Données projet'!$B$11,Paramètres!$A$1:$I$89,3,0)*0.475*44/12</f>
        <v>13.911546348456648</v>
      </c>
      <c r="BR129" s="21">
        <f>EXP(-LN(2)/2)*BR128+(1-EXP(-LN(2)/2))/(LN(2)/2)*BL129*BO129*VLOOKUP('Données projet'!$B$11,Paramètres!$A$1:$I$89,3,0)*0.475*44/12</f>
        <v>8.9002604425385118E-6</v>
      </c>
      <c r="BS129" s="22">
        <f t="shared" si="63"/>
        <v>34.196159679134666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384.34044781465661</v>
      </c>
      <c r="CE129" s="59">
        <f t="shared" si="94"/>
        <v>374.99493809709708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22.952613781730641</v>
      </c>
      <c r="CL129" s="21">
        <f>EXP(-LN(2)/25)*CL128+(1-EXP(-LN(2)/25))/(LN(2)/25)*Calculateur!CG129*Calculateur!CI129*VLOOKUP('Données projet'!$B$12,Paramètres!$A$1:$I$89,3,0)*0.475*44/12</f>
        <v>15.741315120937612</v>
      </c>
      <c r="CM129" s="21">
        <f>EXP(-LN(2)/2)*CM128+(1-EXP(-LN(2)/2))/(LN(2)/2)*CG129*CJ129*VLOOKUP('Données projet'!$B$12,Paramètres!$A$1:$I$89,3,0)*0.475*44/12</f>
        <v>8.1707308980681443E-6</v>
      </c>
      <c r="CN129" s="22">
        <f t="shared" si="66"/>
        <v>38.693937073399155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5.6843418860808015E-13</v>
      </c>
      <c r="CU129" s="17">
        <f>CT129*VLOOKUP('Données projet'!$B$13,Paramètres!$A$1:$I$89,3,0)*VLOOKUP('Données projet'!$B$13,Paramètres!$A$1:$I$89,5,0)</f>
        <v>3.177547114319168E-13</v>
      </c>
      <c r="CV129" s="13">
        <f t="shared" si="95"/>
        <v>4.1725404435445377E-12</v>
      </c>
      <c r="CW129" s="20">
        <f t="shared" si="67"/>
        <v>7.820597394917325E-12</v>
      </c>
      <c r="CX129" s="59">
        <f t="shared" si="68"/>
        <v>293.33333333334116</v>
      </c>
      <c r="CY129" s="59">
        <f ca="1">AVERAGE(OFFSET($CX$3,0,0,'Données projet'!$E$13+1,1))-AVERAGE(OFFSET($H$3,0,0,'Données projet'!$E$13+1,1))</f>
        <v>386.66324266750968</v>
      </c>
      <c r="CZ129" s="59">
        <f t="shared" si="96"/>
        <v>356.22149461585769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76.118689614120584</v>
      </c>
      <c r="DG129" s="21">
        <f>EXP(-LN(2)/25)*DG128+(1-EXP(-LN(2)/25))/(LN(2)/25)*Calculateur!DB129*Calculateur!DD129*VLOOKUP('Données projet'!$B$13,Paramètres!$A$1:$I$89,3,0)*0.475*44/12</f>
        <v>16.248480565597244</v>
      </c>
      <c r="DH129" s="21">
        <f>EXP(-LN(2)/2)*DH128+(1-EXP(-LN(2)/2))/(LN(2)/2)*DB129*DE129*VLOOKUP('Données projet'!$B$13,Paramètres!$A$1:$I$89,3,0)*0.475*44/12</f>
        <v>2.8127999724008109E-7</v>
      </c>
      <c r="DI129" s="22">
        <f t="shared" si="69"/>
        <v>92.367170460997826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>
        <f>DO129*VLOOKUP('Données projet'!$B$14,Paramètres!$A$1:$I$89,3,0)*VLOOKUP('Données projet'!$B$14,Paramètres!$A$1:$I$89,5,0)</f>
        <v>0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347.17417070871716</v>
      </c>
      <c r="DU129" s="59">
        <f t="shared" si="98"/>
        <v>339.56378046986441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16.626724942965236</v>
      </c>
      <c r="EB129" s="21">
        <f>EXP(-LN(2)/25)*EB128+(1-EXP(-LN(2)/25))/(LN(2)/25)*Calculateur!DW129*Calculateur!DY129*VLOOKUP('Données projet'!$B$14,Paramètres!$A$1:$I$89,3,0)*0.475*44/12</f>
        <v>11.40290684299725</v>
      </c>
      <c r="EC129" s="21">
        <f>EXP(-LN(2)/2)*EC128+(1-EXP(-LN(2)/2))/(LN(2)/2)*DW129*DZ129*VLOOKUP('Données projet'!$B$14,Paramètres!$A$1:$I$89,3,0)*0.475*44/12</f>
        <v>7.2952954447037135E-6</v>
      </c>
      <c r="ED129" s="22">
        <f t="shared" si="72"/>
        <v>28.02963908125793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>
        <f>EJ129*VLOOKUP('Données projet'!$B$15,Paramètres!$A$1:$I$89,3,0)*VLOOKUP('Données projet'!$B$15,Paramètres!$A$1:$I$89,5,0)</f>
        <v>0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384.34044781465661</v>
      </c>
      <c r="EP129" s="59">
        <f t="shared" si="100"/>
        <v>374.99493809709708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18.621931936121076</v>
      </c>
      <c r="EW129" s="21">
        <f>EXP(-LN(2)/25)*EW128+(1-EXP(-LN(2)/25))/(LN(2)/25)*Calculateur!ER129*Calculateur!ET129*VLOOKUP('Données projet'!$B$15,Paramètres!$A$1:$I$89,3,0)*0.475*44/12</f>
        <v>12.77125566415693</v>
      </c>
      <c r="EX129" s="21">
        <f>EXP(-LN(2)/2)*EX128+(1-EXP(-LN(2)/2))/(LN(2)/2)*ER129*EU129*VLOOKUP('Données projet'!$B$15,Paramètres!$A$1:$I$89,3,0)*0.475*44/12</f>
        <v>8.1707308980681443E-6</v>
      </c>
      <c r="EY129" s="22">
        <f t="shared" si="75"/>
        <v>31.393195771008902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>
        <f>FE129*VLOOKUP('Données projet'!$B$16,Paramètres!$A$1:$I$89,3,0)*VLOOKUP('Données projet'!$B$16,Paramètres!$A$1:$I$89,5,0)</f>
        <v>0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359.57284550600366</v>
      </c>
      <c r="FK129" s="59">
        <f t="shared" si="102"/>
        <v>351.38386928091433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17.291793940683853</v>
      </c>
      <c r="FR129" s="21">
        <f>EXP(-LN(2)/25)*FR128+(1-EXP(-LN(2)/25))/(LN(2)/25)*Calculateur!FM129*Calculateur!FO129*VLOOKUP('Données projet'!$B$16,Paramètres!$A$1:$I$89,3,0)*0.475*44/12</f>
        <v>11.859023116717138</v>
      </c>
      <c r="FS129" s="21">
        <f>EXP(-LN(2)/2)*FS128+(1-EXP(-LN(2)/2))/(LN(2)/2)*FM129*FP129*VLOOKUP('Données projet'!$B$16,Paramètres!$A$1:$I$89,3,0)*0.475*44/12</f>
        <v>7.5871072624918721E-6</v>
      </c>
      <c r="FT129" s="22">
        <f t="shared" si="78"/>
        <v>29.150824644508255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6">
        <f t="shared" si="56"/>
        <v>256.66666666666669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10.745999999999999</v>
      </c>
      <c r="N130" s="13">
        <f>IF('Données projet'!$A$36&gt;35,N129+M130-V129,IF(A130&lt;'Données projet'!$A$36,$K$205^A130,IF(A130='Données projet'!$A$36,'Données projet'!$B$36,N129+M130-V129)))</f>
        <v>574.17200000000003</v>
      </c>
      <c r="O130" s="13">
        <f>N130*VLOOKUP('Données projet'!$B$9,Paramètres!$A$1:$I$89,3,0)*VLOOKUP('Données projet'!$B$9,Paramètres!$A$1:$I$89,5,0)</f>
        <v>519.51082560000009</v>
      </c>
      <c r="P130" s="13">
        <f t="shared" si="87"/>
        <v>115.62492260821269</v>
      </c>
      <c r="Q130" s="20">
        <f t="shared" si="107"/>
        <v>1106.1947614626372</v>
      </c>
      <c r="R130" s="59">
        <f t="shared" si="55"/>
        <v>1399.5280947959704</v>
      </c>
      <c r="S130" s="59">
        <f ca="1">AVERAGE(OFFSET($R$3,0,0,'Données projet'!$E$9+1,1))-AVERAGE(OFFSET($H$3,0,0,'Données projet'!$E$9+1,1))</f>
        <v>695.0879239758051</v>
      </c>
      <c r="T130" s="59">
        <f t="shared" si="88"/>
        <v>226.22150997227476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53.826259764318799</v>
      </c>
      <c r="AA130" s="21">
        <f>EXP(-LN(2)/25)*AA129+(1-EXP(-LN(2)/25))/(LN(2)/25)*Calculateur!V130*Calculateur!X130*VLOOKUP('Données projet'!$B$9,Paramètres!$A$1:$I$89,3,0)*0.475*44/12</f>
        <v>25.118720064048716</v>
      </c>
      <c r="AB130" s="21">
        <f>EXP(-LN(2)/2)*AB129+(1-EXP(-LN(2)/2))/(LN(2)/2)*V130*Y130*VLOOKUP('Données projet'!$B$9,Paramètres!$A$1:$I$89,3,0)*0.475*44/12</f>
        <v>1.6692297056839849E-5</v>
      </c>
      <c r="AC130" s="22">
        <f t="shared" si="57"/>
        <v>78.94499652066456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1.1368683772161603E-13</v>
      </c>
      <c r="AJ130" s="13">
        <f>AI130*VLOOKUP('Données projet'!$B$10,Paramètres!$A$1:$I$89,3,0)*VLOOKUP('Données projet'!$B$10,Paramètres!$A$1:$I$89,5,0)</f>
        <v>6.7984728957526396E-14</v>
      </c>
      <c r="AK130" s="13">
        <f t="shared" si="89"/>
        <v>1.0682447123141398E-12</v>
      </c>
      <c r="AL130" s="20">
        <f t="shared" si="58"/>
        <v>1.978932943548152E-12</v>
      </c>
      <c r="AM130" s="59">
        <f t="shared" si="59"/>
        <v>293.3333333333353</v>
      </c>
      <c r="AN130" s="59">
        <f ca="1">AVERAGE(OFFSET($AM$3,0,0,'Données projet'!$E$10+1,1))-AVERAGE(OFFSET($H$3,0,0,'Données projet'!$E$10+1,1))</f>
        <v>388.12151914648013</v>
      </c>
      <c r="AO130" s="59">
        <f t="shared" si="90"/>
        <v>481.43684454382793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43.632490890965606</v>
      </c>
      <c r="AV130" s="21">
        <f>EXP(-LN(2)/25)*AV129+(1-EXP(-LN(2)/25))/(LN(2)/25)*Calculateur!AQ130*Calculateur!AS130*VLOOKUP('Données projet'!$B$10,Paramètres!$A$1:$I$89,3,0)*0.475*44/12</f>
        <v>8.6127464085613319</v>
      </c>
      <c r="AW130" s="21">
        <f>EXP(-LN(2)/2)*AW129+(1-EXP(-LN(2)/2))/(LN(2)/2)*AQ130*AT130*VLOOKUP('Données projet'!$B$10,Paramètres!$A$1:$I$89,3,0)*0.475*44/12</f>
        <v>1.5908853168333664E-9</v>
      </c>
      <c r="AX130" s="21">
        <f t="shared" si="60"/>
        <v>52.245237301117818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415.24818074059294</v>
      </c>
      <c r="BJ130" s="59">
        <f t="shared" si="92"/>
        <v>404.45811532046872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19.886835709924121</v>
      </c>
      <c r="BQ130" s="21">
        <f>EXP(-LN(2)/25)*BQ129+(1-EXP(-LN(2)/25))/(LN(2)/25)*Calculateur!BL130*Calculateur!BN130*VLOOKUP('Données projet'!$B$11,Paramètres!$A$1:$I$89,3,0)*0.475*44/12</f>
        <v>13.531134381981675</v>
      </c>
      <c r="BR130" s="21">
        <f>EXP(-LN(2)/2)*BR129+(1-EXP(-LN(2)/2))/(LN(2)/2)*BL130*BO130*VLOOKUP('Données projet'!$B$11,Paramètres!$A$1:$I$89,3,0)*0.475*44/12</f>
        <v>6.2934345132453642E-6</v>
      </c>
      <c r="BS130" s="22">
        <f t="shared" si="63"/>
        <v>33.41797638534031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384.34044781465661</v>
      </c>
      <c r="CE130" s="59">
        <f t="shared" si="94"/>
        <v>374.99493809709708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22.502527025182953</v>
      </c>
      <c r="CL130" s="21">
        <f>EXP(-LN(2)/25)*CL129+(1-EXP(-LN(2)/25))/(LN(2)/25)*Calculateur!CG130*Calculateur!CI130*VLOOKUP('Données projet'!$B$12,Paramètres!$A$1:$I$89,3,0)*0.475*44/12</f>
        <v>15.310868031155788</v>
      </c>
      <c r="CM130" s="21">
        <f>EXP(-LN(2)/2)*CM129+(1-EXP(-LN(2)/2))/(LN(2)/2)*CG130*CJ130*VLOOKUP('Données projet'!$B$12,Paramètres!$A$1:$I$89,3,0)*0.475*44/12</f>
        <v>5.7775792252744343E-6</v>
      </c>
      <c r="CN130" s="22">
        <f t="shared" si="66"/>
        <v>37.813400833917967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5.6843418860808015E-13</v>
      </c>
      <c r="CU130" s="17">
        <f>CT130*VLOOKUP('Données projet'!$B$13,Paramètres!$A$1:$I$89,3,0)*VLOOKUP('Données projet'!$B$13,Paramètres!$A$1:$I$89,5,0)</f>
        <v>3.177547114319168E-13</v>
      </c>
      <c r="CV130" s="13">
        <f t="shared" si="95"/>
        <v>4.1725404435445377E-12</v>
      </c>
      <c r="CW130" s="20">
        <f t="shared" si="67"/>
        <v>7.820597394917325E-12</v>
      </c>
      <c r="CX130" s="59">
        <f t="shared" si="68"/>
        <v>293.33333333334116</v>
      </c>
      <c r="CY130" s="59">
        <f ca="1">AVERAGE(OFFSET($CX$3,0,0,'Données projet'!$E$13+1,1))-AVERAGE(OFFSET($H$3,0,0,'Données projet'!$E$13+1,1))</f>
        <v>386.66324266750968</v>
      </c>
      <c r="CZ130" s="59">
        <f t="shared" si="96"/>
        <v>356.22149461585769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74.626048538603982</v>
      </c>
      <c r="DG130" s="21">
        <f>EXP(-LN(2)/25)*DG129+(1-EXP(-LN(2)/25))/(LN(2)/25)*Calculateur!DB130*Calculateur!DD130*VLOOKUP('Données projet'!$B$13,Paramètres!$A$1:$I$89,3,0)*0.475*44/12</f>
        <v>15.804165010060531</v>
      </c>
      <c r="DH130" s="21">
        <f>EXP(-LN(2)/2)*DH129+(1-EXP(-LN(2)/2))/(LN(2)/2)*DB130*DE130*VLOOKUP('Données projet'!$B$13,Paramètres!$A$1:$I$89,3,0)*0.475*44/12</f>
        <v>1.9889499346059472E-7</v>
      </c>
      <c r="DI130" s="22">
        <f t="shared" si="69"/>
        <v>90.430213747559506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>
        <f>DO130*VLOOKUP('Données projet'!$B$14,Paramètres!$A$1:$I$89,3,0)*VLOOKUP('Données projet'!$B$14,Paramètres!$A$1:$I$89,5,0)</f>
        <v>0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347.17417070871716</v>
      </c>
      <c r="DU130" s="59">
        <f t="shared" si="98"/>
        <v>339.56378046986441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16.300685008134533</v>
      </c>
      <c r="EB130" s="21">
        <f>EXP(-LN(2)/25)*EB129+(1-EXP(-LN(2)/25))/(LN(2)/25)*Calculateur!DW130*Calculateur!DY130*VLOOKUP('Données projet'!$B$14,Paramètres!$A$1:$I$89,3,0)*0.475*44/12</f>
        <v>11.091093755722682</v>
      </c>
      <c r="EC130" s="21">
        <f>EXP(-LN(2)/2)*EC129+(1-EXP(-LN(2)/2))/(LN(2)/2)*DW130*DZ130*VLOOKUP('Données projet'!$B$14,Paramètres!$A$1:$I$89,3,0)*0.475*44/12</f>
        <v>5.1585528797093256E-6</v>
      </c>
      <c r="ED130" s="22">
        <f t="shared" si="72"/>
        <v>27.391783922410095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>
        <f>EJ130*VLOOKUP('Données projet'!$B$15,Paramètres!$A$1:$I$89,3,0)*VLOOKUP('Données projet'!$B$15,Paramètres!$A$1:$I$89,5,0)</f>
        <v>0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384.34044781465661</v>
      </c>
      <c r="EP130" s="59">
        <f t="shared" si="100"/>
        <v>374.99493809709708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18.256767209110688</v>
      </c>
      <c r="EW130" s="21">
        <f>EXP(-LN(2)/25)*EW129+(1-EXP(-LN(2)/25))/(LN(2)/25)*Calculateur!ER130*Calculateur!ET130*VLOOKUP('Données projet'!$B$15,Paramètres!$A$1:$I$89,3,0)*0.475*44/12</f>
        <v>12.422025006409413</v>
      </c>
      <c r="EX130" s="21">
        <f>EXP(-LN(2)/2)*EX129+(1-EXP(-LN(2)/2))/(LN(2)/2)*ER130*EU130*VLOOKUP('Données projet'!$B$15,Paramètres!$A$1:$I$89,3,0)*0.475*44/12</f>
        <v>5.7775792252744343E-6</v>
      </c>
      <c r="EY130" s="22">
        <f t="shared" si="75"/>
        <v>30.678797993099327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>
        <f>FE130*VLOOKUP('Données projet'!$B$16,Paramètres!$A$1:$I$89,3,0)*VLOOKUP('Données projet'!$B$16,Paramètres!$A$1:$I$89,5,0)</f>
        <v>0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359.57284550600366</v>
      </c>
      <c r="FK130" s="59">
        <f t="shared" si="102"/>
        <v>351.38386928091433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16.95271240845992</v>
      </c>
      <c r="FR130" s="21">
        <f>EXP(-LN(2)/25)*FR129+(1-EXP(-LN(2)/25))/(LN(2)/25)*Calculateur!FM130*Calculateur!FO130*VLOOKUP('Données projet'!$B$16,Paramètres!$A$1:$I$89,3,0)*0.475*44/12</f>
        <v>11.534737505951586</v>
      </c>
      <c r="FS130" s="21">
        <f>EXP(-LN(2)/2)*FS129+(1-EXP(-LN(2)/2))/(LN(2)/2)*FM130*FP130*VLOOKUP('Données projet'!$B$16,Paramètres!$A$1:$I$89,3,0)*0.475*44/12</f>
        <v>5.3648949948977062E-6</v>
      </c>
      <c r="FT130" s="22">
        <f t="shared" si="78"/>
        <v>28.487455279306502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6">
        <f t="shared" si="56"/>
        <v>256.66666666666669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10.745999999999999</v>
      </c>
      <c r="N131" s="13">
        <f>IF('Données projet'!$A$36&gt;35,N130+M131-V130,IF(A131&lt;'Données projet'!$A$36,$K$205^A131,IF(A131='Données projet'!$A$36,'Données projet'!$B$36,N130+M131-V130)))</f>
        <v>584.91800000000001</v>
      </c>
      <c r="O131" s="13">
        <f>N131*VLOOKUP('Données projet'!$B$9,Paramètres!$A$1:$I$89,3,0)*VLOOKUP('Données projet'!$B$9,Paramètres!$A$1:$I$89,5,0)</f>
        <v>529.23380639999993</v>
      </c>
      <c r="P131" s="13">
        <f t="shared" si="87"/>
        <v>117.53496031630661</v>
      </c>
      <c r="Q131" s="20">
        <f t="shared" ref="Q131:Q153" si="108">(O131+P131)*0.475*44/12</f>
        <v>1126.4556020309005</v>
      </c>
      <c r="R131" s="59">
        <f t="shared" ref="R131:R194" si="109">Q131+(I131+J131)*44/12</f>
        <v>1419.7889353642338</v>
      </c>
      <c r="S131" s="59">
        <f ca="1">AVERAGE(OFFSET($R$3,0,0,'Données projet'!$E$9+1,1))-AVERAGE(OFFSET($H$3,0,0,'Données projet'!$E$9+1,1))</f>
        <v>695.0879239758051</v>
      </c>
      <c r="T131" s="59">
        <f t="shared" si="88"/>
        <v>226.22150997227476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52.770759641117195</v>
      </c>
      <c r="AA131" s="21">
        <f>EXP(-LN(2)/25)*AA130+(1-EXP(-LN(2)/25))/(LN(2)/25)*Calculateur!V131*Calculateur!X131*VLOOKUP('Données projet'!$B$9,Paramètres!$A$1:$I$89,3,0)*0.475*44/12</f>
        <v>24.431847342961227</v>
      </c>
      <c r="AB131" s="21">
        <f>EXP(-LN(2)/2)*AB130+(1-EXP(-LN(2)/2))/(LN(2)/2)*V131*Y131*VLOOKUP('Données projet'!$B$9,Paramètres!$A$1:$I$89,3,0)*0.475*44/12</f>
        <v>1.1803236442471706E-5</v>
      </c>
      <c r="AC131" s="22">
        <f t="shared" si="57"/>
        <v>77.202618787314861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1.1368683772161603E-13</v>
      </c>
      <c r="AJ131" s="13">
        <f>AI131*VLOOKUP('Données projet'!$B$10,Paramètres!$A$1:$I$89,3,0)*VLOOKUP('Données projet'!$B$10,Paramètres!$A$1:$I$89,5,0)</f>
        <v>6.7984728957526396E-14</v>
      </c>
      <c r="AK131" s="13">
        <f t="shared" si="89"/>
        <v>1.0682447123141398E-12</v>
      </c>
      <c r="AL131" s="20">
        <f t="shared" si="58"/>
        <v>1.978932943548152E-12</v>
      </c>
      <c r="AM131" s="59">
        <f t="shared" si="59"/>
        <v>293.3333333333353</v>
      </c>
      <c r="AN131" s="59">
        <f ca="1">AVERAGE(OFFSET($AM$3,0,0,'Données projet'!$E$10+1,1))-AVERAGE(OFFSET($H$3,0,0,'Données projet'!$E$10+1,1))</f>
        <v>388.12151914648013</v>
      </c>
      <c r="AO131" s="59">
        <f t="shared" si="90"/>
        <v>481.43684454382793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42.776884357785377</v>
      </c>
      <c r="AV131" s="21">
        <f>EXP(-LN(2)/25)*AV130+(1-EXP(-LN(2)/25))/(LN(2)/25)*Calculateur!AQ131*Calculateur!AS131*VLOOKUP('Données projet'!$B$10,Paramètres!$A$1:$I$89,3,0)*0.475*44/12</f>
        <v>8.3772304050945738</v>
      </c>
      <c r="AW131" s="21">
        <f>EXP(-LN(2)/2)*AW130+(1-EXP(-LN(2)/2))/(LN(2)/2)*AQ131*AT131*VLOOKUP('Données projet'!$B$10,Paramètres!$A$1:$I$89,3,0)*0.475*44/12</f>
        <v>1.1249257956229825E-9</v>
      </c>
      <c r="AX131" s="21">
        <f t="shared" si="60"/>
        <v>51.154114764004873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415.24818074059294</v>
      </c>
      <c r="BJ131" s="59">
        <f t="shared" si="92"/>
        <v>404.45811532046872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19.496866991424575</v>
      </c>
      <c r="BQ131" s="21">
        <f>EXP(-LN(2)/25)*BQ130+(1-EXP(-LN(2)/25))/(LN(2)/25)*Calculateur!BL131*Calculateur!BN131*VLOOKUP('Données projet'!$B$11,Paramètres!$A$1:$I$89,3,0)*0.475*44/12</f>
        <v>13.161124800734955</v>
      </c>
      <c r="BR131" s="21">
        <f>EXP(-LN(2)/2)*BR130+(1-EXP(-LN(2)/2))/(LN(2)/2)*BL131*BO131*VLOOKUP('Données projet'!$B$11,Paramètres!$A$1:$I$89,3,0)*0.475*44/12</f>
        <v>4.4501302212692559E-6</v>
      </c>
      <c r="BS131" s="22">
        <f t="shared" si="63"/>
        <v>32.657996242289748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384.34044781465661</v>
      </c>
      <c r="CE131" s="59">
        <f t="shared" si="94"/>
        <v>374.99493809709708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22.061266195405352</v>
      </c>
      <c r="CL131" s="21">
        <f>EXP(-LN(2)/25)*CL130+(1-EXP(-LN(2)/25))/(LN(2)/25)*Calculateur!CG131*Calculateur!CI131*VLOOKUP('Données projet'!$B$12,Paramètres!$A$1:$I$89,3,0)*0.475*44/12</f>
        <v>14.892191539680278</v>
      </c>
      <c r="CM131" s="21">
        <f>EXP(-LN(2)/2)*CM130+(1-EXP(-LN(2)/2))/(LN(2)/2)*CG131*CJ131*VLOOKUP('Données projet'!$B$12,Paramètres!$A$1:$I$89,3,0)*0.475*44/12</f>
        <v>4.0853654490340721E-6</v>
      </c>
      <c r="CN131" s="22">
        <f t="shared" si="66"/>
        <v>36.953461820451075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5.6843418860808015E-13</v>
      </c>
      <c r="CU131" s="17">
        <f>CT131*VLOOKUP('Données projet'!$B$13,Paramètres!$A$1:$I$89,3,0)*VLOOKUP('Données projet'!$B$13,Paramètres!$A$1:$I$89,5,0)</f>
        <v>3.177547114319168E-13</v>
      </c>
      <c r="CV131" s="13">
        <f t="shared" si="95"/>
        <v>4.1725404435445377E-12</v>
      </c>
      <c r="CW131" s="20">
        <f t="shared" si="67"/>
        <v>7.820597394917325E-12</v>
      </c>
      <c r="CX131" s="59">
        <f t="shared" si="68"/>
        <v>293.33333333334116</v>
      </c>
      <c r="CY131" s="59">
        <f ca="1">AVERAGE(OFFSET($CX$3,0,0,'Données projet'!$E$13+1,1))-AVERAGE(OFFSET($H$3,0,0,'Données projet'!$E$13+1,1))</f>
        <v>386.66324266750968</v>
      </c>
      <c r="CZ131" s="59">
        <f t="shared" si="96"/>
        <v>356.22149461585769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73.162677244157095</v>
      </c>
      <c r="DG131" s="21">
        <f>EXP(-LN(2)/25)*DG130+(1-EXP(-LN(2)/25))/(LN(2)/25)*Calculateur!DB131*Calculateur!DD131*VLOOKUP('Données projet'!$B$13,Paramètres!$A$1:$I$89,3,0)*0.475*44/12</f>
        <v>15.371999286755509</v>
      </c>
      <c r="DH131" s="21">
        <f>EXP(-LN(2)/2)*DH130+(1-EXP(-LN(2)/2))/(LN(2)/2)*DB131*DE131*VLOOKUP('Données projet'!$B$13,Paramètres!$A$1:$I$89,3,0)*0.475*44/12</f>
        <v>1.4063999862004055E-7</v>
      </c>
      <c r="DI131" s="22">
        <f t="shared" si="69"/>
        <v>88.534676671552603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>
        <f>DO131*VLOOKUP('Données projet'!$B$14,Paramètres!$A$1:$I$89,3,0)*VLOOKUP('Données projet'!$B$14,Paramètres!$A$1:$I$89,5,0)</f>
        <v>0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347.17417070871716</v>
      </c>
      <c r="DU131" s="59">
        <f t="shared" si="98"/>
        <v>339.56378046986441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15.981038517561135</v>
      </c>
      <c r="EB131" s="21">
        <f>EXP(-LN(2)/25)*EB130+(1-EXP(-LN(2)/25))/(LN(2)/25)*Calculateur!DW131*Calculateur!DY131*VLOOKUP('Données projet'!$B$14,Paramètres!$A$1:$I$89,3,0)*0.475*44/12</f>
        <v>10.787807213717173</v>
      </c>
      <c r="EC131" s="21">
        <f>EXP(-LN(2)/2)*EC130+(1-EXP(-LN(2)/2))/(LN(2)/2)*DW131*DZ131*VLOOKUP('Données projet'!$B$14,Paramètres!$A$1:$I$89,3,0)*0.475*44/12</f>
        <v>3.6476477223518568E-6</v>
      </c>
      <c r="ED131" s="22">
        <f t="shared" si="72"/>
        <v>26.768849378926031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>
        <f>EJ131*VLOOKUP('Données projet'!$B$15,Paramètres!$A$1:$I$89,3,0)*VLOOKUP('Données projet'!$B$15,Paramètres!$A$1:$I$89,5,0)</f>
        <v>0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384.34044781465661</v>
      </c>
      <c r="EP131" s="59">
        <f t="shared" si="100"/>
        <v>374.99493809709708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17.898763139668482</v>
      </c>
      <c r="EW131" s="21">
        <f>EXP(-LN(2)/25)*EW130+(1-EXP(-LN(2)/25))/(LN(2)/25)*Calculateur!ER131*Calculateur!ET131*VLOOKUP('Données projet'!$B$15,Paramètres!$A$1:$I$89,3,0)*0.475*44/12</f>
        <v>12.082344079363244</v>
      </c>
      <c r="EX131" s="21">
        <f>EXP(-LN(2)/2)*EX130+(1-EXP(-LN(2)/2))/(LN(2)/2)*ER131*EU131*VLOOKUP('Données projet'!$B$15,Paramètres!$A$1:$I$89,3,0)*0.475*44/12</f>
        <v>4.0853654490340721E-6</v>
      </c>
      <c r="EY131" s="22">
        <f t="shared" si="75"/>
        <v>29.981111304397178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>
        <f>FE131*VLOOKUP('Données projet'!$B$16,Paramètres!$A$1:$I$89,3,0)*VLOOKUP('Données projet'!$B$16,Paramètres!$A$1:$I$89,5,0)</f>
        <v>0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359.57284550600366</v>
      </c>
      <c r="FK131" s="59">
        <f t="shared" si="102"/>
        <v>351.38386928091433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16.620280058263585</v>
      </c>
      <c r="FR131" s="21">
        <f>EXP(-LN(2)/25)*FR130+(1-EXP(-LN(2)/25))/(LN(2)/25)*Calculateur!FM131*Calculateur!FO131*VLOOKUP('Données projet'!$B$16,Paramètres!$A$1:$I$89,3,0)*0.475*44/12</f>
        <v>11.219319502265858</v>
      </c>
      <c r="FS131" s="21">
        <f>EXP(-LN(2)/2)*FS130+(1-EXP(-LN(2)/2))/(LN(2)/2)*FM131*FP131*VLOOKUP('Données projet'!$B$16,Paramètres!$A$1:$I$89,3,0)*0.475*44/12</f>
        <v>3.7935536312459365E-6</v>
      </c>
      <c r="FT131" s="22">
        <f t="shared" si="78"/>
        <v>27.839603354083074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6">
        <f t="shared" ref="H132:H195" si="110">(B132+E132+F132)*44/12+(C132+D132)*0.475*44/12</f>
        <v>256.66666666666669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10.745999999999999</v>
      </c>
      <c r="N132" s="13">
        <f>IF('Données projet'!$A$36&gt;35,N131+M132-V131,IF(A132&lt;'Données projet'!$A$36,$K$205^A132,IF(A132='Données projet'!$A$36,'Données projet'!$B$36,N131+M132-V131)))</f>
        <v>595.66399999999999</v>
      </c>
      <c r="O132" s="13">
        <f>N132*VLOOKUP('Données projet'!$B$9,Paramètres!$A$1:$I$89,3,0)*VLOOKUP('Données projet'!$B$9,Paramètres!$A$1:$I$89,5,0)</f>
        <v>538.95678720000001</v>
      </c>
      <c r="P132" s="13">
        <f t="shared" si="87"/>
        <v>119.44091757198787</v>
      </c>
      <c r="Q132" s="20">
        <f t="shared" si="108"/>
        <v>1146.709335811212</v>
      </c>
      <c r="R132" s="59">
        <f t="shared" si="109"/>
        <v>1440.0426691445452</v>
      </c>
      <c r="S132" s="59">
        <f ca="1">AVERAGE(OFFSET($R$3,0,0,'Données projet'!$E$9+1,1))-AVERAGE(OFFSET($H$3,0,0,'Données projet'!$E$9+1,1))</f>
        <v>695.0879239758051</v>
      </c>
      <c r="T132" s="59">
        <f t="shared" si="88"/>
        <v>226.22150997227476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51.73595723154007</v>
      </c>
      <c r="AA132" s="21">
        <f>EXP(-LN(2)/25)*AA131+(1-EXP(-LN(2)/25))/(LN(2)/25)*Calculateur!V132*Calculateur!X132*VLOOKUP('Données projet'!$B$9,Paramètres!$A$1:$I$89,3,0)*0.475*44/12</f>
        <v>23.763757192552941</v>
      </c>
      <c r="AB132" s="21">
        <f>EXP(-LN(2)/2)*AB131+(1-EXP(-LN(2)/2))/(LN(2)/2)*V132*Y132*VLOOKUP('Données projet'!$B$9,Paramètres!$A$1:$I$89,3,0)*0.475*44/12</f>
        <v>8.3461485284199245E-6</v>
      </c>
      <c r="AC132" s="22">
        <f t="shared" ref="AC132:AC153" si="111">SUM(Z132:AB132)</f>
        <v>75.499722770241547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1.1368683772161603E-13</v>
      </c>
      <c r="AJ132" s="13">
        <f>AI132*VLOOKUP('Données projet'!$B$10,Paramètres!$A$1:$I$89,3,0)*VLOOKUP('Données projet'!$B$10,Paramètres!$A$1:$I$89,5,0)</f>
        <v>6.7984728957526396E-14</v>
      </c>
      <c r="AK132" s="13">
        <f t="shared" si="89"/>
        <v>1.0682447123141398E-12</v>
      </c>
      <c r="AL132" s="20">
        <f t="shared" ref="AL132:AL153" si="112">(AJ132+AK132)*0.475*44/12</f>
        <v>1.978932943548152E-12</v>
      </c>
      <c r="AM132" s="59">
        <f t="shared" ref="AM132:AM195" si="113">AL132+(AD132+AE132)*44/12</f>
        <v>293.3333333333353</v>
      </c>
      <c r="AN132" s="59">
        <f ca="1">AVERAGE(OFFSET($AM$3,0,0,'Données projet'!$E$10+1,1))-AVERAGE(OFFSET($H$3,0,0,'Données projet'!$E$10+1,1))</f>
        <v>388.12151914648013</v>
      </c>
      <c r="AO132" s="59">
        <f t="shared" si="90"/>
        <v>481.43684454382793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41.938055746852363</v>
      </c>
      <c r="AV132" s="21">
        <f>EXP(-LN(2)/25)*AV131+(1-EXP(-LN(2)/25))/(LN(2)/25)*Calculateur!AQ132*Calculateur!AS132*VLOOKUP('Données projet'!$B$10,Paramètres!$A$1:$I$89,3,0)*0.475*44/12</f>
        <v>8.1481545991278619</v>
      </c>
      <c r="AW132" s="21">
        <f>EXP(-LN(2)/2)*AW131+(1-EXP(-LN(2)/2))/(LN(2)/2)*AQ132*AT132*VLOOKUP('Données projet'!$B$10,Paramètres!$A$1:$I$89,3,0)*0.475*44/12</f>
        <v>7.954426584166832E-10</v>
      </c>
      <c r="AX132" s="21">
        <f t="shared" ref="AX132:AX153" si="114">SUM(AU132:AW132)</f>
        <v>50.086210346775673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415.24818074059294</v>
      </c>
      <c r="BJ132" s="59">
        <f t="shared" si="92"/>
        <v>404.45811532046872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19.114545321637376</v>
      </c>
      <c r="BQ132" s="21">
        <f>EXP(-LN(2)/25)*BQ131+(1-EXP(-LN(2)/25))/(LN(2)/25)*Calculateur!BL132*Calculateur!BN132*VLOOKUP('Données projet'!$B$11,Paramètres!$A$1:$I$89,3,0)*0.475*44/12</f>
        <v>12.801233150945384</v>
      </c>
      <c r="BR132" s="21">
        <f>EXP(-LN(2)/2)*BR131+(1-EXP(-LN(2)/2))/(LN(2)/2)*BL132*BO132*VLOOKUP('Données projet'!$B$11,Paramètres!$A$1:$I$89,3,0)*0.475*44/12</f>
        <v>3.1467172566226821E-6</v>
      </c>
      <c r="BS132" s="22">
        <f t="shared" ref="BS132:BS153" si="117">SUM(BP132:BR132)</f>
        <v>31.915781619300017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384.34044781465661</v>
      </c>
      <c r="CE132" s="59">
        <f t="shared" si="94"/>
        <v>374.99493809709708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21.62865822135716</v>
      </c>
      <c r="CL132" s="21">
        <f>EXP(-LN(2)/25)*CL131+(1-EXP(-LN(2)/25))/(LN(2)/25)*Calculateur!CG132*Calculateur!CI132*VLOOKUP('Données projet'!$B$12,Paramètres!$A$1:$I$89,3,0)*0.475*44/12</f>
        <v>14.484963778881404</v>
      </c>
      <c r="CM132" s="21">
        <f>EXP(-LN(2)/2)*CM131+(1-EXP(-LN(2)/2))/(LN(2)/2)*CG132*CJ132*VLOOKUP('Données projet'!$B$12,Paramètres!$A$1:$I$89,3,0)*0.475*44/12</f>
        <v>2.8887896126372172E-6</v>
      </c>
      <c r="CN132" s="22">
        <f t="shared" ref="CN132:CN153" si="120">SUM(CK132:CM132)</f>
        <v>36.113624889028173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5.6843418860808015E-13</v>
      </c>
      <c r="CU132" s="17">
        <f>CT132*VLOOKUP('Données projet'!$B$13,Paramètres!$A$1:$I$89,3,0)*VLOOKUP('Données projet'!$B$13,Paramètres!$A$1:$I$89,5,0)</f>
        <v>3.177547114319168E-13</v>
      </c>
      <c r="CV132" s="13">
        <f t="shared" si="95"/>
        <v>4.1725404435445377E-12</v>
      </c>
      <c r="CW132" s="20">
        <f t="shared" ref="CW132:CW153" si="121">(CU132+CV132)*0.475*44/12</f>
        <v>7.820597394917325E-12</v>
      </c>
      <c r="CX132" s="59">
        <f t="shared" ref="CX132:CX195" si="122">CW132+(CO132+CP132)*44/12</f>
        <v>293.33333333334116</v>
      </c>
      <c r="CY132" s="59">
        <f ca="1">AVERAGE(OFFSET($CX$3,0,0,'Données projet'!$E$13+1,1))-AVERAGE(OFFSET($H$3,0,0,'Données projet'!$E$13+1,1))</f>
        <v>386.66324266750968</v>
      </c>
      <c r="CZ132" s="59">
        <f t="shared" si="96"/>
        <v>356.22149461585769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71.728001768225951</v>
      </c>
      <c r="DG132" s="21">
        <f>EXP(-LN(2)/25)*DG131+(1-EXP(-LN(2)/25))/(LN(2)/25)*Calculateur!DB132*Calculateur!DD132*VLOOKUP('Données projet'!$B$13,Paramètres!$A$1:$I$89,3,0)*0.475*44/12</f>
        <v>14.951651157880869</v>
      </c>
      <c r="DH132" s="21">
        <f>EXP(-LN(2)/2)*DH131+(1-EXP(-LN(2)/2))/(LN(2)/2)*DB132*DE132*VLOOKUP('Données projet'!$B$13,Paramètres!$A$1:$I$89,3,0)*0.475*44/12</f>
        <v>9.9447496730297358E-8</v>
      </c>
      <c r="DI132" s="22">
        <f t="shared" ref="DI132:DI153" si="123">SUM(DF132:DH132)</f>
        <v>86.679653025554316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>
        <f>DO132*VLOOKUP('Données projet'!$B$14,Paramètres!$A$1:$I$89,3,0)*VLOOKUP('Données projet'!$B$14,Paramètres!$A$1:$I$89,5,0)</f>
        <v>0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347.17417070871716</v>
      </c>
      <c r="DU132" s="59">
        <f t="shared" si="98"/>
        <v>339.56378046986441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15.667660099702774</v>
      </c>
      <c r="EB132" s="21">
        <f>EXP(-LN(2)/25)*EB131+(1-EXP(-LN(2)/25))/(LN(2)/25)*Calculateur!DW132*Calculateur!DY132*VLOOKUP('Données projet'!$B$14,Paramètres!$A$1:$I$89,3,0)*0.475*44/12</f>
        <v>10.492814058151952</v>
      </c>
      <c r="EC132" s="21">
        <f>EXP(-LN(2)/2)*EC131+(1-EXP(-LN(2)/2))/(LN(2)/2)*DW132*DZ132*VLOOKUP('Données projet'!$B$14,Paramètres!$A$1:$I$89,3,0)*0.475*44/12</f>
        <v>2.5792764398546628E-6</v>
      </c>
      <c r="ED132" s="22">
        <f t="shared" ref="ED132:ED153" si="126">SUM(EA132:EC132)</f>
        <v>26.160476737131166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>
        <f>EJ132*VLOOKUP('Données projet'!$B$15,Paramètres!$A$1:$I$89,3,0)*VLOOKUP('Données projet'!$B$15,Paramètres!$A$1:$I$89,5,0)</f>
        <v>0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384.34044781465661</v>
      </c>
      <c r="EP132" s="59">
        <f t="shared" si="100"/>
        <v>374.99493809709708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17.547779311667117</v>
      </c>
      <c r="EW132" s="21">
        <f>EXP(-LN(2)/25)*EW131+(1-EXP(-LN(2)/25))/(LN(2)/25)*Calculateur!ER132*Calculateur!ET132*VLOOKUP('Données projet'!$B$15,Paramètres!$A$1:$I$89,3,0)*0.475*44/12</f>
        <v>11.751951745130196</v>
      </c>
      <c r="EX132" s="21">
        <f>EXP(-LN(2)/2)*EX131+(1-EXP(-LN(2)/2))/(LN(2)/2)*ER132*EU132*VLOOKUP('Données projet'!$B$15,Paramètres!$A$1:$I$89,3,0)*0.475*44/12</f>
        <v>2.8887896126372172E-6</v>
      </c>
      <c r="EY132" s="22">
        <f t="shared" ref="EY132:EY153" si="129">SUM(EV132:EX132)</f>
        <v>29.299733945586926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>
        <f>FE132*VLOOKUP('Données projet'!$B$16,Paramètres!$A$1:$I$89,3,0)*VLOOKUP('Données projet'!$B$16,Paramètres!$A$1:$I$89,5,0)</f>
        <v>0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359.57284550600366</v>
      </c>
      <c r="FK132" s="59">
        <f t="shared" si="102"/>
        <v>351.38386928091433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16.294366503690888</v>
      </c>
      <c r="FR132" s="21">
        <f>EXP(-LN(2)/25)*FR131+(1-EXP(-LN(2)/25))/(LN(2)/25)*Calculateur!FM132*Calculateur!FO132*VLOOKUP('Données projet'!$B$16,Paramètres!$A$1:$I$89,3,0)*0.475*44/12</f>
        <v>10.912526620478028</v>
      </c>
      <c r="FS132" s="21">
        <f>EXP(-LN(2)/2)*FS131+(1-EXP(-LN(2)/2))/(LN(2)/2)*FM132*FP132*VLOOKUP('Données projet'!$B$16,Paramètres!$A$1:$I$89,3,0)*0.475*44/12</f>
        <v>2.6824474974488535E-6</v>
      </c>
      <c r="FT132" s="22">
        <f t="shared" ref="FT132:FT153" si="132">SUM(FQ132:FS132)</f>
        <v>27.206895806616412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6">
        <f t="shared" si="110"/>
        <v>256.66666666666669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>
        <f>VLOOKUP(A133,'Données projet'!$A$35:$I$55,2,0)</f>
        <v>606.41</v>
      </c>
      <c r="L133" s="12">
        <f>VLOOKUP(A133,'Données projet'!$A$35:$I$55,9,0)</f>
        <v>10.745999999999999</v>
      </c>
      <c r="M133" s="12">
        <f t="array" ref="M133">INDEX(L:L,MIN(IF(ISNUMBER(L133:L329),ROW(L133:L329),"")))</f>
        <v>10.745999999999999</v>
      </c>
      <c r="N133" s="13">
        <f>IF('Données projet'!$A$36&gt;35,N132+M133-V132,IF(A133&lt;'Données projet'!$A$36,$K$205^A133,IF(A133='Données projet'!$A$36,'Données projet'!$B$36,N132+M133-V132)))</f>
        <v>606.41</v>
      </c>
      <c r="O133" s="13">
        <f>N133*VLOOKUP('Données projet'!$B$9,Paramètres!$A$1:$I$89,3,0)*VLOOKUP('Données projet'!$B$9,Paramètres!$A$1:$I$89,5,0)</f>
        <v>548.67976799999997</v>
      </c>
      <c r="P133" s="13">
        <f t="shared" ref="P133:P196" si="141">EXP(-1.0587+0.8836*LN(O133)+0.284)</f>
        <v>121.34287647942783</v>
      </c>
      <c r="Q133" s="20">
        <f t="shared" si="108"/>
        <v>1166.95610580167</v>
      </c>
      <c r="R133" s="59">
        <f t="shared" si="109"/>
        <v>1460.2894391350032</v>
      </c>
      <c r="S133" s="59">
        <f ca="1">AVERAGE(OFFSET($R$3,0,0,'Données projet'!$E$9+1,1))-AVERAGE(OFFSET($H$3,0,0,'Données projet'!$E$9+1,1))</f>
        <v>695.0879239758051</v>
      </c>
      <c r="T133" s="59">
        <f t="shared" ref="T133:T196" si="142">$T$3</f>
        <v>226.22150997227476</v>
      </c>
      <c r="U133" s="15">
        <f>IF(ISNA(VLOOKUP(A133,'Données projet'!$A$35:$I$55,3,0)),0,VLOOKUP(A133,'Données projet'!$A$35:$I$55,3,0))</f>
        <v>12</v>
      </c>
      <c r="V133" s="15">
        <f>IF(ISNA(VLOOKUP(A133,'Données projet'!$A$35:$I$55,4,0)),0,VLOOKUP(A133,'Données projet'!$A$35:$I$55,4,0))</f>
        <v>75.799999999999955</v>
      </c>
      <c r="W133" s="16">
        <f>IF(ISNA(VLOOKUP(A133,'Données projet'!$A$35:$I$55,5,0)),0%,VLOOKUP(A133,'Données projet'!$A$35:$I$55,5,0)*VLOOKUP('Données projet'!$B$9,Paramètres!$A$1:$I$89,7,0))</f>
        <v>0.215</v>
      </c>
      <c r="X133" s="16">
        <f>IF(ISNA(VLOOKUP(A133,'Données projet'!$A$35:$I$55,6,0)),0%,VLOOKUP(A133,'Données projet'!$A$35:$I$55,6,0)*VLOOKUP('Données projet'!$B$9,Paramètres!$A$1:$I$89,7,0))</f>
        <v>8.6000000000000007E-2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67.022188447492425</v>
      </c>
      <c r="AA133" s="21">
        <f>EXP(-LN(2)/25)*AA132+(1-EXP(-LN(2)/25))/(LN(2)/25)*Calculateur!V133*Calculateur!X133*VLOOKUP('Données projet'!$B$9,Paramètres!$A$1:$I$89,3,0)*0.475*44/12</f>
        <v>29.608559822433588</v>
      </c>
      <c r="AB133" s="21">
        <f>EXP(-LN(2)/2)*AB132+(1-EXP(-LN(2)/2))/(LN(2)/2)*V133*Y133*VLOOKUP('Données projet'!$B$9,Paramètres!$A$1:$I$89,3,0)*0.475*44/12</f>
        <v>5.9016182212358532E-6</v>
      </c>
      <c r="AC133" s="22">
        <f t="shared" si="111"/>
        <v>96.63075417154424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1.1368683772161603E-13</v>
      </c>
      <c r="AJ133" s="13">
        <f>AI133*VLOOKUP('Données projet'!$B$10,Paramètres!$A$1:$I$89,3,0)*VLOOKUP('Données projet'!$B$10,Paramètres!$A$1:$I$89,5,0)</f>
        <v>6.7984728957526396E-14</v>
      </c>
      <c r="AK133" s="13">
        <f t="shared" ref="AK133:AK153" si="143">EXP(-1.0587+0.8836*LN(AJ133)+0.284)</f>
        <v>1.0682447123141398E-12</v>
      </c>
      <c r="AL133" s="20">
        <f t="shared" si="112"/>
        <v>1.978932943548152E-12</v>
      </c>
      <c r="AM133" s="59">
        <f t="shared" si="113"/>
        <v>293.3333333333353</v>
      </c>
      <c r="AN133" s="59">
        <f ca="1">AVERAGE(OFFSET($AM$3,0,0,'Données projet'!$E$10+1,1))-AVERAGE(OFFSET($H$3,0,0,'Données projet'!$E$10+1,1))</f>
        <v>388.12151914648013</v>
      </c>
      <c r="AO133" s="59">
        <f t="shared" ref="AO133:AO196" si="144">$AO$3</f>
        <v>481.43684454382793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41.115676053344806</v>
      </c>
      <c r="AV133" s="21">
        <f>EXP(-LN(2)/25)*AV132+(1-EXP(-LN(2)/25))/(LN(2)/25)*Calculateur!AQ133*Calculateur!AS133*VLOOKUP('Données projet'!$B$10,Paramètres!$A$1:$I$89,3,0)*0.475*44/12</f>
        <v>7.9253428831218828</v>
      </c>
      <c r="AW133" s="21">
        <f>EXP(-LN(2)/2)*AW132+(1-EXP(-LN(2)/2))/(LN(2)/2)*AQ133*AT133*VLOOKUP('Données projet'!$B$10,Paramètres!$A$1:$I$89,3,0)*0.475*44/12</f>
        <v>5.6246289781149127E-10</v>
      </c>
      <c r="AX133" s="21">
        <f t="shared" si="114"/>
        <v>49.041018937029158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415.24818074059294</v>
      </c>
      <c r="BJ133" s="59">
        <f t="shared" ref="BJ133:BJ196" si="146">$BJ$3</f>
        <v>404.45811532046872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18.73972074660151</v>
      </c>
      <c r="BQ133" s="21">
        <f>EXP(-LN(2)/25)*BQ132+(1-EXP(-LN(2)/25))/(LN(2)/25)*Calculateur!BL133*Calculateur!BN133*VLOOKUP('Données projet'!$B$11,Paramètres!$A$1:$I$89,3,0)*0.475*44/12</f>
        <v>12.451182757245189</v>
      </c>
      <c r="BR133" s="21">
        <f>EXP(-LN(2)/2)*BR132+(1-EXP(-LN(2)/2))/(LN(2)/2)*BL133*BO133*VLOOKUP('Données projet'!$B$11,Paramètres!$A$1:$I$89,3,0)*0.475*44/12</f>
        <v>2.2250651106346279E-6</v>
      </c>
      <c r="BS133" s="22">
        <f t="shared" si="117"/>
        <v>31.190905728911808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384.34044781465661</v>
      </c>
      <c r="CE133" s="59">
        <f t="shared" ref="CE133:CE196" si="148">$CE$3</f>
        <v>374.99493809709708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21.204533425815242</v>
      </c>
      <c r="CL133" s="21">
        <f>EXP(-LN(2)/25)*CL132+(1-EXP(-LN(2)/25))/(LN(2)/25)*Calculateur!CG133*Calculateur!CI133*VLOOKUP('Données projet'!$B$12,Paramètres!$A$1:$I$89,3,0)*0.475*44/12</f>
        <v>14.088871682616753</v>
      </c>
      <c r="CM133" s="21">
        <f>EXP(-LN(2)/2)*CM132+(1-EXP(-LN(2)/2))/(LN(2)/2)*CG133*CJ133*VLOOKUP('Données projet'!$B$12,Paramètres!$A$1:$I$89,3,0)*0.475*44/12</f>
        <v>2.0426827245170361E-6</v>
      </c>
      <c r="CN133" s="22">
        <f t="shared" si="120"/>
        <v>35.293407151114721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5.6843418860808015E-13</v>
      </c>
      <c r="CU133" s="17">
        <f>CT133*VLOOKUP('Données projet'!$B$13,Paramètres!$A$1:$I$89,3,0)*VLOOKUP('Données projet'!$B$13,Paramètres!$A$1:$I$89,5,0)</f>
        <v>3.177547114319168E-13</v>
      </c>
      <c r="CV133" s="13">
        <f t="shared" ref="CV133:CV153" si="149">EXP(-1.0587+0.8836*LN(CU133)+0.284)</f>
        <v>4.1725404435445377E-12</v>
      </c>
      <c r="CW133" s="20">
        <f t="shared" si="121"/>
        <v>7.820597394917325E-12</v>
      </c>
      <c r="CX133" s="59">
        <f t="shared" si="122"/>
        <v>293.33333333334116</v>
      </c>
      <c r="CY133" s="59">
        <f ca="1">AVERAGE(OFFSET($CX$3,0,0,'Données projet'!$E$13+1,1))-AVERAGE(OFFSET($H$3,0,0,'Données projet'!$E$13+1,1))</f>
        <v>386.66324266750968</v>
      </c>
      <c r="CZ133" s="59">
        <f t="shared" ref="CZ133:CZ196" si="150">$CZ$3</f>
        <v>356.22149461585769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70.32145940331219</v>
      </c>
      <c r="DG133" s="21">
        <f>EXP(-LN(2)/25)*DG132+(1-EXP(-LN(2)/25))/(LN(2)/25)*Calculateur!DB133*Calculateur!DD133*VLOOKUP('Données projet'!$B$13,Paramètres!$A$1:$I$89,3,0)*0.475*44/12</f>
        <v>14.542797470695454</v>
      </c>
      <c r="DH133" s="21">
        <f>EXP(-LN(2)/2)*DH132+(1-EXP(-LN(2)/2))/(LN(2)/2)*DB133*DE133*VLOOKUP('Données projet'!$B$13,Paramètres!$A$1:$I$89,3,0)*0.475*44/12</f>
        <v>7.0319999310020273E-8</v>
      </c>
      <c r="DI133" s="22">
        <f t="shared" si="123"/>
        <v>84.86425694432765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>
        <f>DO133*VLOOKUP('Données projet'!$B$14,Paramètres!$A$1:$I$89,3,0)*VLOOKUP('Données projet'!$B$14,Paramètres!$A$1:$I$89,5,0)</f>
        <v>0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347.17417070871716</v>
      </c>
      <c r="DU133" s="59">
        <f t="shared" ref="DU133:DU196" si="152">$DU$3</f>
        <v>339.56378046986441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15.360426841476654</v>
      </c>
      <c r="EB133" s="21">
        <f>EXP(-LN(2)/25)*EB132+(1-EXP(-LN(2)/25))/(LN(2)/25)*Calculateur!DW133*Calculateur!DY133*VLOOKUP('Données projet'!$B$14,Paramètres!$A$1:$I$89,3,0)*0.475*44/12</f>
        <v>10.205887505938676</v>
      </c>
      <c r="EC133" s="21">
        <f>EXP(-LN(2)/2)*EC132+(1-EXP(-LN(2)/2))/(LN(2)/2)*DW133*DZ133*VLOOKUP('Données projet'!$B$14,Paramètres!$A$1:$I$89,3,0)*0.475*44/12</f>
        <v>1.8238238611759284E-6</v>
      </c>
      <c r="ED133" s="22">
        <f t="shared" si="126"/>
        <v>25.56631617123919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>
        <f>EJ133*VLOOKUP('Données projet'!$B$15,Paramètres!$A$1:$I$89,3,0)*VLOOKUP('Données projet'!$B$15,Paramètres!$A$1:$I$89,5,0)</f>
        <v>0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384.34044781465661</v>
      </c>
      <c r="EP133" s="59">
        <f t="shared" ref="EP133:EP196" si="154">$EP$3</f>
        <v>374.99493809709708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17.203678062453864</v>
      </c>
      <c r="EW133" s="21">
        <f>EXP(-LN(2)/25)*EW132+(1-EXP(-LN(2)/25))/(LN(2)/25)*Calculateur!ER133*Calculateur!ET133*VLOOKUP('Données projet'!$B$15,Paramètres!$A$1:$I$89,3,0)*0.475*44/12</f>
        <v>11.430594006651328</v>
      </c>
      <c r="EX133" s="21">
        <f>EXP(-LN(2)/2)*EX132+(1-EXP(-LN(2)/2))/(LN(2)/2)*ER133*EU133*VLOOKUP('Données projet'!$B$15,Paramètres!$A$1:$I$89,3,0)*0.475*44/12</f>
        <v>2.0426827245170361E-6</v>
      </c>
      <c r="EY133" s="22">
        <f t="shared" si="129"/>
        <v>28.634274111787917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>
        <f>FE133*VLOOKUP('Données projet'!$B$16,Paramètres!$A$1:$I$89,3,0)*VLOOKUP('Données projet'!$B$16,Paramètres!$A$1:$I$89,5,0)</f>
        <v>0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359.57284550600366</v>
      </c>
      <c r="FK133" s="59">
        <f t="shared" ref="FK133:FK196" si="156">$FK$3</f>
        <v>351.38386928091433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15.974843915135724</v>
      </c>
      <c r="FR133" s="21">
        <f>EXP(-LN(2)/25)*FR132+(1-EXP(-LN(2)/25))/(LN(2)/25)*Calculateur!FM133*Calculateur!FO133*VLOOKUP('Données projet'!$B$16,Paramètres!$A$1:$I$89,3,0)*0.475*44/12</f>
        <v>10.614123006176222</v>
      </c>
      <c r="FS133" s="21">
        <f>EXP(-LN(2)/2)*FS132+(1-EXP(-LN(2)/2))/(LN(2)/2)*FM133*FP133*VLOOKUP('Données projet'!$B$16,Paramètres!$A$1:$I$89,3,0)*0.475*44/12</f>
        <v>1.8967768156229687E-6</v>
      </c>
      <c r="FT133" s="22">
        <f t="shared" si="132"/>
        <v>26.588968818088759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6">
        <f t="shared" si="110"/>
        <v>256.66666666666669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10.843999999999994</v>
      </c>
      <c r="N134" s="13">
        <f>IF('Données projet'!$A$36&gt;35,N133+M134-V133,IF(A134&lt;'Données projet'!$A$36,$K$205^A134,IF(A134='Données projet'!$A$36,'Données projet'!$B$36,N133+M134-V133)))</f>
        <v>541.45399999999995</v>
      </c>
      <c r="O134" s="13">
        <f>N134*VLOOKUP('Données projet'!$B$9,Paramètres!$A$1:$I$89,3,0)*VLOOKUP('Données projet'!$B$9,Paramètres!$A$1:$I$89,5,0)</f>
        <v>489.90757919999993</v>
      </c>
      <c r="P134" s="13">
        <f t="shared" si="141"/>
        <v>109.78346531715303</v>
      </c>
      <c r="Q134" s="20">
        <f t="shared" si="108"/>
        <v>1044.4619025340414</v>
      </c>
      <c r="R134" s="59">
        <f t="shared" si="109"/>
        <v>1337.7952358673747</v>
      </c>
      <c r="S134" s="59">
        <f ca="1">AVERAGE(OFFSET($R$3,0,0,'Données projet'!$E$9+1,1))-AVERAGE(OFFSET($H$3,0,0,'Données projet'!$E$9+1,1))</f>
        <v>695.0879239758051</v>
      </c>
      <c r="T134" s="59">
        <f t="shared" si="142"/>
        <v>226.22150997227476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65.707924211535541</v>
      </c>
      <c r="AA134" s="21">
        <f>EXP(-LN(2)/25)*AA133+(1-EXP(-LN(2)/25))/(LN(2)/25)*Calculateur!V134*Calculateur!X134*VLOOKUP('Données projet'!$B$9,Paramètres!$A$1:$I$89,3,0)*0.475*44/12</f>
        <v>28.79891219704265</v>
      </c>
      <c r="AB134" s="21">
        <f>EXP(-LN(2)/2)*AB133+(1-EXP(-LN(2)/2))/(LN(2)/2)*V134*Y134*VLOOKUP('Données projet'!$B$9,Paramètres!$A$1:$I$89,3,0)*0.475*44/12</f>
        <v>4.1730742642099622E-6</v>
      </c>
      <c r="AC134" s="22">
        <f t="shared" si="111"/>
        <v>94.506840581652455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1.1368683772161603E-13</v>
      </c>
      <c r="AJ134" s="13">
        <f>AI134*VLOOKUP('Données projet'!$B$10,Paramètres!$A$1:$I$89,3,0)*VLOOKUP('Données projet'!$B$10,Paramètres!$A$1:$I$89,5,0)</f>
        <v>6.7984728957526396E-14</v>
      </c>
      <c r="AK134" s="13">
        <f t="shared" si="143"/>
        <v>1.0682447123141398E-12</v>
      </c>
      <c r="AL134" s="20">
        <f t="shared" si="112"/>
        <v>1.978932943548152E-12</v>
      </c>
      <c r="AM134" s="59">
        <f t="shared" si="113"/>
        <v>293.3333333333353</v>
      </c>
      <c r="AN134" s="59">
        <f ca="1">AVERAGE(OFFSET($AM$3,0,0,'Données projet'!$E$10+1,1))-AVERAGE(OFFSET($H$3,0,0,'Données projet'!$E$10+1,1))</f>
        <v>388.12151914648013</v>
      </c>
      <c r="AO134" s="59">
        <f t="shared" si="144"/>
        <v>481.43684454382793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40.309422724024849</v>
      </c>
      <c r="AV134" s="21">
        <f>EXP(-LN(2)/25)*AV133+(1-EXP(-LN(2)/25))/(LN(2)/25)*Calculateur!AQ134*Calculateur!AS134*VLOOKUP('Données projet'!$B$10,Paramètres!$A$1:$I$89,3,0)*0.475*44/12</f>
        <v>7.7086239652072459</v>
      </c>
      <c r="AW134" s="21">
        <f>EXP(-LN(2)/2)*AW133+(1-EXP(-LN(2)/2))/(LN(2)/2)*AQ134*AT134*VLOOKUP('Données projet'!$B$10,Paramètres!$A$1:$I$89,3,0)*0.475*44/12</f>
        <v>3.977213292083416E-10</v>
      </c>
      <c r="AX134" s="21">
        <f t="shared" si="114"/>
        <v>48.018046689629813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415.24818074059294</v>
      </c>
      <c r="BJ134" s="59">
        <f t="shared" si="146"/>
        <v>404.45811532046872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18.372246252861682</v>
      </c>
      <c r="BQ134" s="21">
        <f>EXP(-LN(2)/25)*BQ133+(1-EXP(-LN(2)/25))/(LN(2)/25)*Calculateur!BL134*Calculateur!BN134*VLOOKUP('Données projet'!$B$11,Paramètres!$A$1:$I$89,3,0)*0.475*44/12</f>
        <v>12.110704509969075</v>
      </c>
      <c r="BR134" s="21">
        <f>EXP(-LN(2)/2)*BR133+(1-EXP(-LN(2)/2))/(LN(2)/2)*BL134*BO134*VLOOKUP('Données projet'!$B$11,Paramètres!$A$1:$I$89,3,0)*0.475*44/12</f>
        <v>1.573358628311341E-6</v>
      </c>
      <c r="BS134" s="22">
        <f t="shared" si="117"/>
        <v>30.482952336189385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384.34044781465661</v>
      </c>
      <c r="CE134" s="59">
        <f t="shared" si="148"/>
        <v>374.99493809709708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20.788725458823318</v>
      </c>
      <c r="CL134" s="21">
        <f>EXP(-LN(2)/25)*CL133+(1-EXP(-LN(2)/25))/(LN(2)/25)*Calculateur!CG134*Calculateur!CI134*VLOOKUP('Données projet'!$B$12,Paramètres!$A$1:$I$89,3,0)*0.475*44/12</f>
        <v>13.703610745554037</v>
      </c>
      <c r="CM134" s="21">
        <f>EXP(-LN(2)/2)*CM133+(1-EXP(-LN(2)/2))/(LN(2)/2)*CG134*CJ134*VLOOKUP('Données projet'!$B$12,Paramètres!$A$1:$I$89,3,0)*0.475*44/12</f>
        <v>1.4443948063186086E-6</v>
      </c>
      <c r="CN134" s="22">
        <f t="shared" si="120"/>
        <v>34.492337648772157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5.6843418860808015E-13</v>
      </c>
      <c r="CU134" s="17">
        <f>CT134*VLOOKUP('Données projet'!$B$13,Paramètres!$A$1:$I$89,3,0)*VLOOKUP('Données projet'!$B$13,Paramètres!$A$1:$I$89,5,0)</f>
        <v>3.177547114319168E-13</v>
      </c>
      <c r="CV134" s="13">
        <f t="shared" si="149"/>
        <v>4.1725404435445377E-12</v>
      </c>
      <c r="CW134" s="20">
        <f t="shared" si="121"/>
        <v>7.820597394917325E-12</v>
      </c>
      <c r="CX134" s="59">
        <f t="shared" si="122"/>
        <v>293.33333333334116</v>
      </c>
      <c r="CY134" s="59">
        <f ca="1">AVERAGE(OFFSET($CX$3,0,0,'Données projet'!$E$13+1,1))-AVERAGE(OFFSET($H$3,0,0,'Données projet'!$E$13+1,1))</f>
        <v>386.66324266750968</v>
      </c>
      <c r="CZ134" s="59">
        <f t="shared" si="150"/>
        <v>356.22149461585769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68.942498476268256</v>
      </c>
      <c r="DG134" s="21">
        <f>EXP(-LN(2)/25)*DG133+(1-EXP(-LN(2)/25))/(LN(2)/25)*Calculateur!DB134*Calculateur!DD134*VLOOKUP('Données projet'!$B$13,Paramètres!$A$1:$I$89,3,0)*0.475*44/12</f>
        <v>14.145123909086806</v>
      </c>
      <c r="DH134" s="21">
        <f>EXP(-LN(2)/2)*DH133+(1-EXP(-LN(2)/2))/(LN(2)/2)*DB134*DE134*VLOOKUP('Données projet'!$B$13,Paramètres!$A$1:$I$89,3,0)*0.475*44/12</f>
        <v>4.9723748365148679E-8</v>
      </c>
      <c r="DI134" s="22">
        <f t="shared" si="123"/>
        <v>83.087622435078814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>
        <f>DO134*VLOOKUP('Données projet'!$B$14,Paramètres!$A$1:$I$89,3,0)*VLOOKUP('Données projet'!$B$14,Paramètres!$A$1:$I$89,5,0)</f>
        <v>0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347.17417070871716</v>
      </c>
      <c r="DU134" s="59">
        <f t="shared" si="152"/>
        <v>339.56378046986441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15.059218240050564</v>
      </c>
      <c r="EB134" s="21">
        <f>EXP(-LN(2)/25)*EB133+(1-EXP(-LN(2)/25))/(LN(2)/25)*Calculateur!DW134*Calculateur!DY134*VLOOKUP('Données projet'!$B$14,Paramètres!$A$1:$I$89,3,0)*0.475*44/12</f>
        <v>9.9268069753844852</v>
      </c>
      <c r="EC134" s="21">
        <f>EXP(-LN(2)/2)*EC133+(1-EXP(-LN(2)/2))/(LN(2)/2)*DW134*DZ134*VLOOKUP('Données projet'!$B$14,Paramètres!$A$1:$I$89,3,0)*0.475*44/12</f>
        <v>1.2896382199273314E-6</v>
      </c>
      <c r="ED134" s="22">
        <f t="shared" si="126"/>
        <v>24.986026505073269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>
        <f>EJ134*VLOOKUP('Données projet'!$B$15,Paramètres!$A$1:$I$89,3,0)*VLOOKUP('Données projet'!$B$15,Paramètres!$A$1:$I$89,5,0)</f>
        <v>0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384.34044781465661</v>
      </c>
      <c r="EP134" s="59">
        <f t="shared" si="154"/>
        <v>374.99493809709708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16.866324428856643</v>
      </c>
      <c r="EW134" s="21">
        <f>EXP(-LN(2)/25)*EW133+(1-EXP(-LN(2)/25))/(LN(2)/25)*Calculateur!ER134*Calculateur!ET134*VLOOKUP('Données projet'!$B$15,Paramètres!$A$1:$I$89,3,0)*0.475*44/12</f>
        <v>11.118023812430634</v>
      </c>
      <c r="EX134" s="21">
        <f>EXP(-LN(2)/2)*EX133+(1-EXP(-LN(2)/2))/(LN(2)/2)*ER134*EU134*VLOOKUP('Données projet'!$B$15,Paramètres!$A$1:$I$89,3,0)*0.475*44/12</f>
        <v>1.4443948063186086E-6</v>
      </c>
      <c r="EY134" s="22">
        <f t="shared" si="129"/>
        <v>27.984349685682083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>
        <f>FE134*VLOOKUP('Données projet'!$B$16,Paramètres!$A$1:$I$89,3,0)*VLOOKUP('Données projet'!$B$16,Paramètres!$A$1:$I$89,5,0)</f>
        <v>0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359.57284550600366</v>
      </c>
      <c r="FK134" s="59">
        <f t="shared" si="156"/>
        <v>351.38386928091433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15.661586969652591</v>
      </c>
      <c r="FR134" s="21">
        <f>EXP(-LN(2)/25)*FR133+(1-EXP(-LN(2)/25))/(LN(2)/25)*Calculateur!FM134*Calculateur!FO134*VLOOKUP('Données projet'!$B$16,Paramètres!$A$1:$I$89,3,0)*0.475*44/12</f>
        <v>10.323879254399863</v>
      </c>
      <c r="FS134" s="21">
        <f>EXP(-LN(2)/2)*FS133+(1-EXP(-LN(2)/2))/(LN(2)/2)*FM134*FP134*VLOOKUP('Données projet'!$B$16,Paramètres!$A$1:$I$89,3,0)*0.475*44/12</f>
        <v>1.341223748724427E-6</v>
      </c>
      <c r="FT134" s="22">
        <f t="shared" si="132"/>
        <v>25.985467565276199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6">
        <f t="shared" si="110"/>
        <v>256.66666666666669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10.843999999999994</v>
      </c>
      <c r="N135" s="13">
        <f>IF('Données projet'!$A$36&gt;35,N134+M135-V134,IF(A135&lt;'Données projet'!$A$36,$K$205^A135,IF(A135='Données projet'!$A$36,'Données projet'!$B$36,N134+M135-V134)))</f>
        <v>552.298</v>
      </c>
      <c r="O135" s="13">
        <f>N135*VLOOKUP('Données projet'!$B$9,Paramètres!$A$1:$I$89,3,0)*VLOOKUP('Données projet'!$B$9,Paramètres!$A$1:$I$89,5,0)</f>
        <v>499.71923039999996</v>
      </c>
      <c r="P135" s="13">
        <f t="shared" si="141"/>
        <v>111.72398392673504</v>
      </c>
      <c r="Q135" s="20">
        <f t="shared" si="108"/>
        <v>1064.9302649523968</v>
      </c>
      <c r="R135" s="59">
        <f t="shared" si="109"/>
        <v>1358.26359828573</v>
      </c>
      <c r="S135" s="59">
        <f ca="1">AVERAGE(OFFSET($R$3,0,0,'Données projet'!$E$9+1,1))-AVERAGE(OFFSET($H$3,0,0,'Données projet'!$E$9+1,1))</f>
        <v>695.0879239758051</v>
      </c>
      <c r="T135" s="59">
        <f t="shared" si="142"/>
        <v>226.22150997227476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64.419431895623731</v>
      </c>
      <c r="AA135" s="21">
        <f>EXP(-LN(2)/25)*AA134+(1-EXP(-LN(2)/25))/(LN(2)/25)*Calculateur!V135*Calculateur!X135*VLOOKUP('Données projet'!$B$9,Paramètres!$A$1:$I$89,3,0)*0.475*44/12</f>
        <v>28.011404428545546</v>
      </c>
      <c r="AB135" s="21">
        <f>EXP(-LN(2)/2)*AB134+(1-EXP(-LN(2)/2))/(LN(2)/2)*V135*Y135*VLOOKUP('Données projet'!$B$9,Paramètres!$A$1:$I$89,3,0)*0.475*44/12</f>
        <v>2.9508091106179266E-6</v>
      </c>
      <c r="AC135" s="22">
        <f t="shared" si="111"/>
        <v>92.430839274978382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1.1368683772161603E-13</v>
      </c>
      <c r="AJ135" s="13">
        <f>AI135*VLOOKUP('Données projet'!$B$10,Paramètres!$A$1:$I$89,3,0)*VLOOKUP('Données projet'!$B$10,Paramètres!$A$1:$I$89,5,0)</f>
        <v>6.7984728957526396E-14</v>
      </c>
      <c r="AK135" s="13">
        <f t="shared" si="143"/>
        <v>1.0682447123141398E-12</v>
      </c>
      <c r="AL135" s="20">
        <f t="shared" si="112"/>
        <v>1.978932943548152E-12</v>
      </c>
      <c r="AM135" s="59">
        <f t="shared" si="113"/>
        <v>293.3333333333353</v>
      </c>
      <c r="AN135" s="59">
        <f ca="1">AVERAGE(OFFSET($AM$3,0,0,'Données projet'!$E$10+1,1))-AVERAGE(OFFSET($H$3,0,0,'Données projet'!$E$10+1,1))</f>
        <v>388.12151914648013</v>
      </c>
      <c r="AO135" s="59">
        <f t="shared" si="144"/>
        <v>481.43684454382793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39.518979530726888</v>
      </c>
      <c r="AV135" s="21">
        <f>EXP(-LN(2)/25)*AV134+(1-EXP(-LN(2)/25))/(LN(2)/25)*Calculateur!AQ135*Calculateur!AS135*VLOOKUP('Données projet'!$B$10,Paramètres!$A$1:$I$89,3,0)*0.475*44/12</f>
        <v>7.4978312374997378</v>
      </c>
      <c r="AW135" s="21">
        <f>EXP(-LN(2)/2)*AW134+(1-EXP(-LN(2)/2))/(LN(2)/2)*AQ135*AT135*VLOOKUP('Données projet'!$B$10,Paramètres!$A$1:$I$89,3,0)*0.475*44/12</f>
        <v>2.8123144890574564E-10</v>
      </c>
      <c r="AX135" s="21">
        <f t="shared" si="114"/>
        <v>47.01681076850786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415.24818074059294</v>
      </c>
      <c r="BJ135" s="59">
        <f t="shared" si="146"/>
        <v>404.45811532046872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18.011977709806782</v>
      </c>
      <c r="BQ135" s="21">
        <f>EXP(-LN(2)/25)*BQ134+(1-EXP(-LN(2)/25))/(LN(2)/25)*Calculateur!BL135*Calculateur!BN135*VLOOKUP('Données projet'!$B$11,Paramètres!$A$1:$I$89,3,0)*0.475*44/12</f>
        <v>11.7795366582697</v>
      </c>
      <c r="BR135" s="21">
        <f>EXP(-LN(2)/2)*BR134+(1-EXP(-LN(2)/2))/(LN(2)/2)*BL135*BO135*VLOOKUP('Données projet'!$B$11,Paramètres!$A$1:$I$89,3,0)*0.475*44/12</f>
        <v>1.112532555317314E-6</v>
      </c>
      <c r="BS135" s="22">
        <f t="shared" si="117"/>
        <v>29.791515480609039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384.34044781465661</v>
      </c>
      <c r="CE135" s="59">
        <f t="shared" si="148"/>
        <v>374.99493809709708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20.381071232446288</v>
      </c>
      <c r="CL135" s="21">
        <f>EXP(-LN(2)/25)*CL134+(1-EXP(-LN(2)/25))/(LN(2)/25)*Calculateur!CG135*Calculateur!CI135*VLOOKUP('Données projet'!$B$12,Paramètres!$A$1:$I$89,3,0)*0.475*44/12</f>
        <v>13.328884789075293</v>
      </c>
      <c r="CM135" s="21">
        <f>EXP(-LN(2)/2)*CM134+(1-EXP(-LN(2)/2))/(LN(2)/2)*CG135*CJ135*VLOOKUP('Données projet'!$B$12,Paramètres!$A$1:$I$89,3,0)*0.475*44/12</f>
        <v>1.021341362258518E-6</v>
      </c>
      <c r="CN135" s="22">
        <f t="shared" si="120"/>
        <v>33.709957042862939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5.6843418860808015E-13</v>
      </c>
      <c r="CU135" s="17">
        <f>CT135*VLOOKUP('Données projet'!$B$13,Paramètres!$A$1:$I$89,3,0)*VLOOKUP('Données projet'!$B$13,Paramètres!$A$1:$I$89,5,0)</f>
        <v>3.177547114319168E-13</v>
      </c>
      <c r="CV135" s="13">
        <f t="shared" si="149"/>
        <v>4.1725404435445377E-12</v>
      </c>
      <c r="CW135" s="20">
        <f t="shared" si="121"/>
        <v>7.820597394917325E-12</v>
      </c>
      <c r="CX135" s="59">
        <f t="shared" si="122"/>
        <v>293.33333333334116</v>
      </c>
      <c r="CY135" s="59">
        <f ca="1">AVERAGE(OFFSET($CX$3,0,0,'Données projet'!$E$13+1,1))-AVERAGE(OFFSET($H$3,0,0,'Données projet'!$E$13+1,1))</f>
        <v>386.66324266750968</v>
      </c>
      <c r="CZ135" s="59">
        <f t="shared" si="150"/>
        <v>356.22149461585769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67.590578131920537</v>
      </c>
      <c r="DG135" s="21">
        <f>EXP(-LN(2)/25)*DG134+(1-EXP(-LN(2)/25))/(LN(2)/25)*Calculateur!DB135*Calculateur!DD135*VLOOKUP('Données projet'!$B$13,Paramètres!$A$1:$I$89,3,0)*0.475*44/12</f>
        <v>13.75832475193309</v>
      </c>
      <c r="DH135" s="21">
        <f>EXP(-LN(2)/2)*DH134+(1-EXP(-LN(2)/2))/(LN(2)/2)*DB135*DE135*VLOOKUP('Données projet'!$B$13,Paramètres!$A$1:$I$89,3,0)*0.475*44/12</f>
        <v>3.5159999655010136E-8</v>
      </c>
      <c r="DI135" s="22">
        <f t="shared" si="123"/>
        <v>81.348902919013625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>
        <f>DO135*VLOOKUP('Données projet'!$B$14,Paramètres!$A$1:$I$89,3,0)*VLOOKUP('Données projet'!$B$14,Paramètres!$A$1:$I$89,5,0)</f>
        <v>0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347.17417070871716</v>
      </c>
      <c r="DU135" s="59">
        <f t="shared" si="152"/>
        <v>339.56378046986441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14.763916155579334</v>
      </c>
      <c r="EB135" s="21">
        <f>EXP(-LN(2)/25)*EB134+(1-EXP(-LN(2)/25))/(LN(2)/25)*Calculateur!DW135*Calculateur!DY135*VLOOKUP('Données projet'!$B$14,Paramètres!$A$1:$I$89,3,0)*0.475*44/12</f>
        <v>9.6553579166145056</v>
      </c>
      <c r="EC135" s="21">
        <f>EXP(-LN(2)/2)*EC134+(1-EXP(-LN(2)/2))/(LN(2)/2)*DW135*DZ135*VLOOKUP('Données projet'!$B$14,Paramètres!$A$1:$I$89,3,0)*0.475*44/12</f>
        <v>9.1191193058796419E-7</v>
      </c>
      <c r="ED135" s="22">
        <f t="shared" si="126"/>
        <v>24.419274984105769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>
        <f>EJ135*VLOOKUP('Données projet'!$B$15,Paramètres!$A$1:$I$89,3,0)*VLOOKUP('Données projet'!$B$15,Paramètres!$A$1:$I$89,5,0)</f>
        <v>0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384.34044781465661</v>
      </c>
      <c r="EP135" s="59">
        <f t="shared" si="154"/>
        <v>374.99493809709708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16.535586094248867</v>
      </c>
      <c r="EW135" s="21">
        <f>EXP(-LN(2)/25)*EW134+(1-EXP(-LN(2)/25))/(LN(2)/25)*Calculateur!ER135*Calculateur!ET135*VLOOKUP('Données projet'!$B$15,Paramètres!$A$1:$I$89,3,0)*0.475*44/12</f>
        <v>10.814000866608257</v>
      </c>
      <c r="EX135" s="21">
        <f>EXP(-LN(2)/2)*EX134+(1-EXP(-LN(2)/2))/(LN(2)/2)*ER135*EU135*VLOOKUP('Données projet'!$B$15,Paramètres!$A$1:$I$89,3,0)*0.475*44/12</f>
        <v>1.021341362258518E-6</v>
      </c>
      <c r="EY135" s="22">
        <f t="shared" si="129"/>
        <v>27.349587982198486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>
        <f>FE135*VLOOKUP('Données projet'!$B$16,Paramètres!$A$1:$I$89,3,0)*VLOOKUP('Données projet'!$B$16,Paramètres!$A$1:$I$89,5,0)</f>
        <v>0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359.57284550600366</v>
      </c>
      <c r="FK135" s="59">
        <f t="shared" si="156"/>
        <v>351.38386928091433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15.354472801802512</v>
      </c>
      <c r="FR135" s="21">
        <f>EXP(-LN(2)/25)*FR134+(1-EXP(-LN(2)/25))/(LN(2)/25)*Calculateur!FM135*Calculateur!FO135*VLOOKUP('Données projet'!$B$16,Paramètres!$A$1:$I$89,3,0)*0.475*44/12</f>
        <v>10.041572233279084</v>
      </c>
      <c r="FS135" s="21">
        <f>EXP(-LN(2)/2)*FS134+(1-EXP(-LN(2)/2))/(LN(2)/2)*FM135*FP135*VLOOKUP('Données projet'!$B$16,Paramètres!$A$1:$I$89,3,0)*0.475*44/12</f>
        <v>9.4838840781148443E-7</v>
      </c>
      <c r="FT135" s="22">
        <f t="shared" si="132"/>
        <v>25.396045983470003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6">
        <f t="shared" si="110"/>
        <v>256.66666666666669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10.843999999999994</v>
      </c>
      <c r="N136" s="13">
        <f>IF('Données projet'!$A$36&gt;35,N135+M136-V135,IF(A136&lt;'Données projet'!$A$36,$K$205^A136,IF(A136='Données projet'!$A$36,'Données projet'!$B$36,N135+M136-V135)))</f>
        <v>563.14200000000005</v>
      </c>
      <c r="O136" s="13">
        <f>N136*VLOOKUP('Données projet'!$B$9,Paramètres!$A$1:$I$89,3,0)*VLOOKUP('Données projet'!$B$9,Paramètres!$A$1:$I$89,5,0)</f>
        <v>509.53088160000004</v>
      </c>
      <c r="P136" s="13">
        <f t="shared" si="141"/>
        <v>113.66007236881403</v>
      </c>
      <c r="Q136" s="20">
        <f t="shared" si="108"/>
        <v>1085.3909114956843</v>
      </c>
      <c r="R136" s="59">
        <f t="shared" si="109"/>
        <v>1378.7242448290176</v>
      </c>
      <c r="S136" s="59">
        <f ca="1">AVERAGE(OFFSET($R$3,0,0,'Données projet'!$E$9+1,1))-AVERAGE(OFFSET($H$3,0,0,'Données projet'!$E$9+1,1))</f>
        <v>695.0879239758051</v>
      </c>
      <c r="T136" s="59">
        <f t="shared" si="142"/>
        <v>226.22150997227476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63.156206128124246</v>
      </c>
      <c r="AA136" s="21">
        <f>EXP(-LN(2)/25)*AA135+(1-EXP(-LN(2)/25))/(LN(2)/25)*Calculateur!V136*Calculateur!X136*VLOOKUP('Données projet'!$B$9,Paramètres!$A$1:$I$89,3,0)*0.475*44/12</f>
        <v>27.24543110139123</v>
      </c>
      <c r="AB136" s="21">
        <f>EXP(-LN(2)/2)*AB135+(1-EXP(-LN(2)/2))/(LN(2)/2)*V136*Y136*VLOOKUP('Données projet'!$B$9,Paramètres!$A$1:$I$89,3,0)*0.475*44/12</f>
        <v>2.0865371321049811E-6</v>
      </c>
      <c r="AC136" s="22">
        <f t="shared" si="111"/>
        <v>90.401639316052609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1.1368683772161603E-13</v>
      </c>
      <c r="AJ136" s="13">
        <f>AI136*VLOOKUP('Données projet'!$B$10,Paramètres!$A$1:$I$89,3,0)*VLOOKUP('Données projet'!$B$10,Paramètres!$A$1:$I$89,5,0)</f>
        <v>6.7984728957526396E-14</v>
      </c>
      <c r="AK136" s="13">
        <f t="shared" si="143"/>
        <v>1.0682447123141398E-12</v>
      </c>
      <c r="AL136" s="20">
        <f t="shared" si="112"/>
        <v>1.978932943548152E-12</v>
      </c>
      <c r="AM136" s="59">
        <f t="shared" si="113"/>
        <v>293.3333333333353</v>
      </c>
      <c r="AN136" s="59">
        <f ca="1">AVERAGE(OFFSET($AM$3,0,0,'Données projet'!$E$10+1,1))-AVERAGE(OFFSET($H$3,0,0,'Données projet'!$E$10+1,1))</f>
        <v>388.12151914648013</v>
      </c>
      <c r="AO136" s="59">
        <f t="shared" si="144"/>
        <v>481.43684454382793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38.744036446326753</v>
      </c>
      <c r="AV136" s="21">
        <f>EXP(-LN(2)/25)*AV135+(1-EXP(-LN(2)/25))/(LN(2)/25)*Calculateur!AQ136*Calculateur!AS136*VLOOKUP('Données projet'!$B$10,Paramètres!$A$1:$I$89,3,0)*0.475*44/12</f>
        <v>7.2928026480164991</v>
      </c>
      <c r="AW136" s="21">
        <f>EXP(-LN(2)/2)*AW135+(1-EXP(-LN(2)/2))/(LN(2)/2)*AQ136*AT136*VLOOKUP('Données projet'!$B$10,Paramètres!$A$1:$I$89,3,0)*0.475*44/12</f>
        <v>1.988606646041708E-10</v>
      </c>
      <c r="AX136" s="21">
        <f t="shared" si="114"/>
        <v>46.03683909454211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415.24818074059294</v>
      </c>
      <c r="BJ136" s="59">
        <f t="shared" si="146"/>
        <v>404.45811532046872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17.658773813139074</v>
      </c>
      <c r="BQ136" s="21">
        <f>EXP(-LN(2)/25)*BQ135+(1-EXP(-LN(2)/25))/(LN(2)/25)*Calculateur!BL136*Calculateur!BN136*VLOOKUP('Données projet'!$B$11,Paramètres!$A$1:$I$89,3,0)*0.475*44/12</f>
        <v>11.457424608890404</v>
      </c>
      <c r="BR136" s="21">
        <f>EXP(-LN(2)/2)*BR135+(1-EXP(-LN(2)/2))/(LN(2)/2)*BL136*BO136*VLOOKUP('Données projet'!$B$11,Paramètres!$A$1:$I$89,3,0)*0.475*44/12</f>
        <v>7.8667931415567052E-7</v>
      </c>
      <c r="BS136" s="22">
        <f t="shared" si="117"/>
        <v>29.116199208708792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384.34044781465661</v>
      </c>
      <c r="CE136" s="59">
        <f t="shared" si="148"/>
        <v>374.99493809709708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19.981410856803986</v>
      </c>
      <c r="CL136" s="21">
        <f>EXP(-LN(2)/25)*CL135+(1-EXP(-LN(2)/25))/(LN(2)/25)*Calculateur!CG136*Calculateur!CI136*VLOOKUP('Données projet'!$B$12,Paramètres!$A$1:$I$89,3,0)*0.475*44/12</f>
        <v>12.964405733582442</v>
      </c>
      <c r="CM136" s="21">
        <f>EXP(-LN(2)/2)*CM135+(1-EXP(-LN(2)/2))/(LN(2)/2)*CG136*CJ136*VLOOKUP('Données projet'!$B$12,Paramètres!$A$1:$I$89,3,0)*0.475*44/12</f>
        <v>7.2219740315930429E-7</v>
      </c>
      <c r="CN136" s="22">
        <f t="shared" si="120"/>
        <v>32.945817312583834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5.6843418860808015E-13</v>
      </c>
      <c r="CU136" s="17">
        <f>CT136*VLOOKUP('Données projet'!$B$13,Paramètres!$A$1:$I$89,3,0)*VLOOKUP('Données projet'!$B$13,Paramètres!$A$1:$I$89,5,0)</f>
        <v>3.177547114319168E-13</v>
      </c>
      <c r="CV136" s="13">
        <f t="shared" si="149"/>
        <v>4.1725404435445377E-12</v>
      </c>
      <c r="CW136" s="20">
        <f t="shared" si="121"/>
        <v>7.820597394917325E-12</v>
      </c>
      <c r="CX136" s="59">
        <f t="shared" si="122"/>
        <v>293.33333333334116</v>
      </c>
      <c r="CY136" s="59">
        <f ca="1">AVERAGE(OFFSET($CX$3,0,0,'Données projet'!$E$13+1,1))-AVERAGE(OFFSET($H$3,0,0,'Données projet'!$E$13+1,1))</f>
        <v>386.66324266750968</v>
      </c>
      <c r="CZ136" s="59">
        <f t="shared" si="150"/>
        <v>356.22149461585769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66.265168120935485</v>
      </c>
      <c r="DG136" s="21">
        <f>EXP(-LN(2)/25)*DG135+(1-EXP(-LN(2)/25))/(LN(2)/25)*Calculateur!DB136*Calculateur!DD136*VLOOKUP('Données projet'!$B$13,Paramètres!$A$1:$I$89,3,0)*0.475*44/12</f>
        <v>13.382102638072626</v>
      </c>
      <c r="DH136" s="21">
        <f>EXP(-LN(2)/2)*DH135+(1-EXP(-LN(2)/2))/(LN(2)/2)*DB136*DE136*VLOOKUP('Données projet'!$B$13,Paramètres!$A$1:$I$89,3,0)*0.475*44/12</f>
        <v>2.4861874182574339E-8</v>
      </c>
      <c r="DI136" s="22">
        <f t="shared" si="123"/>
        <v>79.647270783869985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>
        <f>DO136*VLOOKUP('Données projet'!$B$14,Paramètres!$A$1:$I$89,3,0)*VLOOKUP('Données projet'!$B$14,Paramètres!$A$1:$I$89,5,0)</f>
        <v>0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347.17417070871716</v>
      </c>
      <c r="DU136" s="59">
        <f t="shared" si="152"/>
        <v>339.56378046986441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14.474404764868099</v>
      </c>
      <c r="EB136" s="21">
        <f>EXP(-LN(2)/25)*EB135+(1-EXP(-LN(2)/25))/(LN(2)/25)*Calculateur!DW136*Calculateur!DY136*VLOOKUP('Données projet'!$B$14,Paramètres!$A$1:$I$89,3,0)*0.475*44/12</f>
        <v>9.3913316466314765</v>
      </c>
      <c r="EC136" s="21">
        <f>EXP(-LN(2)/2)*EC135+(1-EXP(-LN(2)/2))/(LN(2)/2)*DW136*DZ136*VLOOKUP('Données projet'!$B$14,Paramètres!$A$1:$I$89,3,0)*0.475*44/12</f>
        <v>6.448191099636657E-7</v>
      </c>
      <c r="ED136" s="22">
        <f t="shared" si="126"/>
        <v>23.865737056318686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>
        <f>EJ136*VLOOKUP('Données projet'!$B$15,Paramètres!$A$1:$I$89,3,0)*VLOOKUP('Données projet'!$B$15,Paramètres!$A$1:$I$89,5,0)</f>
        <v>0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384.34044781465661</v>
      </c>
      <c r="EP136" s="59">
        <f t="shared" si="154"/>
        <v>374.99493809709708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16.211333336652284</v>
      </c>
      <c r="EW136" s="21">
        <f>EXP(-LN(2)/25)*EW135+(1-EXP(-LN(2)/25))/(LN(2)/25)*Calculateur!ER136*Calculateur!ET136*VLOOKUP('Données projet'!$B$15,Paramètres!$A$1:$I$89,3,0)*0.475*44/12</f>
        <v>10.518291444227264</v>
      </c>
      <c r="EX136" s="21">
        <f>EXP(-LN(2)/2)*EX135+(1-EXP(-LN(2)/2))/(LN(2)/2)*ER136*EU136*VLOOKUP('Données projet'!$B$15,Paramètres!$A$1:$I$89,3,0)*0.475*44/12</f>
        <v>7.2219740315930429E-7</v>
      </c>
      <c r="EY136" s="22">
        <f t="shared" si="129"/>
        <v>26.729625503076949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>
        <f>FE136*VLOOKUP('Données projet'!$B$16,Paramètres!$A$1:$I$89,3,0)*VLOOKUP('Données projet'!$B$16,Paramètres!$A$1:$I$89,5,0)</f>
        <v>0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359.57284550600366</v>
      </c>
      <c r="FK136" s="59">
        <f t="shared" si="156"/>
        <v>351.38386928091433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15.053380955462826</v>
      </c>
      <c r="FR136" s="21">
        <f>EXP(-LN(2)/25)*FR135+(1-EXP(-LN(2)/25))/(LN(2)/25)*Calculateur!FM136*Calculateur!FO136*VLOOKUP('Données projet'!$B$16,Paramètres!$A$1:$I$89,3,0)*0.475*44/12</f>
        <v>9.7669849124967332</v>
      </c>
      <c r="FS136" s="21">
        <f>EXP(-LN(2)/2)*FS135+(1-EXP(-LN(2)/2))/(LN(2)/2)*FM136*FP136*VLOOKUP('Données projet'!$B$16,Paramètres!$A$1:$I$89,3,0)*0.475*44/12</f>
        <v>6.7061187436221359E-7</v>
      </c>
      <c r="FT136" s="22">
        <f t="shared" si="132"/>
        <v>24.820366538571434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6">
        <f t="shared" si="110"/>
        <v>256.66666666666669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10.843999999999994</v>
      </c>
      <c r="N137" s="13">
        <f>IF('Données projet'!$A$36&gt;35,N136+M137-V136,IF(A137&lt;'Données projet'!$A$36,$K$205^A137,IF(A137='Données projet'!$A$36,'Données projet'!$B$36,N136+M137-V136)))</f>
        <v>573.9860000000001</v>
      </c>
      <c r="O137" s="13">
        <f>N137*VLOOKUP('Données projet'!$B$9,Paramètres!$A$1:$I$89,3,0)*VLOOKUP('Données projet'!$B$9,Paramètres!$A$1:$I$89,5,0)</f>
        <v>519.34253280000007</v>
      </c>
      <c r="P137" s="13">
        <f t="shared" si="141"/>
        <v>115.5918257868824</v>
      </c>
      <c r="Q137" s="20">
        <f t="shared" si="108"/>
        <v>1105.8440078721535</v>
      </c>
      <c r="R137" s="59">
        <f t="shared" si="109"/>
        <v>1399.1773412054868</v>
      </c>
      <c r="S137" s="59">
        <f ca="1">AVERAGE(OFFSET($R$3,0,0,'Données projet'!$E$9+1,1))-AVERAGE(OFFSET($H$3,0,0,'Données projet'!$E$9+1,1))</f>
        <v>695.0879239758051</v>
      </c>
      <c r="T137" s="59">
        <f t="shared" si="142"/>
        <v>226.22150997227476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61.917751447433787</v>
      </c>
      <c r="AA137" s="21">
        <f>EXP(-LN(2)/25)*AA136+(1-EXP(-LN(2)/25))/(LN(2)/25)*Calculateur!V137*Calculateur!X137*VLOOKUP('Données projet'!$B$9,Paramètres!$A$1:$I$89,3,0)*0.475*44/12</f>
        <v>26.500403355148734</v>
      </c>
      <c r="AB137" s="21">
        <f>EXP(-LN(2)/2)*AB136+(1-EXP(-LN(2)/2))/(LN(2)/2)*V137*Y137*VLOOKUP('Données projet'!$B$9,Paramètres!$A$1:$I$89,3,0)*0.475*44/12</f>
        <v>1.4754045553089633E-6</v>
      </c>
      <c r="AC137" s="22">
        <f t="shared" si="111"/>
        <v>88.41815627798708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1.1368683772161603E-13</v>
      </c>
      <c r="AJ137" s="13">
        <f>AI137*VLOOKUP('Données projet'!$B$10,Paramètres!$A$1:$I$89,3,0)*VLOOKUP('Données projet'!$B$10,Paramètres!$A$1:$I$89,5,0)</f>
        <v>6.7984728957526396E-14</v>
      </c>
      <c r="AK137" s="13">
        <f t="shared" si="143"/>
        <v>1.0682447123141398E-12</v>
      </c>
      <c r="AL137" s="20">
        <f t="shared" si="112"/>
        <v>1.978932943548152E-12</v>
      </c>
      <c r="AM137" s="59">
        <f t="shared" si="113"/>
        <v>293.3333333333353</v>
      </c>
      <c r="AN137" s="59">
        <f ca="1">AVERAGE(OFFSET($AM$3,0,0,'Données projet'!$E$10+1,1))-AVERAGE(OFFSET($H$3,0,0,'Données projet'!$E$10+1,1))</f>
        <v>388.12151914648013</v>
      </c>
      <c r="AO137" s="59">
        <f t="shared" si="144"/>
        <v>481.43684454382793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37.984289523143097</v>
      </c>
      <c r="AV137" s="21">
        <f>EXP(-LN(2)/25)*AV136+(1-EXP(-LN(2)/25))/(LN(2)/25)*Calculateur!AQ137*Calculateur!AS137*VLOOKUP('Données projet'!$B$10,Paramètres!$A$1:$I$89,3,0)*0.475*44/12</f>
        <v>7.0933805760946642</v>
      </c>
      <c r="AW137" s="21">
        <f>EXP(-LN(2)/2)*AW136+(1-EXP(-LN(2)/2))/(LN(2)/2)*AQ137*AT137*VLOOKUP('Données projet'!$B$10,Paramètres!$A$1:$I$89,3,0)*0.475*44/12</f>
        <v>1.4061572445287282E-10</v>
      </c>
      <c r="AX137" s="21">
        <f t="shared" si="114"/>
        <v>45.077670099378381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415.24818074059294</v>
      </c>
      <c r="BJ137" s="59">
        <f t="shared" si="146"/>
        <v>404.45811532046872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17.312496029451918</v>
      </c>
      <c r="BQ137" s="21">
        <f>EXP(-LN(2)/25)*BQ136+(1-EXP(-LN(2)/25))/(LN(2)/25)*Calculateur!BL137*Calculateur!BN137*VLOOKUP('Données projet'!$B$11,Paramètres!$A$1:$I$89,3,0)*0.475*44/12</f>
        <v>11.144120730440523</v>
      </c>
      <c r="BR137" s="21">
        <f>EXP(-LN(2)/2)*BR136+(1-EXP(-LN(2)/2))/(LN(2)/2)*BL137*BO137*VLOOKUP('Données projet'!$B$11,Paramètres!$A$1:$I$89,3,0)*0.475*44/12</f>
        <v>5.5626627765865699E-7</v>
      </c>
      <c r="BS137" s="22">
        <f t="shared" si="117"/>
        <v>28.45661731615872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384.34044781465661</v>
      </c>
      <c r="CE137" s="59">
        <f t="shared" si="148"/>
        <v>374.99493809709708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19.589587577359271</v>
      </c>
      <c r="CL137" s="21">
        <f>EXP(-LN(2)/25)*CL136+(1-EXP(-LN(2)/25))/(LN(2)/25)*Calculateur!CG137*Calculateur!CI137*VLOOKUP('Données projet'!$B$12,Paramètres!$A$1:$I$89,3,0)*0.475*44/12</f>
        <v>12.609893377029163</v>
      </c>
      <c r="CM137" s="21">
        <f>EXP(-LN(2)/2)*CM136+(1-EXP(-LN(2)/2))/(LN(2)/2)*CG137*CJ137*VLOOKUP('Données projet'!$B$12,Paramètres!$A$1:$I$89,3,0)*0.475*44/12</f>
        <v>5.1067068112925902E-7</v>
      </c>
      <c r="CN137" s="22">
        <f t="shared" si="120"/>
        <v>32.199481465059115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5.6843418860808015E-13</v>
      </c>
      <c r="CU137" s="17">
        <f>CT137*VLOOKUP('Données projet'!$B$13,Paramètres!$A$1:$I$89,3,0)*VLOOKUP('Données projet'!$B$13,Paramètres!$A$1:$I$89,5,0)</f>
        <v>3.177547114319168E-13</v>
      </c>
      <c r="CV137" s="13">
        <f t="shared" si="149"/>
        <v>4.1725404435445377E-12</v>
      </c>
      <c r="CW137" s="20">
        <f t="shared" si="121"/>
        <v>7.820597394917325E-12</v>
      </c>
      <c r="CX137" s="59">
        <f t="shared" si="122"/>
        <v>293.33333333334116</v>
      </c>
      <c r="CY137" s="59">
        <f ca="1">AVERAGE(OFFSET($CX$3,0,0,'Données projet'!$E$13+1,1))-AVERAGE(OFFSET($H$3,0,0,'Données projet'!$E$13+1,1))</f>
        <v>386.66324266750968</v>
      </c>
      <c r="CZ137" s="59">
        <f t="shared" si="150"/>
        <v>356.22149461585769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64.965748591845568</v>
      </c>
      <c r="DG137" s="21">
        <f>EXP(-LN(2)/25)*DG136+(1-EXP(-LN(2)/25))/(LN(2)/25)*Calculateur!DB137*Calculateur!DD137*VLOOKUP('Données projet'!$B$13,Paramètres!$A$1:$I$89,3,0)*0.475*44/12</f>
        <v>13.016168337700337</v>
      </c>
      <c r="DH137" s="21">
        <f>EXP(-LN(2)/2)*DH136+(1-EXP(-LN(2)/2))/(LN(2)/2)*DB137*DE137*VLOOKUP('Données projet'!$B$13,Paramètres!$A$1:$I$89,3,0)*0.475*44/12</f>
        <v>1.7579999827505068E-8</v>
      </c>
      <c r="DI137" s="22">
        <f t="shared" si="123"/>
        <v>77.98191694712591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>
        <f>DO137*VLOOKUP('Données projet'!$B$14,Paramètres!$A$1:$I$89,3,0)*VLOOKUP('Données projet'!$B$14,Paramètres!$A$1:$I$89,5,0)</f>
        <v>0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347.17417070871716</v>
      </c>
      <c r="DU137" s="59">
        <f t="shared" si="152"/>
        <v>339.56378046986441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14.190570515944199</v>
      </c>
      <c r="EB137" s="21">
        <f>EXP(-LN(2)/25)*EB136+(1-EXP(-LN(2)/25))/(LN(2)/25)*Calculateur!DW137*Calculateur!DY137*VLOOKUP('Données projet'!$B$14,Paramètres!$A$1:$I$89,3,0)*0.475*44/12</f>
        <v>9.1345251888856716</v>
      </c>
      <c r="EC137" s="21">
        <f>EXP(-LN(2)/2)*EC136+(1-EXP(-LN(2)/2))/(LN(2)/2)*DW137*DZ137*VLOOKUP('Données projet'!$B$14,Paramètres!$A$1:$I$89,3,0)*0.475*44/12</f>
        <v>4.559559652939821E-7</v>
      </c>
      <c r="ED137" s="22">
        <f t="shared" si="126"/>
        <v>23.325096160785836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>
        <f>EJ137*VLOOKUP('Données projet'!$B$15,Paramètres!$A$1:$I$89,3,0)*VLOOKUP('Données projet'!$B$15,Paramètres!$A$1:$I$89,5,0)</f>
        <v>0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384.34044781465661</v>
      </c>
      <c r="EP137" s="59">
        <f t="shared" si="154"/>
        <v>374.99493809709708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15.893438977857516</v>
      </c>
      <c r="EW137" s="21">
        <f>EXP(-LN(2)/25)*EW136+(1-EXP(-LN(2)/25))/(LN(2)/25)*Calculateur!ER137*Calculateur!ET137*VLOOKUP('Données projet'!$B$15,Paramètres!$A$1:$I$89,3,0)*0.475*44/12</f>
        <v>10.230668211551963</v>
      </c>
      <c r="EX137" s="21">
        <f>EXP(-LN(2)/2)*EX136+(1-EXP(-LN(2)/2))/(LN(2)/2)*ER137*EU137*VLOOKUP('Données projet'!$B$15,Paramètres!$A$1:$I$89,3,0)*0.475*44/12</f>
        <v>5.1067068112925902E-7</v>
      </c>
      <c r="EY137" s="22">
        <f t="shared" si="129"/>
        <v>26.12410770008016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>
        <f>FE137*VLOOKUP('Données projet'!$B$16,Paramètres!$A$1:$I$89,3,0)*VLOOKUP('Données projet'!$B$16,Paramètres!$A$1:$I$89,5,0)</f>
        <v>0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359.57284550600366</v>
      </c>
      <c r="FK137" s="59">
        <f t="shared" si="156"/>
        <v>351.38386928091433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14.75819333658197</v>
      </c>
      <c r="FR137" s="21">
        <f>EXP(-LN(2)/25)*FR136+(1-EXP(-LN(2)/25))/(LN(2)/25)*Calculateur!FM137*Calculateur!FO137*VLOOKUP('Données projet'!$B$16,Paramètres!$A$1:$I$89,3,0)*0.475*44/12</f>
        <v>9.4999061964410956</v>
      </c>
      <c r="FS137" s="21">
        <f>EXP(-LN(2)/2)*FS136+(1-EXP(-LN(2)/2))/(LN(2)/2)*FM137*FP137*VLOOKUP('Données projet'!$B$16,Paramètres!$A$1:$I$89,3,0)*0.475*44/12</f>
        <v>4.7419420390574232E-7</v>
      </c>
      <c r="FT137" s="22">
        <f t="shared" si="132"/>
        <v>24.258100007217269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6">
        <f t="shared" si="110"/>
        <v>256.66666666666669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10.843999999999994</v>
      </c>
      <c r="N138" s="13">
        <f>IF('Données projet'!$A$36&gt;35,N137+M138-V137,IF(A138&lt;'Données projet'!$A$36,$K$205^A138,IF(A138='Données projet'!$A$36,'Données projet'!$B$36,N137+M138-V137)))</f>
        <v>584.83000000000015</v>
      </c>
      <c r="O138" s="13">
        <f>N138*VLOOKUP('Données projet'!$B$9,Paramètres!$A$1:$I$89,3,0)*VLOOKUP('Données projet'!$B$9,Paramètres!$A$1:$I$89,5,0)</f>
        <v>529.15418400000021</v>
      </c>
      <c r="P138" s="13">
        <f t="shared" si="141"/>
        <v>117.51933552372023</v>
      </c>
      <c r="Q138" s="20">
        <f t="shared" si="108"/>
        <v>1126.2897131704797</v>
      </c>
      <c r="R138" s="59">
        <f t="shared" si="109"/>
        <v>1419.6230465038129</v>
      </c>
      <c r="S138" s="59">
        <f ca="1">AVERAGE(OFFSET($R$3,0,0,'Données projet'!$E$9+1,1))-AVERAGE(OFFSET($H$3,0,0,'Données projet'!$E$9+1,1))</f>
        <v>695.0879239758051</v>
      </c>
      <c r="T138" s="59">
        <f t="shared" si="142"/>
        <v>226.22150997227476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60.703582107648899</v>
      </c>
      <c r="AA138" s="21">
        <f>EXP(-LN(2)/25)*AA137+(1-EXP(-LN(2)/25))/(LN(2)/25)*Calculateur!V138*Calculateur!X138*VLOOKUP('Données projet'!$B$9,Paramètres!$A$1:$I$89,3,0)*0.475*44/12</f>
        <v>25.775748431806548</v>
      </c>
      <c r="AB138" s="21">
        <f>EXP(-LN(2)/2)*AB137+(1-EXP(-LN(2)/2))/(LN(2)/2)*V138*Y138*VLOOKUP('Données projet'!$B$9,Paramètres!$A$1:$I$89,3,0)*0.475*44/12</f>
        <v>1.0432685660524906E-6</v>
      </c>
      <c r="AC138" s="22">
        <f t="shared" si="111"/>
        <v>86.479331582724015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1.1368683772161603E-13</v>
      </c>
      <c r="AJ138" s="13">
        <f>AI138*VLOOKUP('Données projet'!$B$10,Paramètres!$A$1:$I$89,3,0)*VLOOKUP('Données projet'!$B$10,Paramètres!$A$1:$I$89,5,0)</f>
        <v>6.7984728957526396E-14</v>
      </c>
      <c r="AK138" s="13">
        <f t="shared" si="143"/>
        <v>1.0682447123141398E-12</v>
      </c>
      <c r="AL138" s="20">
        <f t="shared" si="112"/>
        <v>1.978932943548152E-12</v>
      </c>
      <c r="AM138" s="59">
        <f t="shared" si="113"/>
        <v>293.3333333333353</v>
      </c>
      <c r="AN138" s="59">
        <f ca="1">AVERAGE(OFFSET($AM$3,0,0,'Données projet'!$E$10+1,1))-AVERAGE(OFFSET($H$3,0,0,'Données projet'!$E$10+1,1))</f>
        <v>388.12151914648013</v>
      </c>
      <c r="AO138" s="59">
        <f t="shared" si="144"/>
        <v>481.43684454382793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37.23944077372321</v>
      </c>
      <c r="AV138" s="21">
        <f>EXP(-LN(2)/25)*AV137+(1-EXP(-LN(2)/25))/(LN(2)/25)*Calculateur!AQ138*Calculateur!AS138*VLOOKUP('Données projet'!$B$10,Paramètres!$A$1:$I$89,3,0)*0.475*44/12</f>
        <v>6.8994117112166835</v>
      </c>
      <c r="AW138" s="21">
        <f>EXP(-LN(2)/2)*AW137+(1-EXP(-LN(2)/2))/(LN(2)/2)*AQ138*AT138*VLOOKUP('Données projet'!$B$10,Paramètres!$A$1:$I$89,3,0)*0.475*44/12</f>
        <v>9.94303323020854E-11</v>
      </c>
      <c r="AX138" s="21">
        <f t="shared" si="114"/>
        <v>44.13885248503933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415.24818074059294</v>
      </c>
      <c r="BJ138" s="59">
        <f t="shared" si="146"/>
        <v>404.45811532046872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16.97300854189427</v>
      </c>
      <c r="BQ138" s="21">
        <f>EXP(-LN(2)/25)*BQ137+(1-EXP(-LN(2)/25))/(LN(2)/25)*Calculateur!BL138*Calculateur!BN138*VLOOKUP('Données projet'!$B$11,Paramètres!$A$1:$I$89,3,0)*0.475*44/12</f>
        <v>10.839384163022789</v>
      </c>
      <c r="BR138" s="21">
        <f>EXP(-LN(2)/2)*BR137+(1-EXP(-LN(2)/2))/(LN(2)/2)*BL138*BO138*VLOOKUP('Données projet'!$B$11,Paramètres!$A$1:$I$89,3,0)*0.475*44/12</f>
        <v>3.9333965707783526E-7</v>
      </c>
      <c r="BS138" s="22">
        <f t="shared" si="117"/>
        <v>27.812393098256717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384.34044781465661</v>
      </c>
      <c r="CE138" s="59">
        <f t="shared" si="148"/>
        <v>374.99493809709708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19.205447713435866</v>
      </c>
      <c r="CL138" s="21">
        <f>EXP(-LN(2)/25)*CL137+(1-EXP(-LN(2)/25))/(LN(2)/25)*Calculateur!CG138*Calculateur!CI138*VLOOKUP('Données projet'!$B$12,Paramètres!$A$1:$I$89,3,0)*0.475*44/12</f>
        <v>12.265075179508829</v>
      </c>
      <c r="CM138" s="21">
        <f>EXP(-LN(2)/2)*CM137+(1-EXP(-LN(2)/2))/(LN(2)/2)*CG138*CJ138*VLOOKUP('Données projet'!$B$12,Paramètres!$A$1:$I$89,3,0)*0.475*44/12</f>
        <v>3.6109870157965214E-7</v>
      </c>
      <c r="CN138" s="22">
        <f t="shared" si="120"/>
        <v>31.470523254043396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5.6843418860808015E-13</v>
      </c>
      <c r="CU138" s="17">
        <f>CT138*VLOOKUP('Données projet'!$B$13,Paramètres!$A$1:$I$89,3,0)*VLOOKUP('Données projet'!$B$13,Paramètres!$A$1:$I$89,5,0)</f>
        <v>3.177547114319168E-13</v>
      </c>
      <c r="CV138" s="13">
        <f t="shared" si="149"/>
        <v>4.1725404435445377E-12</v>
      </c>
      <c r="CW138" s="20">
        <f t="shared" si="121"/>
        <v>7.820597394917325E-12</v>
      </c>
      <c r="CX138" s="59">
        <f t="shared" si="122"/>
        <v>293.33333333334116</v>
      </c>
      <c r="CY138" s="59">
        <f ca="1">AVERAGE(OFFSET($CX$3,0,0,'Données projet'!$E$13+1,1))-AVERAGE(OFFSET($H$3,0,0,'Données projet'!$E$13+1,1))</f>
        <v>386.66324266750968</v>
      </c>
      <c r="CZ138" s="59">
        <f t="shared" si="150"/>
        <v>356.22149461585769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63.691809887153454</v>
      </c>
      <c r="DG138" s="21">
        <f>EXP(-LN(2)/25)*DG137+(1-EXP(-LN(2)/25))/(LN(2)/25)*Calculateur!DB138*Calculateur!DD138*VLOOKUP('Données projet'!$B$13,Paramètres!$A$1:$I$89,3,0)*0.475*44/12</f>
        <v>12.660240530015377</v>
      </c>
      <c r="DH138" s="21">
        <f>EXP(-LN(2)/2)*DH137+(1-EXP(-LN(2)/2))/(LN(2)/2)*DB138*DE138*VLOOKUP('Données projet'!$B$13,Paramètres!$A$1:$I$89,3,0)*0.475*44/12</f>
        <v>1.243093709128717E-8</v>
      </c>
      <c r="DI138" s="22">
        <f t="shared" si="123"/>
        <v>76.352050429599757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>
        <f>DO138*VLOOKUP('Données projet'!$B$14,Paramètres!$A$1:$I$89,3,0)*VLOOKUP('Données projet'!$B$14,Paramètres!$A$1:$I$89,5,0)</f>
        <v>0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347.17417070871716</v>
      </c>
      <c r="DU138" s="59">
        <f t="shared" si="152"/>
        <v>339.56378046986441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13.912302083519899</v>
      </c>
      <c r="EB138" s="21">
        <f>EXP(-LN(2)/25)*EB137+(1-EXP(-LN(2)/25))/(LN(2)/25)*Calculateur!DW138*Calculateur!DY138*VLOOKUP('Données projet'!$B$14,Paramètres!$A$1:$I$89,3,0)*0.475*44/12</f>
        <v>8.8847411172317905</v>
      </c>
      <c r="EC138" s="21">
        <f>EXP(-LN(2)/2)*EC137+(1-EXP(-LN(2)/2))/(LN(2)/2)*DW138*DZ138*VLOOKUP('Données projet'!$B$14,Paramètres!$A$1:$I$89,3,0)*0.475*44/12</f>
        <v>3.2240955498183285E-7</v>
      </c>
      <c r="ED138" s="22">
        <f t="shared" si="126"/>
        <v>22.797043523161243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>
        <f>EJ138*VLOOKUP('Données projet'!$B$15,Paramètres!$A$1:$I$89,3,0)*VLOOKUP('Données projet'!$B$15,Paramètres!$A$1:$I$89,5,0)</f>
        <v>0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384.34044781465661</v>
      </c>
      <c r="EP138" s="59">
        <f t="shared" si="154"/>
        <v>374.99493809709708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15.581778333542299</v>
      </c>
      <c r="EW138" s="21">
        <f>EXP(-LN(2)/25)*EW137+(1-EXP(-LN(2)/25))/(LN(2)/25)*Calculateur!ER138*Calculateur!ET138*VLOOKUP('Données projet'!$B$15,Paramètres!$A$1:$I$89,3,0)*0.475*44/12</f>
        <v>9.9509100512996156</v>
      </c>
      <c r="EX138" s="21">
        <f>EXP(-LN(2)/2)*EX137+(1-EXP(-LN(2)/2))/(LN(2)/2)*ER138*EU138*VLOOKUP('Données projet'!$B$15,Paramètres!$A$1:$I$89,3,0)*0.475*44/12</f>
        <v>3.6109870157965214E-7</v>
      </c>
      <c r="EY138" s="22">
        <f t="shared" si="129"/>
        <v>25.532688745940618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>
        <f>FE138*VLOOKUP('Données projet'!$B$16,Paramètres!$A$1:$I$89,3,0)*VLOOKUP('Données projet'!$B$16,Paramètres!$A$1:$I$89,5,0)</f>
        <v>0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359.57284550600366</v>
      </c>
      <c r="FK138" s="59">
        <f t="shared" si="156"/>
        <v>351.38386928091433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14.468794166860697</v>
      </c>
      <c r="FR138" s="21">
        <f>EXP(-LN(2)/25)*FR137+(1-EXP(-LN(2)/25))/(LN(2)/25)*Calculateur!FM138*Calculateur!FO138*VLOOKUP('Données projet'!$B$16,Paramètres!$A$1:$I$89,3,0)*0.475*44/12</f>
        <v>9.2401307619210584</v>
      </c>
      <c r="FS138" s="21">
        <f>EXP(-LN(2)/2)*FS137+(1-EXP(-LN(2)/2))/(LN(2)/2)*FM138*FP138*VLOOKUP('Données projet'!$B$16,Paramètres!$A$1:$I$89,3,0)*0.475*44/12</f>
        <v>3.3530593718110685E-7</v>
      </c>
      <c r="FT138" s="22">
        <f t="shared" si="132"/>
        <v>23.708925264087693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6">
        <f t="shared" si="110"/>
        <v>256.66666666666669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10.843999999999994</v>
      </c>
      <c r="N139" s="13">
        <f>IF('Données projet'!$A$36&gt;35,N138+M139-V138,IF(A139&lt;'Données projet'!$A$36,$K$205^A139,IF(A139='Données projet'!$A$36,'Données projet'!$B$36,N138+M139-V138)))</f>
        <v>595.67400000000021</v>
      </c>
      <c r="O139" s="13">
        <f>N139*VLOOKUP('Données projet'!$B$9,Paramètres!$A$1:$I$89,3,0)*VLOOKUP('Données projet'!$B$9,Paramètres!$A$1:$I$89,5,0)</f>
        <v>538.96583520000013</v>
      </c>
      <c r="P139" s="13">
        <f t="shared" si="141"/>
        <v>119.44268934083149</v>
      </c>
      <c r="Q139" s="20">
        <f t="shared" si="108"/>
        <v>1146.7281802419484</v>
      </c>
      <c r="R139" s="59">
        <f t="shared" si="109"/>
        <v>1440.0615135752817</v>
      </c>
      <c r="S139" s="59">
        <f ca="1">AVERAGE(OFFSET($R$3,0,0,'Données projet'!$E$9+1,1))-AVERAGE(OFFSET($H$3,0,0,'Données projet'!$E$9+1,1))</f>
        <v>695.0879239758051</v>
      </c>
      <c r="T139" s="59">
        <f t="shared" si="142"/>
        <v>226.22150997227476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59.513221888047021</v>
      </c>
      <c r="AA139" s="21">
        <f>EXP(-LN(2)/25)*AA138+(1-EXP(-LN(2)/25))/(LN(2)/25)*Calculateur!V139*Calculateur!X139*VLOOKUP('Données projet'!$B$9,Paramètres!$A$1:$I$89,3,0)*0.475*44/12</f>
        <v>25.070909235451101</v>
      </c>
      <c r="AB139" s="21">
        <f>EXP(-LN(2)/2)*AB138+(1-EXP(-LN(2)/2))/(LN(2)/2)*V139*Y139*VLOOKUP('Données projet'!$B$9,Paramètres!$A$1:$I$89,3,0)*0.475*44/12</f>
        <v>7.3770227765448166E-7</v>
      </c>
      <c r="AC139" s="22">
        <f t="shared" si="111"/>
        <v>84.584131861200405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1.1368683772161603E-13</v>
      </c>
      <c r="AJ139" s="13">
        <f>AI139*VLOOKUP('Données projet'!$B$10,Paramètres!$A$1:$I$89,3,0)*VLOOKUP('Données projet'!$B$10,Paramètres!$A$1:$I$89,5,0)</f>
        <v>6.7984728957526396E-14</v>
      </c>
      <c r="AK139" s="13">
        <f t="shared" si="143"/>
        <v>1.0682447123141398E-12</v>
      </c>
      <c r="AL139" s="20">
        <f t="shared" si="112"/>
        <v>1.978932943548152E-12</v>
      </c>
      <c r="AM139" s="59">
        <f t="shared" si="113"/>
        <v>293.3333333333353</v>
      </c>
      <c r="AN139" s="59">
        <f ca="1">AVERAGE(OFFSET($AM$3,0,0,'Données projet'!$E$10+1,1))-AVERAGE(OFFSET($H$3,0,0,'Données projet'!$E$10+1,1))</f>
        <v>388.12151914648013</v>
      </c>
      <c r="AO139" s="59">
        <f t="shared" si="144"/>
        <v>481.43684454382793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36.509198053966564</v>
      </c>
      <c r="AV139" s="21">
        <f>EXP(-LN(2)/25)*AV138+(1-EXP(-LN(2)/25))/(LN(2)/25)*Calculateur!AQ139*Calculateur!AS139*VLOOKUP('Données projet'!$B$10,Paramètres!$A$1:$I$89,3,0)*0.475*44/12</f>
        <v>6.71074693514917</v>
      </c>
      <c r="AW139" s="21">
        <f>EXP(-LN(2)/2)*AW138+(1-EXP(-LN(2)/2))/(LN(2)/2)*AQ139*AT139*VLOOKUP('Données projet'!$B$10,Paramètres!$A$1:$I$89,3,0)*0.475*44/12</f>
        <v>7.0307862226436409E-11</v>
      </c>
      <c r="AX139" s="21">
        <f t="shared" si="114"/>
        <v>43.21994498918604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415.24818074059294</v>
      </c>
      <c r="BJ139" s="59">
        <f t="shared" si="146"/>
        <v>404.45811532046872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16.64017819690071</v>
      </c>
      <c r="BQ139" s="21">
        <f>EXP(-LN(2)/25)*BQ138+(1-EXP(-LN(2)/25))/(LN(2)/25)*Calculateur!BL139*Calculateur!BN139*VLOOKUP('Données projet'!$B$11,Paramètres!$A$1:$I$89,3,0)*0.475*44/12</f>
        <v>10.542980633066492</v>
      </c>
      <c r="BR139" s="21">
        <f>EXP(-LN(2)/2)*BR138+(1-EXP(-LN(2)/2))/(LN(2)/2)*BL139*BO139*VLOOKUP('Données projet'!$B$11,Paramètres!$A$1:$I$89,3,0)*0.475*44/12</f>
        <v>2.7813313882932849E-7</v>
      </c>
      <c r="BS139" s="22">
        <f t="shared" si="117"/>
        <v>27.183159108100341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384.34044781465661</v>
      </c>
      <c r="CE139" s="59">
        <f t="shared" si="148"/>
        <v>374.99493809709708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18.828840597941817</v>
      </c>
      <c r="CL139" s="21">
        <f>EXP(-LN(2)/25)*CL138+(1-EXP(-LN(2)/25))/(LN(2)/25)*Calculateur!CG139*Calculateur!CI139*VLOOKUP('Données projet'!$B$12,Paramètres!$A$1:$I$89,3,0)*0.475*44/12</f>
        <v>11.929686053732889</v>
      </c>
      <c r="CM139" s="21">
        <f>EXP(-LN(2)/2)*CM138+(1-EXP(-LN(2)/2))/(LN(2)/2)*CG139*CJ139*VLOOKUP('Données projet'!$B$12,Paramètres!$A$1:$I$89,3,0)*0.475*44/12</f>
        <v>2.5533534056462951E-7</v>
      </c>
      <c r="CN139" s="22">
        <f t="shared" si="120"/>
        <v>30.758526907010047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5.6843418860808015E-13</v>
      </c>
      <c r="CU139" s="17">
        <f>CT139*VLOOKUP('Données projet'!$B$13,Paramètres!$A$1:$I$89,3,0)*VLOOKUP('Données projet'!$B$13,Paramètres!$A$1:$I$89,5,0)</f>
        <v>3.177547114319168E-13</v>
      </c>
      <c r="CV139" s="13">
        <f t="shared" si="149"/>
        <v>4.1725404435445377E-12</v>
      </c>
      <c r="CW139" s="20">
        <f t="shared" si="121"/>
        <v>7.820597394917325E-12</v>
      </c>
      <c r="CX139" s="59">
        <f t="shared" si="122"/>
        <v>293.33333333334116</v>
      </c>
      <c r="CY139" s="59">
        <f ca="1">AVERAGE(OFFSET($CX$3,0,0,'Données projet'!$E$13+1,1))-AVERAGE(OFFSET($H$3,0,0,'Données projet'!$E$13+1,1))</f>
        <v>386.66324266750968</v>
      </c>
      <c r="CZ139" s="59">
        <f t="shared" si="150"/>
        <v>356.22149461585769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62.442852343434467</v>
      </c>
      <c r="DG139" s="21">
        <f>EXP(-LN(2)/25)*DG138+(1-EXP(-LN(2)/25))/(LN(2)/25)*Calculateur!DB139*Calculateur!DD139*VLOOKUP('Données projet'!$B$13,Paramètres!$A$1:$I$89,3,0)*0.475*44/12</f>
        <v>12.314045586948993</v>
      </c>
      <c r="DH139" s="21">
        <f>EXP(-LN(2)/2)*DH138+(1-EXP(-LN(2)/2))/(LN(2)/2)*DB139*DE139*VLOOKUP('Données projet'!$B$13,Paramètres!$A$1:$I$89,3,0)*0.475*44/12</f>
        <v>8.7899999137525341E-9</v>
      </c>
      <c r="DI139" s="22">
        <f t="shared" si="123"/>
        <v>74.756897939173456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>
        <f>DO139*VLOOKUP('Données projet'!$B$14,Paramètres!$A$1:$I$89,3,0)*VLOOKUP('Données projet'!$B$14,Paramètres!$A$1:$I$89,5,0)</f>
        <v>0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347.17417070871716</v>
      </c>
      <c r="DU139" s="59">
        <f t="shared" si="152"/>
        <v>339.56378046986441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13.639490325328454</v>
      </c>
      <c r="EB139" s="21">
        <f>EXP(-LN(2)/25)*EB138+(1-EXP(-LN(2)/25))/(LN(2)/25)*Calculateur!DW139*Calculateur!DY139*VLOOKUP('Données projet'!$B$14,Paramètres!$A$1:$I$89,3,0)*0.475*44/12</f>
        <v>8.6417874041528577</v>
      </c>
      <c r="EC139" s="21">
        <f>EXP(-LN(2)/2)*EC138+(1-EXP(-LN(2)/2))/(LN(2)/2)*DW139*DZ139*VLOOKUP('Données projet'!$B$14,Paramètres!$A$1:$I$89,3,0)*0.475*44/12</f>
        <v>2.2797798264699105E-7</v>
      </c>
      <c r="ED139" s="22">
        <f t="shared" si="126"/>
        <v>22.281277957459292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>
        <f>EJ139*VLOOKUP('Données projet'!$B$15,Paramètres!$A$1:$I$89,3,0)*VLOOKUP('Données projet'!$B$15,Paramètres!$A$1:$I$89,5,0)</f>
        <v>0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384.34044781465661</v>
      </c>
      <c r="EP139" s="59">
        <f t="shared" si="154"/>
        <v>374.99493809709708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15.276229164367882</v>
      </c>
      <c r="EW139" s="21">
        <f>EXP(-LN(2)/25)*EW138+(1-EXP(-LN(2)/25))/(LN(2)/25)*Calculateur!ER139*Calculateur!ET139*VLOOKUP('Données projet'!$B$15,Paramètres!$A$1:$I$89,3,0)*0.475*44/12</f>
        <v>9.6788018926512116</v>
      </c>
      <c r="EX139" s="21">
        <f>EXP(-LN(2)/2)*EX138+(1-EXP(-LN(2)/2))/(LN(2)/2)*ER139*EU139*VLOOKUP('Données projet'!$B$15,Paramètres!$A$1:$I$89,3,0)*0.475*44/12</f>
        <v>2.5533534056462951E-7</v>
      </c>
      <c r="EY139" s="22">
        <f t="shared" si="129"/>
        <v>24.955031312354432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>
        <f>FE139*VLOOKUP('Données projet'!$B$16,Paramètres!$A$1:$I$89,3,0)*VLOOKUP('Données projet'!$B$16,Paramètres!$A$1:$I$89,5,0)</f>
        <v>0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359.57284550600366</v>
      </c>
      <c r="FK139" s="59">
        <f t="shared" si="156"/>
        <v>351.38386928091433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14.185069938341595</v>
      </c>
      <c r="FR139" s="21">
        <f>EXP(-LN(2)/25)*FR138+(1-EXP(-LN(2)/25))/(LN(2)/25)*Calculateur!FM139*Calculateur!FO139*VLOOKUP('Données projet'!$B$16,Paramètres!$A$1:$I$89,3,0)*0.475*44/12</f>
        <v>8.9874589003189698</v>
      </c>
      <c r="FS139" s="21">
        <f>EXP(-LN(2)/2)*FS138+(1-EXP(-LN(2)/2))/(LN(2)/2)*FM139*FP139*VLOOKUP('Données projet'!$B$16,Paramètres!$A$1:$I$89,3,0)*0.475*44/12</f>
        <v>2.3709710195287119E-7</v>
      </c>
      <c r="FT139" s="22">
        <f t="shared" si="132"/>
        <v>23.172529075757666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6">
        <f t="shared" si="110"/>
        <v>256.66666666666669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10.843999999999994</v>
      </c>
      <c r="N140" s="13">
        <f>IF('Données projet'!$A$36&gt;35,N139+M140-V139,IF(A140&lt;'Données projet'!$A$36,$K$205^A140,IF(A140='Données projet'!$A$36,'Données projet'!$B$36,N139+M140-V139)))</f>
        <v>606.51800000000026</v>
      </c>
      <c r="O140" s="13">
        <f>N140*VLOOKUP('Données projet'!$B$9,Paramètres!$A$1:$I$89,3,0)*VLOOKUP('Données projet'!$B$9,Paramètres!$A$1:$I$89,5,0)</f>
        <v>548.77748640000016</v>
      </c>
      <c r="P140" s="13">
        <f t="shared" si="141"/>
        <v>121.36197162144936</v>
      </c>
      <c r="Q140" s="20">
        <f t="shared" si="108"/>
        <v>1167.1595560540247</v>
      </c>
      <c r="R140" s="59">
        <f t="shared" si="109"/>
        <v>1460.492889387358</v>
      </c>
      <c r="S140" s="59">
        <f ca="1">AVERAGE(OFFSET($R$3,0,0,'Données projet'!$E$9+1,1))-AVERAGE(OFFSET($H$3,0,0,'Données projet'!$E$9+1,1))</f>
        <v>695.0879239758051</v>
      </c>
      <c r="T140" s="59">
        <f t="shared" si="142"/>
        <v>226.22150997227476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58.346203906303494</v>
      </c>
      <c r="AA140" s="21">
        <f>EXP(-LN(2)/25)*AA139+(1-EXP(-LN(2)/25))/(LN(2)/25)*Calculateur!V140*Calculateur!X140*VLOOKUP('Données projet'!$B$9,Paramètres!$A$1:$I$89,3,0)*0.475*44/12</f>
        <v>24.385343903985873</v>
      </c>
      <c r="AB140" s="21">
        <f>EXP(-LN(2)/2)*AB139+(1-EXP(-LN(2)/2))/(LN(2)/2)*V140*Y140*VLOOKUP('Données projet'!$B$9,Paramètres!$A$1:$I$89,3,0)*0.475*44/12</f>
        <v>5.2163428302624528E-7</v>
      </c>
      <c r="AC140" s="22">
        <f t="shared" si="111"/>
        <v>82.731548331923648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1.1368683772161603E-13</v>
      </c>
      <c r="AJ140" s="13">
        <f>AI140*VLOOKUP('Données projet'!$B$10,Paramètres!$A$1:$I$89,3,0)*VLOOKUP('Données projet'!$B$10,Paramètres!$A$1:$I$89,5,0)</f>
        <v>6.7984728957526396E-14</v>
      </c>
      <c r="AK140" s="13">
        <f t="shared" si="143"/>
        <v>1.0682447123141398E-12</v>
      </c>
      <c r="AL140" s="20">
        <f t="shared" si="112"/>
        <v>1.978932943548152E-12</v>
      </c>
      <c r="AM140" s="59">
        <f t="shared" si="113"/>
        <v>293.3333333333353</v>
      </c>
      <c r="AN140" s="59">
        <f ca="1">AVERAGE(OFFSET($AM$3,0,0,'Données projet'!$E$10+1,1))-AVERAGE(OFFSET($H$3,0,0,'Données projet'!$E$10+1,1))</f>
        <v>388.12151914648013</v>
      </c>
      <c r="AO140" s="59">
        <f t="shared" si="144"/>
        <v>481.43684454382793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35.793274948540272</v>
      </c>
      <c r="AV140" s="21">
        <f>EXP(-LN(2)/25)*AV139+(1-EXP(-LN(2)/25))/(LN(2)/25)*Calculateur!AQ140*Calculateur!AS140*VLOOKUP('Données projet'!$B$10,Paramètres!$A$1:$I$89,3,0)*0.475*44/12</f>
        <v>6.5272412073046722</v>
      </c>
      <c r="AW140" s="21">
        <f>EXP(-LN(2)/2)*AW139+(1-EXP(-LN(2)/2))/(LN(2)/2)*AQ140*AT140*VLOOKUP('Données projet'!$B$10,Paramètres!$A$1:$I$89,3,0)*0.475*44/12</f>
        <v>4.97151661510427E-11</v>
      </c>
      <c r="AX140" s="21">
        <f t="shared" si="114"/>
        <v>42.320516155894659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415.24818074059294</v>
      </c>
      <c r="BJ140" s="59">
        <f t="shared" si="146"/>
        <v>404.45811532046872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16.313874451966008</v>
      </c>
      <c r="BQ140" s="21">
        <f>EXP(-LN(2)/25)*BQ139+(1-EXP(-LN(2)/25))/(LN(2)/25)*Calculateur!BL140*Calculateur!BN140*VLOOKUP('Données projet'!$B$11,Paramètres!$A$1:$I$89,3,0)*0.475*44/12</f>
        <v>10.254682273224033</v>
      </c>
      <c r="BR140" s="21">
        <f>EXP(-LN(2)/2)*BR139+(1-EXP(-LN(2)/2))/(LN(2)/2)*BL140*BO140*VLOOKUP('Données projet'!$B$11,Paramètres!$A$1:$I$89,3,0)*0.475*44/12</f>
        <v>1.9666982853891763E-7</v>
      </c>
      <c r="BS140" s="22">
        <f t="shared" si="117"/>
        <v>26.568556921859869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384.34044781465661</v>
      </c>
      <c r="CE140" s="59">
        <f t="shared" si="148"/>
        <v>374.99493809709708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18.459618518274947</v>
      </c>
      <c r="CL140" s="21">
        <f>EXP(-LN(2)/25)*CL139+(1-EXP(-LN(2)/25))/(LN(2)/25)*Calculateur!CG140*Calculateur!CI140*VLOOKUP('Données projet'!$B$12,Paramètres!$A$1:$I$89,3,0)*0.475*44/12</f>
        <v>11.60346816123864</v>
      </c>
      <c r="CM140" s="21">
        <f>EXP(-LN(2)/2)*CM139+(1-EXP(-LN(2)/2))/(LN(2)/2)*CG140*CJ140*VLOOKUP('Données projet'!$B$12,Paramètres!$A$1:$I$89,3,0)*0.475*44/12</f>
        <v>1.8054935078982607E-7</v>
      </c>
      <c r="CN140" s="22">
        <f t="shared" si="120"/>
        <v>30.063086860062938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5.6843418860808015E-13</v>
      </c>
      <c r="CU140" s="17">
        <f>CT140*VLOOKUP('Données projet'!$B$13,Paramètres!$A$1:$I$89,3,0)*VLOOKUP('Données projet'!$B$13,Paramètres!$A$1:$I$89,5,0)</f>
        <v>3.177547114319168E-13</v>
      </c>
      <c r="CV140" s="13">
        <f t="shared" si="149"/>
        <v>4.1725404435445377E-12</v>
      </c>
      <c r="CW140" s="20">
        <f t="shared" si="121"/>
        <v>7.820597394917325E-12</v>
      </c>
      <c r="CX140" s="59">
        <f t="shared" si="122"/>
        <v>293.33333333334116</v>
      </c>
      <c r="CY140" s="59">
        <f ca="1">AVERAGE(OFFSET($CX$3,0,0,'Données projet'!$E$13+1,1))-AVERAGE(OFFSET($H$3,0,0,'Données projet'!$E$13+1,1))</f>
        <v>386.66324266750968</v>
      </c>
      <c r="CZ140" s="59">
        <f t="shared" si="150"/>
        <v>356.22149461585769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61.21838609535893</v>
      </c>
      <c r="DG140" s="21">
        <f>EXP(-LN(2)/25)*DG139+(1-EXP(-LN(2)/25))/(LN(2)/25)*Calculateur!DB140*Calculateur!DD140*VLOOKUP('Données projet'!$B$13,Paramètres!$A$1:$I$89,3,0)*0.475*44/12</f>
        <v>11.977317362806359</v>
      </c>
      <c r="DH140" s="21">
        <f>EXP(-LN(2)/2)*DH139+(1-EXP(-LN(2)/2))/(LN(2)/2)*DB140*DE140*VLOOKUP('Données projet'!$B$13,Paramètres!$A$1:$I$89,3,0)*0.475*44/12</f>
        <v>6.2154685456435849E-9</v>
      </c>
      <c r="DI140" s="22">
        <f t="shared" si="123"/>
        <v>73.195703464380756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>
        <f>DO140*VLOOKUP('Données projet'!$B$14,Paramètres!$A$1:$I$89,3,0)*VLOOKUP('Données projet'!$B$14,Paramètres!$A$1:$I$89,5,0)</f>
        <v>0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347.17417070871716</v>
      </c>
      <c r="DU140" s="59">
        <f t="shared" si="152"/>
        <v>339.56378046986441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13.372028239316402</v>
      </c>
      <c r="EB140" s="21">
        <f>EXP(-LN(2)/25)*EB139+(1-EXP(-LN(2)/25))/(LN(2)/25)*Calculateur!DW140*Calculateur!DY140*VLOOKUP('Données projet'!$B$14,Paramètres!$A$1:$I$89,3,0)*0.475*44/12</f>
        <v>8.4054772731344496</v>
      </c>
      <c r="EC140" s="21">
        <f>EXP(-LN(2)/2)*EC139+(1-EXP(-LN(2)/2))/(LN(2)/2)*DW140*DZ140*VLOOKUP('Données projet'!$B$14,Paramètres!$A$1:$I$89,3,0)*0.475*44/12</f>
        <v>1.6120477749091643E-7</v>
      </c>
      <c r="ED140" s="22">
        <f t="shared" si="126"/>
        <v>21.777505673655629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>
        <f>EJ140*VLOOKUP('Données projet'!$B$15,Paramètres!$A$1:$I$89,3,0)*VLOOKUP('Données projet'!$B$15,Paramètres!$A$1:$I$89,5,0)</f>
        <v>0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384.34044781465661</v>
      </c>
      <c r="EP140" s="59">
        <f t="shared" si="154"/>
        <v>374.99493809709708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14.976671628034383</v>
      </c>
      <c r="EW140" s="21">
        <f>EXP(-LN(2)/25)*EW139+(1-EXP(-LN(2)/25))/(LN(2)/25)*Calculateur!ER140*Calculateur!ET140*VLOOKUP('Données projet'!$B$15,Paramètres!$A$1:$I$89,3,0)*0.475*44/12</f>
        <v>9.4141345459105938</v>
      </c>
      <c r="EX140" s="21">
        <f>EXP(-LN(2)/2)*EX139+(1-EXP(-LN(2)/2))/(LN(2)/2)*ER140*EU140*VLOOKUP('Données projet'!$B$15,Paramètres!$A$1:$I$89,3,0)*0.475*44/12</f>
        <v>1.8054935078982607E-7</v>
      </c>
      <c r="EY140" s="22">
        <f t="shared" si="129"/>
        <v>24.390806354494327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>
        <f>FE140*VLOOKUP('Données projet'!$B$16,Paramètres!$A$1:$I$89,3,0)*VLOOKUP('Données projet'!$B$16,Paramètres!$A$1:$I$89,5,0)</f>
        <v>0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359.57284550600366</v>
      </c>
      <c r="FK140" s="59">
        <f t="shared" si="156"/>
        <v>351.38386928091433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13.90690936888906</v>
      </c>
      <c r="FR140" s="21">
        <f>EXP(-LN(2)/25)*FR139+(1-EXP(-LN(2)/25))/(LN(2)/25)*Calculateur!FM140*Calculateur!FO140*VLOOKUP('Données projet'!$B$16,Paramètres!$A$1:$I$89,3,0)*0.475*44/12</f>
        <v>8.7416963640598251</v>
      </c>
      <c r="FS140" s="21">
        <f>EXP(-LN(2)/2)*FS139+(1-EXP(-LN(2)/2))/(LN(2)/2)*FM140*FP140*VLOOKUP('Données projet'!$B$16,Paramètres!$A$1:$I$89,3,0)*0.475*44/12</f>
        <v>1.6765296859055345E-7</v>
      </c>
      <c r="FT140" s="22">
        <f t="shared" si="132"/>
        <v>22.648605900601854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6">
        <f t="shared" si="110"/>
        <v>256.66666666666669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10.843999999999994</v>
      </c>
      <c r="N141" s="13">
        <f>IF('Données projet'!$A$36&gt;35,N140+M141-V140,IF(A141&lt;'Données projet'!$A$36,$K$205^A141,IF(A141='Données projet'!$A$36,'Données projet'!$B$36,N140+M141-V140)))</f>
        <v>617.36200000000031</v>
      </c>
      <c r="O141" s="13">
        <f>N141*VLOOKUP('Données projet'!$B$9,Paramètres!$A$1:$I$89,3,0)*VLOOKUP('Données projet'!$B$9,Paramètres!$A$1:$I$89,5,0)</f>
        <v>558.5891376000003</v>
      </c>
      <c r="P141" s="13">
        <f t="shared" si="141"/>
        <v>123.27726355861266</v>
      </c>
      <c r="Q141" s="20">
        <f t="shared" si="108"/>
        <v>1187.5839820179174</v>
      </c>
      <c r="R141" s="59">
        <f t="shared" si="109"/>
        <v>1480.9173153512506</v>
      </c>
      <c r="S141" s="59">
        <f ca="1">AVERAGE(OFFSET($R$3,0,0,'Données projet'!$E$9+1,1))-AVERAGE(OFFSET($H$3,0,0,'Données projet'!$E$9+1,1))</f>
        <v>695.0879239758051</v>
      </c>
      <c r="T141" s="59">
        <f t="shared" si="142"/>
        <v>226.22150997227476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57.202070435371276</v>
      </c>
      <c r="AA141" s="21">
        <f>EXP(-LN(2)/25)*AA140+(1-EXP(-LN(2)/25))/(LN(2)/25)*Calculateur!V141*Calculateur!X141*VLOOKUP('Données projet'!$B$9,Paramètres!$A$1:$I$89,3,0)*0.475*44/12</f>
        <v>23.718525392561876</v>
      </c>
      <c r="AB141" s="21">
        <f>EXP(-LN(2)/2)*AB140+(1-EXP(-LN(2)/2))/(LN(2)/2)*V141*Y141*VLOOKUP('Données projet'!$B$9,Paramètres!$A$1:$I$89,3,0)*0.475*44/12</f>
        <v>3.6885113882724083E-7</v>
      </c>
      <c r="AC141" s="22">
        <f t="shared" si="111"/>
        <v>80.920596196784288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1.1368683772161603E-13</v>
      </c>
      <c r="AJ141" s="13">
        <f>AI141*VLOOKUP('Données projet'!$B$10,Paramètres!$A$1:$I$89,3,0)*VLOOKUP('Données projet'!$B$10,Paramètres!$A$1:$I$89,5,0)</f>
        <v>6.7984728957526396E-14</v>
      </c>
      <c r="AK141" s="13">
        <f t="shared" si="143"/>
        <v>1.0682447123141398E-12</v>
      </c>
      <c r="AL141" s="20">
        <f t="shared" si="112"/>
        <v>1.978932943548152E-12</v>
      </c>
      <c r="AM141" s="59">
        <f t="shared" si="113"/>
        <v>293.3333333333353</v>
      </c>
      <c r="AN141" s="59">
        <f ca="1">AVERAGE(OFFSET($AM$3,0,0,'Données projet'!$E$10+1,1))-AVERAGE(OFFSET($H$3,0,0,'Données projet'!$E$10+1,1))</f>
        <v>388.12151914648013</v>
      </c>
      <c r="AO141" s="59">
        <f t="shared" si="144"/>
        <v>481.43684454382793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35.091390658541414</v>
      </c>
      <c r="AV141" s="21">
        <f>EXP(-LN(2)/25)*AV140+(1-EXP(-LN(2)/25))/(LN(2)/25)*Calculateur!AQ141*Calculateur!AS141*VLOOKUP('Données projet'!$B$10,Paramètres!$A$1:$I$89,3,0)*0.475*44/12</f>
        <v>6.3487534532382286</v>
      </c>
      <c r="AW141" s="21">
        <f>EXP(-LN(2)/2)*AW140+(1-EXP(-LN(2)/2))/(LN(2)/2)*AQ141*AT141*VLOOKUP('Données projet'!$B$10,Paramètres!$A$1:$I$89,3,0)*0.475*44/12</f>
        <v>3.5153931113218204E-11</v>
      </c>
      <c r="AX141" s="21">
        <f t="shared" si="114"/>
        <v>41.440144111814796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415.24818074059294</v>
      </c>
      <c r="BJ141" s="59">
        <f t="shared" si="146"/>
        <v>404.45811532046872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15.993969324443842</v>
      </c>
      <c r="BQ141" s="21">
        <f>EXP(-LN(2)/25)*BQ140+(1-EXP(-LN(2)/25))/(LN(2)/25)*Calculateur!BL141*Calculateur!BN141*VLOOKUP('Données projet'!$B$11,Paramètres!$A$1:$I$89,3,0)*0.475*44/12</f>
        <v>9.9742674471924175</v>
      </c>
      <c r="BR141" s="21">
        <f>EXP(-LN(2)/2)*BR140+(1-EXP(-LN(2)/2))/(LN(2)/2)*BL141*BO141*VLOOKUP('Données projet'!$B$11,Paramètres!$A$1:$I$89,3,0)*0.475*44/12</f>
        <v>1.3906656941466425E-7</v>
      </c>
      <c r="BS141" s="22">
        <f t="shared" si="117"/>
        <v>25.968236910702828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384.34044781465661</v>
      </c>
      <c r="CE141" s="59">
        <f t="shared" si="148"/>
        <v>374.99493809709708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18.097636658387113</v>
      </c>
      <c r="CL141" s="21">
        <f>EXP(-LN(2)/25)*CL140+(1-EXP(-LN(2)/25))/(LN(2)/25)*Calculateur!CG141*Calculateur!CI141*VLOOKUP('Données projet'!$B$12,Paramètres!$A$1:$I$89,3,0)*0.475*44/12</f>
        <v>11.286170714169698</v>
      </c>
      <c r="CM141" s="21">
        <f>EXP(-LN(2)/2)*CM140+(1-EXP(-LN(2)/2))/(LN(2)/2)*CG141*CJ141*VLOOKUP('Données projet'!$B$12,Paramètres!$A$1:$I$89,3,0)*0.475*44/12</f>
        <v>1.2766767028231475E-7</v>
      </c>
      <c r="CN141" s="22">
        <f t="shared" si="120"/>
        <v>29.383807500224481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5.6843418860808015E-13</v>
      </c>
      <c r="CU141" s="17">
        <f>CT141*VLOOKUP('Données projet'!$B$13,Paramètres!$A$1:$I$89,3,0)*VLOOKUP('Données projet'!$B$13,Paramètres!$A$1:$I$89,5,0)</f>
        <v>3.177547114319168E-13</v>
      </c>
      <c r="CV141" s="13">
        <f t="shared" si="149"/>
        <v>4.1725404435445377E-12</v>
      </c>
      <c r="CW141" s="20">
        <f t="shared" si="121"/>
        <v>7.820597394917325E-12</v>
      </c>
      <c r="CX141" s="59">
        <f t="shared" si="122"/>
        <v>293.33333333334116</v>
      </c>
      <c r="CY141" s="59">
        <f ca="1">AVERAGE(OFFSET($CX$3,0,0,'Données projet'!$E$13+1,1))-AVERAGE(OFFSET($H$3,0,0,'Données projet'!$E$13+1,1))</f>
        <v>386.66324266750968</v>
      </c>
      <c r="CZ141" s="59">
        <f t="shared" si="150"/>
        <v>356.22149461585769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60.01793088355749</v>
      </c>
      <c r="DG141" s="21">
        <f>EXP(-LN(2)/25)*DG140+(1-EXP(-LN(2)/25))/(LN(2)/25)*Calculateur!DB141*Calculateur!DD141*VLOOKUP('Données projet'!$B$13,Paramètres!$A$1:$I$89,3,0)*0.475*44/12</f>
        <v>11.649796989660674</v>
      </c>
      <c r="DH141" s="21">
        <f>EXP(-LN(2)/2)*DH140+(1-EXP(-LN(2)/2))/(LN(2)/2)*DB141*DE141*VLOOKUP('Données projet'!$B$13,Paramètres!$A$1:$I$89,3,0)*0.475*44/12</f>
        <v>4.394999956876267E-9</v>
      </c>
      <c r="DI141" s="22">
        <f t="shared" si="123"/>
        <v>71.667727877613174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>
        <f>DO141*VLOOKUP('Données projet'!$B$14,Paramètres!$A$1:$I$89,3,0)*VLOOKUP('Données projet'!$B$14,Paramètres!$A$1:$I$89,5,0)</f>
        <v>0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347.17417070871716</v>
      </c>
      <c r="DU141" s="59">
        <f t="shared" si="152"/>
        <v>339.56378046986441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13.109810921675281</v>
      </c>
      <c r="EB141" s="21">
        <f>EXP(-LN(2)/25)*EB140+(1-EXP(-LN(2)/25))/(LN(2)/25)*Calculateur!DW141*Calculateur!DY141*VLOOKUP('Données projet'!$B$14,Paramètres!$A$1:$I$89,3,0)*0.475*44/12</f>
        <v>8.1756290550757491</v>
      </c>
      <c r="EC141" s="21">
        <f>EXP(-LN(2)/2)*EC140+(1-EXP(-LN(2)/2))/(LN(2)/2)*DW141*DZ141*VLOOKUP('Données projet'!$B$14,Paramètres!$A$1:$I$89,3,0)*0.475*44/12</f>
        <v>1.1398899132349552E-7</v>
      </c>
      <c r="ED141" s="22">
        <f t="shared" si="126"/>
        <v>21.285440090740021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>
        <f>EJ141*VLOOKUP('Données projet'!$B$15,Paramètres!$A$1:$I$89,3,0)*VLOOKUP('Données projet'!$B$15,Paramètres!$A$1:$I$89,5,0)</f>
        <v>0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384.34044781465661</v>
      </c>
      <c r="EP141" s="59">
        <f t="shared" si="154"/>
        <v>374.99493809709708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14.68298823227633</v>
      </c>
      <c r="EW141" s="21">
        <f>EXP(-LN(2)/25)*EW140+(1-EXP(-LN(2)/25))/(LN(2)/25)*Calculateur!ER141*Calculateur!ET141*VLOOKUP('Données projet'!$B$15,Paramètres!$A$1:$I$89,3,0)*0.475*44/12</f>
        <v>9.1567045416848494</v>
      </c>
      <c r="EX141" s="21">
        <f>EXP(-LN(2)/2)*EX140+(1-EXP(-LN(2)/2))/(LN(2)/2)*ER141*EU141*VLOOKUP('Données projet'!$B$15,Paramètres!$A$1:$I$89,3,0)*0.475*44/12</f>
        <v>1.2766767028231475E-7</v>
      </c>
      <c r="EY141" s="22">
        <f t="shared" si="129"/>
        <v>23.839692901628851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>
        <f>FE141*VLOOKUP('Données projet'!$B$16,Paramètres!$A$1:$I$89,3,0)*VLOOKUP('Données projet'!$B$16,Paramètres!$A$1:$I$89,5,0)</f>
        <v>0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359.57284550600366</v>
      </c>
      <c r="FK141" s="59">
        <f t="shared" si="156"/>
        <v>351.38386928091433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13.634203358542296</v>
      </c>
      <c r="FR141" s="21">
        <f>EXP(-LN(2)/25)*FR140+(1-EXP(-LN(2)/25))/(LN(2)/25)*Calculateur!FM141*Calculateur!FO141*VLOOKUP('Données projet'!$B$16,Paramètres!$A$1:$I$89,3,0)*0.475*44/12</f>
        <v>8.502654217278776</v>
      </c>
      <c r="FS141" s="21">
        <f>EXP(-LN(2)/2)*FS140+(1-EXP(-LN(2)/2))/(LN(2)/2)*FM141*FP141*VLOOKUP('Données projet'!$B$16,Paramètres!$A$1:$I$89,3,0)*0.475*44/12</f>
        <v>1.1854855097643561E-7</v>
      </c>
      <c r="FT141" s="22">
        <f t="shared" si="132"/>
        <v>22.136857694369624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6">
        <f t="shared" si="110"/>
        <v>256.66666666666669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10.843999999999994</v>
      </c>
      <c r="N142" s="13">
        <f>IF('Données projet'!$A$36&gt;35,N141+M142-V141,IF(A142&lt;'Données projet'!$A$36,$K$205^A142,IF(A142='Données projet'!$A$36,'Données projet'!$B$36,N141+M142-V141)))</f>
        <v>628.20600000000036</v>
      </c>
      <c r="O142" s="13">
        <f>N142*VLOOKUP('Données projet'!$B$9,Paramètres!$A$1:$I$89,3,0)*VLOOKUP('Données projet'!$B$9,Paramètres!$A$1:$I$89,5,0)</f>
        <v>568.40078880000033</v>
      </c>
      <c r="P142" s="13">
        <f t="shared" si="141"/>
        <v>125.1886433296535</v>
      </c>
      <c r="Q142" s="20">
        <f t="shared" si="108"/>
        <v>1208.0015942924804</v>
      </c>
      <c r="R142" s="59">
        <f t="shared" si="109"/>
        <v>1501.3349276258136</v>
      </c>
      <c r="S142" s="59">
        <f ca="1">AVERAGE(OFFSET($R$3,0,0,'Données projet'!$E$9+1,1))-AVERAGE(OFFSET($H$3,0,0,'Données projet'!$E$9+1,1))</f>
        <v>695.0879239758051</v>
      </c>
      <c r="T142" s="59">
        <f t="shared" si="142"/>
        <v>226.22150997227476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56.080372723951527</v>
      </c>
      <c r="AA142" s="21">
        <f>EXP(-LN(2)/25)*AA141+(1-EXP(-LN(2)/25))/(LN(2)/25)*Calculateur!V142*Calculateur!X142*VLOOKUP('Données projet'!$B$9,Paramètres!$A$1:$I$89,3,0)*0.475*44/12</f>
        <v>23.069941068399231</v>
      </c>
      <c r="AB142" s="21">
        <f>EXP(-LN(2)/2)*AB141+(1-EXP(-LN(2)/2))/(LN(2)/2)*V142*Y142*VLOOKUP('Données projet'!$B$9,Paramètres!$A$1:$I$89,3,0)*0.475*44/12</f>
        <v>2.6081714151312264E-7</v>
      </c>
      <c r="AC142" s="22">
        <f t="shared" si="111"/>
        <v>79.150314053167904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1.1368683772161603E-13</v>
      </c>
      <c r="AJ142" s="13">
        <f>AI142*VLOOKUP('Données projet'!$B$10,Paramètres!$A$1:$I$89,3,0)*VLOOKUP('Données projet'!$B$10,Paramètres!$A$1:$I$89,5,0)</f>
        <v>6.7984728957526396E-14</v>
      </c>
      <c r="AK142" s="13">
        <f t="shared" si="143"/>
        <v>1.0682447123141398E-12</v>
      </c>
      <c r="AL142" s="20">
        <f t="shared" si="112"/>
        <v>1.978932943548152E-12</v>
      </c>
      <c r="AM142" s="59">
        <f t="shared" si="113"/>
        <v>293.3333333333353</v>
      </c>
      <c r="AN142" s="59">
        <f ca="1">AVERAGE(OFFSET($AM$3,0,0,'Données projet'!$E$10+1,1))-AVERAGE(OFFSET($H$3,0,0,'Données projet'!$E$10+1,1))</f>
        <v>388.12151914648013</v>
      </c>
      <c r="AO142" s="59">
        <f t="shared" si="144"/>
        <v>481.43684454382793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34.403269891362285</v>
      </c>
      <c r="AV142" s="21">
        <f>EXP(-LN(2)/25)*AV141+(1-EXP(-LN(2)/25))/(LN(2)/25)*Calculateur!AQ142*Calculateur!AS142*VLOOKUP('Données projet'!$B$10,Paramètres!$A$1:$I$89,3,0)*0.475*44/12</f>
        <v>6.1751464561929952</v>
      </c>
      <c r="AW142" s="21">
        <f>EXP(-LN(2)/2)*AW141+(1-EXP(-LN(2)/2))/(LN(2)/2)*AQ142*AT142*VLOOKUP('Données projet'!$B$10,Paramètres!$A$1:$I$89,3,0)*0.475*44/12</f>
        <v>2.485758307552135E-11</v>
      </c>
      <c r="AX142" s="21">
        <f t="shared" si="114"/>
        <v>40.578416347580138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415.24818074059294</v>
      </c>
      <c r="BJ142" s="59">
        <f t="shared" si="146"/>
        <v>404.45811532046872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15.680337341349524</v>
      </c>
      <c r="BQ142" s="21">
        <f>EXP(-LN(2)/25)*BQ141+(1-EXP(-LN(2)/25))/(LN(2)/25)*Calculateur!BL142*Calculateur!BN142*VLOOKUP('Données projet'!$B$11,Paramètres!$A$1:$I$89,3,0)*0.475*44/12</f>
        <v>9.7015205793250114</v>
      </c>
      <c r="BR142" s="21">
        <f>EXP(-LN(2)/2)*BR141+(1-EXP(-LN(2)/2))/(LN(2)/2)*BL142*BO142*VLOOKUP('Données projet'!$B$11,Paramètres!$A$1:$I$89,3,0)*0.475*44/12</f>
        <v>9.8334914269458815E-8</v>
      </c>
      <c r="BS142" s="22">
        <f t="shared" si="117"/>
        <v>25.381858019009449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384.34044781465661</v>
      </c>
      <c r="CE142" s="59">
        <f t="shared" si="148"/>
        <v>374.99493809709708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17.742753041984546</v>
      </c>
      <c r="CL142" s="21">
        <f>EXP(-LN(2)/25)*CL141+(1-EXP(-LN(2)/25))/(LN(2)/25)*Calculateur!CG142*Calculateur!CI142*VLOOKUP('Données projet'!$B$12,Paramètres!$A$1:$I$89,3,0)*0.475*44/12</f>
        <v>10.977549782476805</v>
      </c>
      <c r="CM142" s="21">
        <f>EXP(-LN(2)/2)*CM141+(1-EXP(-LN(2)/2))/(LN(2)/2)*CG142*CJ142*VLOOKUP('Données projet'!$B$12,Paramètres!$A$1:$I$89,3,0)*0.475*44/12</f>
        <v>9.0274675394913036E-8</v>
      </c>
      <c r="CN142" s="22">
        <f t="shared" si="120"/>
        <v>28.720302914736024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5.6843418860808015E-13</v>
      </c>
      <c r="CU142" s="17">
        <f>CT142*VLOOKUP('Données projet'!$B$13,Paramètres!$A$1:$I$89,3,0)*VLOOKUP('Données projet'!$B$13,Paramètres!$A$1:$I$89,5,0)</f>
        <v>3.177547114319168E-13</v>
      </c>
      <c r="CV142" s="13">
        <f t="shared" si="149"/>
        <v>4.1725404435445377E-12</v>
      </c>
      <c r="CW142" s="20">
        <f t="shared" si="121"/>
        <v>7.820597394917325E-12</v>
      </c>
      <c r="CX142" s="59">
        <f t="shared" si="122"/>
        <v>293.33333333334116</v>
      </c>
      <c r="CY142" s="59">
        <f ca="1">AVERAGE(OFFSET($CX$3,0,0,'Données projet'!$E$13+1,1))-AVERAGE(OFFSET($H$3,0,0,'Données projet'!$E$13+1,1))</f>
        <v>386.66324266750968</v>
      </c>
      <c r="CZ142" s="59">
        <f t="shared" si="150"/>
        <v>356.22149461585769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58.841015866254097</v>
      </c>
      <c r="DG142" s="21">
        <f>EXP(-LN(2)/25)*DG141+(1-EXP(-LN(2)/25))/(LN(2)/25)*Calculateur!DB142*Calculateur!DD142*VLOOKUP('Données projet'!$B$13,Paramètres!$A$1:$I$89,3,0)*0.475*44/12</f>
        <v>11.331232678342205</v>
      </c>
      <c r="DH142" s="21">
        <f>EXP(-LN(2)/2)*DH141+(1-EXP(-LN(2)/2))/(LN(2)/2)*DB142*DE142*VLOOKUP('Données projet'!$B$13,Paramètres!$A$1:$I$89,3,0)*0.475*44/12</f>
        <v>3.1077342728217924E-9</v>
      </c>
      <c r="DI142" s="22">
        <f t="shared" si="123"/>
        <v>70.172248547704029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>
        <f>DO142*VLOOKUP('Données projet'!$B$14,Paramètres!$A$1:$I$89,3,0)*VLOOKUP('Données projet'!$B$14,Paramètres!$A$1:$I$89,5,0)</f>
        <v>0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347.17417070871716</v>
      </c>
      <c r="DU142" s="59">
        <f t="shared" si="152"/>
        <v>339.56378046986441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12.852735525696332</v>
      </c>
      <c r="EB142" s="21">
        <f>EXP(-LN(2)/25)*EB141+(1-EXP(-LN(2)/25))/(LN(2)/25)*Calculateur!DW142*Calculateur!DY142*VLOOKUP('Données projet'!$B$14,Paramètres!$A$1:$I$89,3,0)*0.475*44/12</f>
        <v>7.9520660486270565</v>
      </c>
      <c r="EC142" s="21">
        <f>EXP(-LN(2)/2)*EC141+(1-EXP(-LN(2)/2))/(LN(2)/2)*DW142*DZ142*VLOOKUP('Données projet'!$B$14,Paramètres!$A$1:$I$89,3,0)*0.475*44/12</f>
        <v>8.0602388745458213E-8</v>
      </c>
      <c r="ED142" s="22">
        <f t="shared" si="126"/>
        <v>20.804801654925775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>
        <f>EJ142*VLOOKUP('Données projet'!$B$15,Paramètres!$A$1:$I$89,3,0)*VLOOKUP('Données projet'!$B$15,Paramètres!$A$1:$I$89,5,0)</f>
        <v>0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384.34044781465661</v>
      </c>
      <c r="EP142" s="59">
        <f t="shared" si="154"/>
        <v>374.99493809709708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14.395063788779908</v>
      </c>
      <c r="EW142" s="21">
        <f>EXP(-LN(2)/25)*EW141+(1-EXP(-LN(2)/25))/(LN(2)/25)*Calculateur!ER142*Calculateur!ET142*VLOOKUP('Données projet'!$B$15,Paramètres!$A$1:$I$89,3,0)*0.475*44/12</f>
        <v>8.9063139744623125</v>
      </c>
      <c r="EX142" s="21">
        <f>EXP(-LN(2)/2)*EX141+(1-EXP(-LN(2)/2))/(LN(2)/2)*ER142*EU142*VLOOKUP('Données projet'!$B$15,Paramètres!$A$1:$I$89,3,0)*0.475*44/12</f>
        <v>9.0274675394913036E-8</v>
      </c>
      <c r="EY142" s="22">
        <f t="shared" si="129"/>
        <v>23.301377853516897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>
        <f>FE142*VLOOKUP('Données projet'!$B$16,Paramètres!$A$1:$I$89,3,0)*VLOOKUP('Données projet'!$B$16,Paramètres!$A$1:$I$89,5,0)</f>
        <v>0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359.57284550600366</v>
      </c>
      <c r="FK142" s="59">
        <f t="shared" si="156"/>
        <v>351.38386928091433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13.366844946724189</v>
      </c>
      <c r="FR142" s="21">
        <f>EXP(-LN(2)/25)*FR141+(1-EXP(-LN(2)/25))/(LN(2)/25)*Calculateur!FM142*Calculateur!FO142*VLOOKUP('Données projet'!$B$16,Paramètres!$A$1:$I$89,3,0)*0.475*44/12</f>
        <v>8.2701486905721353</v>
      </c>
      <c r="FS142" s="21">
        <f>EXP(-LN(2)/2)*FS141+(1-EXP(-LN(2)/2))/(LN(2)/2)*FM142*FP142*VLOOKUP('Données projet'!$B$16,Paramètres!$A$1:$I$89,3,0)*0.475*44/12</f>
        <v>8.3826484295276739E-8</v>
      </c>
      <c r="FT142" s="22">
        <f t="shared" si="132"/>
        <v>21.63699372112281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6">
        <f t="shared" si="110"/>
        <v>256.66666666666669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>
        <f>VLOOKUP(A143,'Données projet'!$A$35:$I$55,2,0)</f>
        <v>639.04999999999995</v>
      </c>
      <c r="L143" s="12">
        <f>VLOOKUP(A143,'Données projet'!$A$35:$I$55,9,0)</f>
        <v>10.843999999999994</v>
      </c>
      <c r="M143" s="12">
        <f t="array" ref="M143">INDEX(L:L,MIN(IF(ISNUMBER(L143:L339),ROW(L143:L339),"")))</f>
        <v>10.843999999999994</v>
      </c>
      <c r="N143" s="13">
        <f>IF('Données projet'!$A$36&gt;35,N142+M143-V142,IF(A143&lt;'Données projet'!$A$36,$K$205^A143,IF(A143='Données projet'!$A$36,'Données projet'!$B$36,N142+M143-V142)))</f>
        <v>639.05000000000041</v>
      </c>
      <c r="O143" s="13">
        <f>N143*VLOOKUP('Données projet'!$B$9,Paramètres!$A$1:$I$89,3,0)*VLOOKUP('Données projet'!$B$9,Paramètres!$A$1:$I$89,5,0)</f>
        <v>578.21244000000036</v>
      </c>
      <c r="P143" s="13">
        <f t="shared" si="141"/>
        <v>127.0961862582958</v>
      </c>
      <c r="Q143" s="20">
        <f t="shared" si="108"/>
        <v>1228.4125240665323</v>
      </c>
      <c r="R143" s="59">
        <f t="shared" si="109"/>
        <v>1521.7458573998656</v>
      </c>
      <c r="S143" s="59">
        <f ca="1">AVERAGE(OFFSET($R$3,0,0,'Données projet'!$E$9+1,1))-AVERAGE(OFFSET($H$3,0,0,'Données projet'!$E$9+1,1))</f>
        <v>695.0879239758051</v>
      </c>
      <c r="T143" s="59">
        <f t="shared" si="142"/>
        <v>226.22150997227476</v>
      </c>
      <c r="U143" s="15">
        <f>IF(ISNA(VLOOKUP(A143,'Données projet'!$A$35:$I$55,3,0)),0,VLOOKUP(A143,'Données projet'!$A$35:$I$55,3,0))</f>
        <v>13</v>
      </c>
      <c r="V143" s="15">
        <f>IF(ISNA(VLOOKUP(A143,'Données projet'!$A$35:$I$55,4,0)),0,VLOOKUP(A143,'Données projet'!$A$35:$I$55,4,0))</f>
        <v>74.669999999999959</v>
      </c>
      <c r="W143" s="16">
        <f>IF(ISNA(VLOOKUP(A143,'Données projet'!$A$35:$I$55,5,0)),0%,VLOOKUP(A143,'Données projet'!$A$35:$I$55,5,0)*VLOOKUP('Données projet'!$B$9,Paramètres!$A$1:$I$89,7,0))</f>
        <v>0.215</v>
      </c>
      <c r="X143" s="16">
        <f>IF(ISNA(VLOOKUP(A143,'Données projet'!$A$35:$I$55,6,0)),0%,VLOOKUP(A143,'Données projet'!$A$35:$I$55,6,0)*VLOOKUP('Données projet'!$B$9,Paramètres!$A$1:$I$89,7,0))</f>
        <v>8.6000000000000007E-2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71.038406820754915</v>
      </c>
      <c r="AA143" s="21">
        <f>EXP(-LN(2)/25)*AA142+(1-EXP(-LN(2)/25))/(LN(2)/25)*Calculateur!V143*Calculateur!X143*VLOOKUP('Données projet'!$B$9,Paramètres!$A$1:$I$89,3,0)*0.475*44/12</f>
        <v>28.836896546752417</v>
      </c>
      <c r="AB143" s="21">
        <f>EXP(-LN(2)/2)*AB142+(1-EXP(-LN(2)/2))/(LN(2)/2)*V143*Y143*VLOOKUP('Données projet'!$B$9,Paramètres!$A$1:$I$89,3,0)*0.475*44/12</f>
        <v>1.8442556941362041E-7</v>
      </c>
      <c r="AC143" s="22">
        <f t="shared" si="111"/>
        <v>99.875303551932902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1.1368683772161603E-13</v>
      </c>
      <c r="AJ143" s="13">
        <f>AI143*VLOOKUP('Données projet'!$B$10,Paramètres!$A$1:$I$89,3,0)*VLOOKUP('Données projet'!$B$10,Paramètres!$A$1:$I$89,5,0)</f>
        <v>6.7984728957526396E-14</v>
      </c>
      <c r="AK143" s="13">
        <f t="shared" si="143"/>
        <v>1.0682447123141398E-12</v>
      </c>
      <c r="AL143" s="20">
        <f t="shared" si="112"/>
        <v>1.978932943548152E-12</v>
      </c>
      <c r="AM143" s="59">
        <f t="shared" si="113"/>
        <v>293.3333333333353</v>
      </c>
      <c r="AN143" s="59">
        <f ca="1">AVERAGE(OFFSET($AM$3,0,0,'Données projet'!$E$10+1,1))-AVERAGE(OFFSET($H$3,0,0,'Données projet'!$E$10+1,1))</f>
        <v>388.12151914648013</v>
      </c>
      <c r="AO143" s="59">
        <f t="shared" si="144"/>
        <v>481.43684454382793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33.728642752715317</v>
      </c>
      <c r="AV143" s="21">
        <f>EXP(-LN(2)/25)*AV142+(1-EXP(-LN(2)/25))/(LN(2)/25)*Calculateur!AQ143*Calculateur!AS143*VLOOKUP('Données projet'!$B$10,Paramètres!$A$1:$I$89,3,0)*0.475*44/12</f>
        <v>6.006286751611559</v>
      </c>
      <c r="AW143" s="21">
        <f>EXP(-LN(2)/2)*AW142+(1-EXP(-LN(2)/2))/(LN(2)/2)*AQ143*AT143*VLOOKUP('Données projet'!$B$10,Paramètres!$A$1:$I$89,3,0)*0.475*44/12</f>
        <v>1.7576965556609102E-11</v>
      </c>
      <c r="AX143" s="21">
        <f t="shared" si="114"/>
        <v>39.734929504344457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415.24818074059294</v>
      </c>
      <c r="BJ143" s="59">
        <f t="shared" si="146"/>
        <v>404.45811532046872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15.372855490147066</v>
      </c>
      <c r="BQ143" s="21">
        <f>EXP(-LN(2)/25)*BQ142+(1-EXP(-LN(2)/25))/(LN(2)/25)*Calculateur!BL143*Calculateur!BN143*VLOOKUP('Données projet'!$B$11,Paramètres!$A$1:$I$89,3,0)*0.475*44/12</f>
        <v>9.4362319889025752</v>
      </c>
      <c r="BR143" s="21">
        <f>EXP(-LN(2)/2)*BR142+(1-EXP(-LN(2)/2))/(LN(2)/2)*BL143*BO143*VLOOKUP('Données projet'!$B$11,Paramètres!$A$1:$I$89,3,0)*0.475*44/12</f>
        <v>6.9533284707332123E-8</v>
      </c>
      <c r="BS143" s="22">
        <f t="shared" si="117"/>
        <v>24.809087548582927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384.34044781465661</v>
      </c>
      <c r="CE143" s="59">
        <f t="shared" si="148"/>
        <v>374.99493809709708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17.394828476842001</v>
      </c>
      <c r="CL143" s="21">
        <f>EXP(-LN(2)/25)*CL142+(1-EXP(-LN(2)/25))/(LN(2)/25)*Calculateur!CG143*Calculateur!CI143*VLOOKUP('Données projet'!$B$12,Paramètres!$A$1:$I$89,3,0)*0.475*44/12</f>
        <v>10.677368106390723</v>
      </c>
      <c r="CM143" s="21">
        <f>EXP(-LN(2)/2)*CM142+(1-EXP(-LN(2)/2))/(LN(2)/2)*CG143*CJ143*VLOOKUP('Données projet'!$B$12,Paramètres!$A$1:$I$89,3,0)*0.475*44/12</f>
        <v>6.3833835141157377E-8</v>
      </c>
      <c r="CN143" s="22">
        <f t="shared" si="120"/>
        <v>28.072196647066558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5.6843418860808015E-13</v>
      </c>
      <c r="CU143" s="17">
        <f>CT143*VLOOKUP('Données projet'!$B$13,Paramètres!$A$1:$I$89,3,0)*VLOOKUP('Données projet'!$B$13,Paramètres!$A$1:$I$89,5,0)</f>
        <v>3.177547114319168E-13</v>
      </c>
      <c r="CV143" s="13">
        <f t="shared" si="149"/>
        <v>4.1725404435445377E-12</v>
      </c>
      <c r="CW143" s="20">
        <f t="shared" si="121"/>
        <v>7.820597394917325E-12</v>
      </c>
      <c r="CX143" s="59">
        <f t="shared" si="122"/>
        <v>293.33333333334116</v>
      </c>
      <c r="CY143" s="59">
        <f ca="1">AVERAGE(OFFSET($CX$3,0,0,'Données projet'!$E$13+1,1))-AVERAGE(OFFSET($H$3,0,0,'Données projet'!$E$13+1,1))</f>
        <v>386.66324266750968</v>
      </c>
      <c r="CZ143" s="59">
        <f t="shared" si="150"/>
        <v>356.22149461585769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57.687179434592743</v>
      </c>
      <c r="DG143" s="21">
        <f>EXP(-LN(2)/25)*DG142+(1-EXP(-LN(2)/25))/(LN(2)/25)*Calculateur!DB143*Calculateur!DD143*VLOOKUP('Données projet'!$B$13,Paramètres!$A$1:$I$89,3,0)*0.475*44/12</f>
        <v>11.021379524869308</v>
      </c>
      <c r="DH143" s="21">
        <f>EXP(-LN(2)/2)*DH142+(1-EXP(-LN(2)/2))/(LN(2)/2)*DB143*DE143*VLOOKUP('Données projet'!$B$13,Paramètres!$A$1:$I$89,3,0)*0.475*44/12</f>
        <v>2.1974999784381335E-9</v>
      </c>
      <c r="DI143" s="22">
        <f t="shared" si="123"/>
        <v>68.708558961659548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>
        <f>DO143*VLOOKUP('Données projet'!$B$14,Paramètres!$A$1:$I$89,3,0)*VLOOKUP('Données projet'!$B$14,Paramètres!$A$1:$I$89,5,0)</f>
        <v>0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347.17417070871716</v>
      </c>
      <c r="DU143" s="59">
        <f t="shared" si="152"/>
        <v>339.56378046986441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12.600701221432022</v>
      </c>
      <c r="EB143" s="21">
        <f>EXP(-LN(2)/25)*EB142+(1-EXP(-LN(2)/25))/(LN(2)/25)*Calculateur!DW143*Calculateur!DY143*VLOOKUP('Données projet'!$B$14,Paramètres!$A$1:$I$89,3,0)*0.475*44/12</f>
        <v>7.7346163843463707</v>
      </c>
      <c r="EC143" s="21">
        <f>EXP(-LN(2)/2)*EC142+(1-EXP(-LN(2)/2))/(LN(2)/2)*DW143*DZ143*VLOOKUP('Données projet'!$B$14,Paramètres!$A$1:$I$89,3,0)*0.475*44/12</f>
        <v>5.6994495661747762E-8</v>
      </c>
      <c r="ED143" s="22">
        <f t="shared" si="126"/>
        <v>20.335317662772887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>
        <f>EJ143*VLOOKUP('Données projet'!$B$15,Paramètres!$A$1:$I$89,3,0)*VLOOKUP('Données projet'!$B$15,Paramètres!$A$1:$I$89,5,0)</f>
        <v>0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384.34044781465661</v>
      </c>
      <c r="EP143" s="59">
        <f t="shared" si="154"/>
        <v>374.99493809709708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14.11278536800388</v>
      </c>
      <c r="EW143" s="21">
        <f>EXP(-LN(2)/25)*EW142+(1-EXP(-LN(2)/25))/(LN(2)/25)*Calculateur!ER143*Calculateur!ET143*VLOOKUP('Données projet'!$B$15,Paramètres!$A$1:$I$89,3,0)*0.475*44/12</f>
        <v>8.6627703504679445</v>
      </c>
      <c r="EX143" s="21">
        <f>EXP(-LN(2)/2)*EX142+(1-EXP(-LN(2)/2))/(LN(2)/2)*ER143*EU143*VLOOKUP('Données projet'!$B$15,Paramètres!$A$1:$I$89,3,0)*0.475*44/12</f>
        <v>6.3833835141157377E-8</v>
      </c>
      <c r="EY143" s="22">
        <f t="shared" si="129"/>
        <v>22.775555782305659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>
        <f>FE143*VLOOKUP('Données projet'!$B$16,Paramètres!$A$1:$I$89,3,0)*VLOOKUP('Données projet'!$B$16,Paramètres!$A$1:$I$89,5,0)</f>
        <v>0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359.57284550600366</v>
      </c>
      <c r="FK143" s="59">
        <f t="shared" si="156"/>
        <v>351.38386928091433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13.104729270289306</v>
      </c>
      <c r="FR143" s="21">
        <f>EXP(-LN(2)/25)*FR142+(1-EXP(-LN(2)/25))/(LN(2)/25)*Calculateur!FM143*Calculateur!FO143*VLOOKUP('Données projet'!$B$16,Paramètres!$A$1:$I$89,3,0)*0.475*44/12</f>
        <v>8.0440010397202215</v>
      </c>
      <c r="FS143" s="21">
        <f>EXP(-LN(2)/2)*FS142+(1-EXP(-LN(2)/2))/(LN(2)/2)*FM143*FP143*VLOOKUP('Données projet'!$B$16,Paramètres!$A$1:$I$89,3,0)*0.475*44/12</f>
        <v>5.9274275488217817E-8</v>
      </c>
      <c r="FT143" s="22">
        <f t="shared" si="132"/>
        <v>21.1487303692838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6">
        <f t="shared" si="110"/>
        <v>256.66666666666669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10.875</v>
      </c>
      <c r="N144" s="13">
        <f>IF('Données projet'!$A$36&gt;35,N143+M144-V143,IF(A144&lt;'Données projet'!$A$36,$K$205^A144,IF(A144='Données projet'!$A$36,'Données projet'!$B$36,N143+M144-V143)))</f>
        <v>575.25500000000045</v>
      </c>
      <c r="O144" s="13">
        <f>N144*VLOOKUP('Données projet'!$B$9,Paramètres!$A$1:$I$89,3,0)*VLOOKUP('Données projet'!$B$9,Paramètres!$A$1:$I$89,5,0)</f>
        <v>520.49072400000034</v>
      </c>
      <c r="P144" s="13">
        <f t="shared" si="141"/>
        <v>115.81760674620399</v>
      </c>
      <c r="Q144" s="20">
        <f t="shared" si="108"/>
        <v>1108.2370093829725</v>
      </c>
      <c r="R144" s="59">
        <f t="shared" si="109"/>
        <v>1401.5703427163057</v>
      </c>
      <c r="S144" s="59">
        <f ca="1">AVERAGE(OFFSET($R$3,0,0,'Données projet'!$E$9+1,1))-AVERAGE(OFFSET($H$3,0,0,'Données projet'!$E$9+1,1))</f>
        <v>695.0879239758051</v>
      </c>
      <c r="T144" s="59">
        <f t="shared" si="142"/>
        <v>226.22150997227476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69.645386992149668</v>
      </c>
      <c r="AA144" s="21">
        <f>EXP(-LN(2)/25)*AA143+(1-EXP(-LN(2)/25))/(LN(2)/25)*Calculateur!V144*Calculateur!X144*VLOOKUP('Données projet'!$B$9,Paramètres!$A$1:$I$89,3,0)*0.475*44/12</f>
        <v>28.048350094214989</v>
      </c>
      <c r="AB144" s="21">
        <f>EXP(-LN(2)/2)*AB143+(1-EXP(-LN(2)/2))/(LN(2)/2)*V144*Y144*VLOOKUP('Données projet'!$B$9,Paramètres!$A$1:$I$89,3,0)*0.475*44/12</f>
        <v>1.3040857075656132E-7</v>
      </c>
      <c r="AC144" s="22">
        <f t="shared" si="111"/>
        <v>97.693737216773215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1.1368683772161603E-13</v>
      </c>
      <c r="AJ144" s="13">
        <f>AI144*VLOOKUP('Données projet'!$B$10,Paramètres!$A$1:$I$89,3,0)*VLOOKUP('Données projet'!$B$10,Paramètres!$A$1:$I$89,5,0)</f>
        <v>6.7984728957526396E-14</v>
      </c>
      <c r="AK144" s="13">
        <f t="shared" si="143"/>
        <v>1.0682447123141398E-12</v>
      </c>
      <c r="AL144" s="20">
        <f t="shared" si="112"/>
        <v>1.978932943548152E-12</v>
      </c>
      <c r="AM144" s="59">
        <f t="shared" si="113"/>
        <v>293.3333333333353</v>
      </c>
      <c r="AN144" s="59">
        <f ca="1">AVERAGE(OFFSET($AM$3,0,0,'Données projet'!$E$10+1,1))-AVERAGE(OFFSET($H$3,0,0,'Données projet'!$E$10+1,1))</f>
        <v>388.12151914648013</v>
      </c>
      <c r="AO144" s="59">
        <f t="shared" si="144"/>
        <v>481.43684454382793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33.067244640775286</v>
      </c>
      <c r="AV144" s="21">
        <f>EXP(-LN(2)/25)*AV143+(1-EXP(-LN(2)/25))/(LN(2)/25)*Calculateur!AQ144*Calculateur!AS144*VLOOKUP('Données projet'!$B$10,Paramètres!$A$1:$I$89,3,0)*0.475*44/12</f>
        <v>5.8420445245318486</v>
      </c>
      <c r="AW144" s="21">
        <f>EXP(-LN(2)/2)*AW143+(1-EXP(-LN(2)/2))/(LN(2)/2)*AQ144*AT144*VLOOKUP('Données projet'!$B$10,Paramètres!$A$1:$I$89,3,0)*0.475*44/12</f>
        <v>1.2428791537760675E-11</v>
      </c>
      <c r="AX144" s="21">
        <f t="shared" si="114"/>
        <v>38.909289165319564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415.24818074059294</v>
      </c>
      <c r="BJ144" s="59">
        <f t="shared" si="146"/>
        <v>404.45811532046872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15.071403170501277</v>
      </c>
      <c r="BQ144" s="21">
        <f>EXP(-LN(2)/25)*BQ143+(1-EXP(-LN(2)/25))/(LN(2)/25)*Calculateur!BL144*Calculateur!BN144*VLOOKUP('Données projet'!$B$11,Paramètres!$A$1:$I$89,3,0)*0.475*44/12</f>
        <v>9.1781977289361603</v>
      </c>
      <c r="BR144" s="21">
        <f>EXP(-LN(2)/2)*BR143+(1-EXP(-LN(2)/2))/(LN(2)/2)*BL144*BO144*VLOOKUP('Données projet'!$B$11,Paramètres!$A$1:$I$89,3,0)*0.475*44/12</f>
        <v>4.9167457134729408E-8</v>
      </c>
      <c r="BS144" s="22">
        <f t="shared" si="117"/>
        <v>24.249600948604897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384.34044781465661</v>
      </c>
      <c r="CE144" s="59">
        <f t="shared" si="148"/>
        <v>374.99493809709708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17.053726500208871</v>
      </c>
      <c r="CL144" s="21">
        <f>EXP(-LN(2)/25)*CL143+(1-EXP(-LN(2)/25))/(LN(2)/25)*Calculateur!CG144*Calculateur!CI144*VLOOKUP('Données projet'!$B$12,Paramètres!$A$1:$I$89,3,0)*0.475*44/12</f>
        <v>10.385394914023085</v>
      </c>
      <c r="CM144" s="21">
        <f>EXP(-LN(2)/2)*CM143+(1-EXP(-LN(2)/2))/(LN(2)/2)*CG144*CJ144*VLOOKUP('Données projet'!$B$12,Paramètres!$A$1:$I$89,3,0)*0.475*44/12</f>
        <v>4.5137337697456518E-8</v>
      </c>
      <c r="CN144" s="22">
        <f t="shared" si="120"/>
        <v>27.439121459369293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5.6843418860808015E-13</v>
      </c>
      <c r="CU144" s="17">
        <f>CT144*VLOOKUP('Données projet'!$B$13,Paramètres!$A$1:$I$89,3,0)*VLOOKUP('Données projet'!$B$13,Paramètres!$A$1:$I$89,5,0)</f>
        <v>3.177547114319168E-13</v>
      </c>
      <c r="CV144" s="13">
        <f t="shared" si="149"/>
        <v>4.1725404435445377E-12</v>
      </c>
      <c r="CW144" s="20">
        <f t="shared" si="121"/>
        <v>7.820597394917325E-12</v>
      </c>
      <c r="CX144" s="59">
        <f t="shared" si="122"/>
        <v>293.33333333334116</v>
      </c>
      <c r="CY144" s="59">
        <f ca="1">AVERAGE(OFFSET($CX$3,0,0,'Données projet'!$E$13+1,1))-AVERAGE(OFFSET($H$3,0,0,'Données projet'!$E$13+1,1))</f>
        <v>386.66324266750968</v>
      </c>
      <c r="CZ144" s="59">
        <f t="shared" si="150"/>
        <v>356.22149461585769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56.555969031585533</v>
      </c>
      <c r="DG144" s="21">
        <f>EXP(-LN(2)/25)*DG143+(1-EXP(-LN(2)/25))/(LN(2)/25)*Calculateur!DB144*Calculateur!DD144*VLOOKUP('Données projet'!$B$13,Paramètres!$A$1:$I$89,3,0)*0.475*44/12</f>
        <v>10.719999322172598</v>
      </c>
      <c r="DH144" s="21">
        <f>EXP(-LN(2)/2)*DH143+(1-EXP(-LN(2)/2))/(LN(2)/2)*DB144*DE144*VLOOKUP('Données projet'!$B$13,Paramètres!$A$1:$I$89,3,0)*0.475*44/12</f>
        <v>1.5538671364108962E-9</v>
      </c>
      <c r="DI144" s="22">
        <f t="shared" si="123"/>
        <v>67.275968355312003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>
        <f>DO144*VLOOKUP('Données projet'!$B$14,Paramètres!$A$1:$I$89,3,0)*VLOOKUP('Données projet'!$B$14,Paramètres!$A$1:$I$89,5,0)</f>
        <v>0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347.17417070871716</v>
      </c>
      <c r="DU144" s="59">
        <f t="shared" si="152"/>
        <v>339.56378046986441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12.353609156148588</v>
      </c>
      <c r="EB144" s="21">
        <f>EXP(-LN(2)/25)*EB143+(1-EXP(-LN(2)/25))/(LN(2)/25)*Calculateur!DW144*Calculateur!DY144*VLOOKUP('Données projet'!$B$14,Paramètres!$A$1:$I$89,3,0)*0.475*44/12</f>
        <v>7.5231128925706212</v>
      </c>
      <c r="EC144" s="21">
        <f>EXP(-LN(2)/2)*EC143+(1-EXP(-LN(2)/2))/(LN(2)/2)*DW144*DZ144*VLOOKUP('Données projet'!$B$14,Paramètres!$A$1:$I$89,3,0)*0.475*44/12</f>
        <v>4.0301194372729106E-8</v>
      </c>
      <c r="ED144" s="22">
        <f t="shared" si="126"/>
        <v>19.876722089020404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>
        <f>EJ144*VLOOKUP('Données projet'!$B$15,Paramètres!$A$1:$I$89,3,0)*VLOOKUP('Données projet'!$B$15,Paramètres!$A$1:$I$89,5,0)</f>
        <v>0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384.34044781465661</v>
      </c>
      <c r="EP144" s="59">
        <f t="shared" si="154"/>
        <v>374.99493809709708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13.836042254886435</v>
      </c>
      <c r="EW144" s="21">
        <f>EXP(-LN(2)/25)*EW143+(1-EXP(-LN(2)/25))/(LN(2)/25)*Calculateur!ER144*Calculateur!ET144*VLOOKUP('Données projet'!$B$15,Paramètres!$A$1:$I$89,3,0)*0.475*44/12</f>
        <v>8.425886439679104</v>
      </c>
      <c r="EX144" s="21">
        <f>EXP(-LN(2)/2)*EX143+(1-EXP(-LN(2)/2))/(LN(2)/2)*ER144*EU144*VLOOKUP('Données projet'!$B$15,Paramètres!$A$1:$I$89,3,0)*0.475*44/12</f>
        <v>4.5137337697456518E-8</v>
      </c>
      <c r="EY144" s="22">
        <f t="shared" si="129"/>
        <v>22.261928739702878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>
        <f>FE144*VLOOKUP('Données projet'!$B$16,Paramètres!$A$1:$I$89,3,0)*VLOOKUP('Données projet'!$B$16,Paramètres!$A$1:$I$89,5,0)</f>
        <v>0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359.57284550600366</v>
      </c>
      <c r="FK144" s="59">
        <f t="shared" si="156"/>
        <v>351.38386928091433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12.847753522394536</v>
      </c>
      <c r="FR144" s="21">
        <f>EXP(-LN(2)/25)*FR143+(1-EXP(-LN(2)/25))/(LN(2)/25)*Calculateur!FM144*Calculateur!FO144*VLOOKUP('Données projet'!$B$16,Paramètres!$A$1:$I$89,3,0)*0.475*44/12</f>
        <v>7.8240374082734423</v>
      </c>
      <c r="FS144" s="21">
        <f>EXP(-LN(2)/2)*FS143+(1-EXP(-LN(2)/2))/(LN(2)/2)*FM144*FP144*VLOOKUP('Données projet'!$B$16,Paramètres!$A$1:$I$89,3,0)*0.475*44/12</f>
        <v>4.1913242147638376E-8</v>
      </c>
      <c r="FT144" s="22">
        <f t="shared" si="132"/>
        <v>20.671790972581221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6">
        <f t="shared" si="110"/>
        <v>256.66666666666669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10.875</v>
      </c>
      <c r="N145" s="13">
        <f>IF('Données projet'!$A$36&gt;35,N144+M145-V144,IF(A145&lt;'Données projet'!$A$36,$K$205^A145,IF(A145='Données projet'!$A$36,'Données projet'!$B$36,N144+M145-V144)))</f>
        <v>586.13000000000045</v>
      </c>
      <c r="O145" s="13">
        <f>N145*VLOOKUP('Données projet'!$B$9,Paramètres!$A$1:$I$89,3,0)*VLOOKUP('Données projet'!$B$9,Paramètres!$A$1:$I$89,5,0)</f>
        <v>530.33042400000033</v>
      </c>
      <c r="P145" s="13">
        <f t="shared" si="141"/>
        <v>117.75012850750038</v>
      </c>
      <c r="Q145" s="20">
        <f t="shared" si="108"/>
        <v>1128.7402956172302</v>
      </c>
      <c r="R145" s="59">
        <f t="shared" si="109"/>
        <v>1422.0736289505635</v>
      </c>
      <c r="S145" s="59">
        <f ca="1">AVERAGE(OFFSET($R$3,0,0,'Données projet'!$E$9+1,1))-AVERAGE(OFFSET($H$3,0,0,'Données projet'!$E$9+1,1))</f>
        <v>695.0879239758051</v>
      </c>
      <c r="T145" s="59">
        <f t="shared" si="142"/>
        <v>226.22150997227476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68.279683432725179</v>
      </c>
      <c r="AA145" s="21">
        <f>EXP(-LN(2)/25)*AA144+(1-EXP(-LN(2)/25))/(LN(2)/25)*Calculateur!V145*Calculateur!X145*VLOOKUP('Données projet'!$B$9,Paramètres!$A$1:$I$89,3,0)*0.475*44/12</f>
        <v>27.281366485890054</v>
      </c>
      <c r="AB145" s="21">
        <f>EXP(-LN(2)/2)*AB144+(1-EXP(-LN(2)/2))/(LN(2)/2)*V145*Y145*VLOOKUP('Données projet'!$B$9,Paramètres!$A$1:$I$89,3,0)*0.475*44/12</f>
        <v>9.2212784706810207E-8</v>
      </c>
      <c r="AC145" s="22">
        <f t="shared" si="111"/>
        <v>95.561050010828012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1.1368683772161603E-13</v>
      </c>
      <c r="AJ145" s="13">
        <f>AI145*VLOOKUP('Données projet'!$B$10,Paramètres!$A$1:$I$89,3,0)*VLOOKUP('Données projet'!$B$10,Paramètres!$A$1:$I$89,5,0)</f>
        <v>6.7984728957526396E-14</v>
      </c>
      <c r="AK145" s="13">
        <f t="shared" si="143"/>
        <v>1.0682447123141398E-12</v>
      </c>
      <c r="AL145" s="20">
        <f t="shared" si="112"/>
        <v>1.978932943548152E-12</v>
      </c>
      <c r="AM145" s="59">
        <f t="shared" si="113"/>
        <v>293.3333333333353</v>
      </c>
      <c r="AN145" s="59">
        <f ca="1">AVERAGE(OFFSET($AM$3,0,0,'Données projet'!$E$10+1,1))-AVERAGE(OFFSET($H$3,0,0,'Données projet'!$E$10+1,1))</f>
        <v>388.12151914648013</v>
      </c>
      <c r="AO145" s="59">
        <f t="shared" si="144"/>
        <v>481.43684454382793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32.41881614239739</v>
      </c>
      <c r="AV145" s="21">
        <f>EXP(-LN(2)/25)*AV144+(1-EXP(-LN(2)/25))/(LN(2)/25)*Calculateur!AQ145*Calculateur!AS145*VLOOKUP('Données projet'!$B$10,Paramètres!$A$1:$I$89,3,0)*0.475*44/12</f>
        <v>5.6822935097887557</v>
      </c>
      <c r="AW145" s="21">
        <f>EXP(-LN(2)/2)*AW144+(1-EXP(-LN(2)/2))/(LN(2)/2)*AQ145*AT145*VLOOKUP('Données projet'!$B$10,Paramètres!$A$1:$I$89,3,0)*0.475*44/12</f>
        <v>8.7884827783045511E-12</v>
      </c>
      <c r="AX145" s="21">
        <f t="shared" si="114"/>
        <v>38.101109652194936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415.24818074059294</v>
      </c>
      <c r="BJ145" s="59">
        <f t="shared" si="146"/>
        <v>404.45811532046872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14.775862146975982</v>
      </c>
      <c r="BQ145" s="21">
        <f>EXP(-LN(2)/25)*BQ144+(1-EXP(-LN(2)/25))/(LN(2)/25)*Calculateur!BL145*Calculateur!BN145*VLOOKUP('Données projet'!$B$11,Paramètres!$A$1:$I$89,3,0)*0.475*44/12</f>
        <v>8.9272194293779599</v>
      </c>
      <c r="BR145" s="21">
        <f>EXP(-LN(2)/2)*BR144+(1-EXP(-LN(2)/2))/(LN(2)/2)*BL145*BO145*VLOOKUP('Données projet'!$B$11,Paramètres!$A$1:$I$89,3,0)*0.475*44/12</f>
        <v>3.4766642353666062E-8</v>
      </c>
      <c r="BS145" s="22">
        <f t="shared" si="117"/>
        <v>23.703081611120584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384.34044781465661</v>
      </c>
      <c r="CE145" s="59">
        <f t="shared" si="148"/>
        <v>374.99493809709708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16.719313325285853</v>
      </c>
      <c r="CL145" s="21">
        <f>EXP(-LN(2)/25)*CL144+(1-EXP(-LN(2)/25))/(LN(2)/25)*Calculateur!CG145*Calculateur!CI145*VLOOKUP('Données projet'!$B$12,Paramètres!$A$1:$I$89,3,0)*0.475*44/12</f>
        <v>10.10140574395494</v>
      </c>
      <c r="CM145" s="21">
        <f>EXP(-LN(2)/2)*CM144+(1-EXP(-LN(2)/2))/(LN(2)/2)*CG145*CJ145*VLOOKUP('Données projet'!$B$12,Paramètres!$A$1:$I$89,3,0)*0.475*44/12</f>
        <v>3.1916917570578688E-8</v>
      </c>
      <c r="CN145" s="22">
        <f t="shared" si="120"/>
        <v>26.820719101157714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5.6843418860808015E-13</v>
      </c>
      <c r="CU145" s="17">
        <f>CT145*VLOOKUP('Données projet'!$B$13,Paramètres!$A$1:$I$89,3,0)*VLOOKUP('Données projet'!$B$13,Paramètres!$A$1:$I$89,5,0)</f>
        <v>3.177547114319168E-13</v>
      </c>
      <c r="CV145" s="13">
        <f t="shared" si="149"/>
        <v>4.1725404435445377E-12</v>
      </c>
      <c r="CW145" s="20">
        <f t="shared" si="121"/>
        <v>7.820597394917325E-12</v>
      </c>
      <c r="CX145" s="59">
        <f t="shared" si="122"/>
        <v>293.33333333334116</v>
      </c>
      <c r="CY145" s="59">
        <f ca="1">AVERAGE(OFFSET($CX$3,0,0,'Données projet'!$E$13+1,1))-AVERAGE(OFFSET($H$3,0,0,'Données projet'!$E$13+1,1))</f>
        <v>386.66324266750968</v>
      </c>
      <c r="CZ145" s="59">
        <f t="shared" si="150"/>
        <v>356.22149461585769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55.446940974611081</v>
      </c>
      <c r="DG145" s="21">
        <f>EXP(-LN(2)/25)*DG144+(1-EXP(-LN(2)/25))/(LN(2)/25)*Calculateur!DB145*Calculateur!DD145*VLOOKUP('Données projet'!$B$13,Paramètres!$A$1:$I$89,3,0)*0.475*44/12</f>
        <v>10.426860376967525</v>
      </c>
      <c r="DH145" s="21">
        <f>EXP(-LN(2)/2)*DH144+(1-EXP(-LN(2)/2))/(LN(2)/2)*DB145*DE145*VLOOKUP('Données projet'!$B$13,Paramètres!$A$1:$I$89,3,0)*0.475*44/12</f>
        <v>1.0987499892190668E-9</v>
      </c>
      <c r="DI145" s="22">
        <f t="shared" si="123"/>
        <v>65.873801352677361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>
        <f>DO145*VLOOKUP('Données projet'!$B$14,Paramètres!$A$1:$I$89,3,0)*VLOOKUP('Données projet'!$B$14,Paramètres!$A$1:$I$89,5,0)</f>
        <v>0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347.17417070871716</v>
      </c>
      <c r="DU145" s="59">
        <f t="shared" si="152"/>
        <v>339.56378046986441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12.111362415554083</v>
      </c>
      <c r="EB145" s="21">
        <f>EXP(-LN(2)/25)*EB144+(1-EXP(-LN(2)/25))/(LN(2)/25)*Calculateur!DW145*Calculateur!DY145*VLOOKUP('Données projet'!$B$14,Paramètres!$A$1:$I$89,3,0)*0.475*44/12</f>
        <v>7.3173929748999651</v>
      </c>
      <c r="EC145" s="21">
        <f>EXP(-LN(2)/2)*EC144+(1-EXP(-LN(2)/2))/(LN(2)/2)*DW145*DZ145*VLOOKUP('Données projet'!$B$14,Paramètres!$A$1:$I$89,3,0)*0.475*44/12</f>
        <v>2.8497247830873881E-8</v>
      </c>
      <c r="ED145" s="22">
        <f t="shared" si="126"/>
        <v>19.428755418951297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>
        <f>EJ145*VLOOKUP('Données projet'!$B$15,Paramètres!$A$1:$I$89,3,0)*VLOOKUP('Données projet'!$B$15,Paramètres!$A$1:$I$89,5,0)</f>
        <v>0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384.34044781465661</v>
      </c>
      <c r="EP145" s="59">
        <f t="shared" si="154"/>
        <v>374.99493809709708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13.564725905420589</v>
      </c>
      <c r="EW145" s="21">
        <f>EXP(-LN(2)/25)*EW144+(1-EXP(-LN(2)/25))/(LN(2)/25)*Calculateur!ER145*Calculateur!ET145*VLOOKUP('Données projet'!$B$15,Paramètres!$A$1:$I$89,3,0)*0.475*44/12</f>
        <v>8.1954801318879689</v>
      </c>
      <c r="EX145" s="21">
        <f>EXP(-LN(2)/2)*EX144+(1-EXP(-LN(2)/2))/(LN(2)/2)*ER145*EU145*VLOOKUP('Données projet'!$B$15,Paramètres!$A$1:$I$89,3,0)*0.475*44/12</f>
        <v>3.1916917570578688E-8</v>
      </c>
      <c r="EY145" s="22">
        <f t="shared" si="129"/>
        <v>21.760206069225475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>
        <f>FE145*VLOOKUP('Données projet'!$B$16,Paramètres!$A$1:$I$89,3,0)*VLOOKUP('Données projet'!$B$16,Paramètres!$A$1:$I$89,5,0)</f>
        <v>0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359.57284550600366</v>
      </c>
      <c r="FK145" s="59">
        <f t="shared" si="156"/>
        <v>351.38386928091433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12.595816912176252</v>
      </c>
      <c r="FR145" s="21">
        <f>EXP(-LN(2)/25)*FR144+(1-EXP(-LN(2)/25))/(LN(2)/25)*Calculateur!FM145*Calculateur!FO145*VLOOKUP('Données projet'!$B$16,Paramètres!$A$1:$I$89,3,0)*0.475*44/12</f>
        <v>7.6100886938959595</v>
      </c>
      <c r="FS145" s="21">
        <f>EXP(-LN(2)/2)*FS144+(1-EXP(-LN(2)/2))/(LN(2)/2)*FM145*FP145*VLOOKUP('Données projet'!$B$16,Paramètres!$A$1:$I$89,3,0)*0.475*44/12</f>
        <v>2.9637137744108912E-8</v>
      </c>
      <c r="FT145" s="22">
        <f t="shared" si="132"/>
        <v>20.20590563570935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6">
        <f t="shared" si="110"/>
        <v>256.66666666666669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10.875</v>
      </c>
      <c r="N146" s="13">
        <f>IF('Données projet'!$A$36&gt;35,N145+M146-V145,IF(A146&lt;'Données projet'!$A$36,$K$205^A146,IF(A146='Données projet'!$A$36,'Données projet'!$B$36,N145+M146-V145)))</f>
        <v>597.00500000000045</v>
      </c>
      <c r="O146" s="13">
        <f>N146*VLOOKUP('Données projet'!$B$9,Paramètres!$A$1:$I$89,3,0)*VLOOKUP('Données projet'!$B$9,Paramètres!$A$1:$I$89,5,0)</f>
        <v>540.17012400000033</v>
      </c>
      <c r="P146" s="13">
        <f t="shared" si="141"/>
        <v>119.67848090157619</v>
      </c>
      <c r="Q146" s="20">
        <f t="shared" si="108"/>
        <v>1149.2363202035792</v>
      </c>
      <c r="R146" s="59">
        <f t="shared" si="109"/>
        <v>1442.5696535369125</v>
      </c>
      <c r="S146" s="59">
        <f ca="1">AVERAGE(OFFSET($R$3,0,0,'Données projet'!$E$9+1,1))-AVERAGE(OFFSET($H$3,0,0,'Données projet'!$E$9+1,1))</f>
        <v>695.0879239758051</v>
      </c>
      <c r="T146" s="59">
        <f t="shared" si="142"/>
        <v>226.22150997227476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66.940760487104086</v>
      </c>
      <c r="AA146" s="21">
        <f>EXP(-LN(2)/25)*AA145+(1-EXP(-LN(2)/25))/(LN(2)/25)*Calculateur!V146*Calculateur!X146*VLOOKUP('Données projet'!$B$9,Paramètres!$A$1:$I$89,3,0)*0.475*44/12</f>
        <v>26.535356084668678</v>
      </c>
      <c r="AB146" s="21">
        <f>EXP(-LN(2)/2)*AB145+(1-EXP(-LN(2)/2))/(LN(2)/2)*V146*Y146*VLOOKUP('Données projet'!$B$9,Paramètres!$A$1:$I$89,3,0)*0.475*44/12</f>
        <v>6.520428537828066E-8</v>
      </c>
      <c r="AC146" s="22">
        <f t="shared" si="111"/>
        <v>93.476116636977054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1.1368683772161603E-13</v>
      </c>
      <c r="AJ146" s="13">
        <f>AI146*VLOOKUP('Données projet'!$B$10,Paramètres!$A$1:$I$89,3,0)*VLOOKUP('Données projet'!$B$10,Paramètres!$A$1:$I$89,5,0)</f>
        <v>6.7984728957526396E-14</v>
      </c>
      <c r="AK146" s="13">
        <f t="shared" si="143"/>
        <v>1.0682447123141398E-12</v>
      </c>
      <c r="AL146" s="20">
        <f t="shared" si="112"/>
        <v>1.978932943548152E-12</v>
      </c>
      <c r="AM146" s="59">
        <f t="shared" si="113"/>
        <v>293.3333333333353</v>
      </c>
      <c r="AN146" s="59">
        <f ca="1">AVERAGE(OFFSET($AM$3,0,0,'Données projet'!$E$10+1,1))-AVERAGE(OFFSET($H$3,0,0,'Données projet'!$E$10+1,1))</f>
        <v>388.12151914648013</v>
      </c>
      <c r="AO146" s="59">
        <f t="shared" si="144"/>
        <v>481.43684454382793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31.783102931370351</v>
      </c>
      <c r="AV146" s="21">
        <f>EXP(-LN(2)/25)*AV145+(1-EXP(-LN(2)/25))/(LN(2)/25)*Calculateur!AQ146*Calculateur!AS146*VLOOKUP('Données projet'!$B$10,Paramètres!$A$1:$I$89,3,0)*0.475*44/12</f>
        <v>5.5269108949447538</v>
      </c>
      <c r="AW146" s="21">
        <f>EXP(-LN(2)/2)*AW145+(1-EXP(-LN(2)/2))/(LN(2)/2)*AQ146*AT146*VLOOKUP('Données projet'!$B$10,Paramètres!$A$1:$I$89,3,0)*0.475*44/12</f>
        <v>6.2143957688803375E-12</v>
      </c>
      <c r="AX146" s="21">
        <f t="shared" si="114"/>
        <v>37.310013826321324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415.24818074059294</v>
      </c>
      <c r="BJ146" s="59">
        <f t="shared" si="146"/>
        <v>404.45811532046872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14.486116502659794</v>
      </c>
      <c r="BQ146" s="21">
        <f>EXP(-LN(2)/25)*BQ145+(1-EXP(-LN(2)/25))/(LN(2)/25)*Calculateur!BL146*Calculateur!BN146*VLOOKUP('Données projet'!$B$11,Paramètres!$A$1:$I$89,3,0)*0.475*44/12</f>
        <v>8.6831041446195538</v>
      </c>
      <c r="BR146" s="21">
        <f>EXP(-LN(2)/2)*BR145+(1-EXP(-LN(2)/2))/(LN(2)/2)*BL146*BO146*VLOOKUP('Données projet'!$B$11,Paramètres!$A$1:$I$89,3,0)*0.475*44/12</f>
        <v>2.4583728567364704E-8</v>
      </c>
      <c r="BS146" s="22">
        <f t="shared" si="117"/>
        <v>23.169220671863073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384.34044781465661</v>
      </c>
      <c r="CE146" s="59">
        <f t="shared" si="148"/>
        <v>374.99493809709708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16.391457788751179</v>
      </c>
      <c r="CL146" s="21">
        <f>EXP(-LN(2)/25)*CL145+(1-EXP(-LN(2)/25))/(LN(2)/25)*Calculateur!CG146*Calculateur!CI146*VLOOKUP('Données projet'!$B$12,Paramètres!$A$1:$I$89,3,0)*0.475*44/12</f>
        <v>9.8251822726766509</v>
      </c>
      <c r="CM146" s="21">
        <f>EXP(-LN(2)/2)*CM145+(1-EXP(-LN(2)/2))/(LN(2)/2)*CG146*CJ146*VLOOKUP('Données projet'!$B$12,Paramètres!$A$1:$I$89,3,0)*0.475*44/12</f>
        <v>2.2568668848728259E-8</v>
      </c>
      <c r="CN146" s="22">
        <f t="shared" si="120"/>
        <v>26.216640083996502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5.6843418860808015E-13</v>
      </c>
      <c r="CU146" s="17">
        <f>CT146*VLOOKUP('Données projet'!$B$13,Paramètres!$A$1:$I$89,3,0)*VLOOKUP('Données projet'!$B$13,Paramètres!$A$1:$I$89,5,0)</f>
        <v>3.177547114319168E-13</v>
      </c>
      <c r="CV146" s="13">
        <f t="shared" si="149"/>
        <v>4.1725404435445377E-12</v>
      </c>
      <c r="CW146" s="20">
        <f t="shared" si="121"/>
        <v>7.820597394917325E-12</v>
      </c>
      <c r="CX146" s="59">
        <f t="shared" si="122"/>
        <v>293.33333333334116</v>
      </c>
      <c r="CY146" s="59">
        <f ca="1">AVERAGE(OFFSET($CX$3,0,0,'Données projet'!$E$13+1,1))-AVERAGE(OFFSET($H$3,0,0,'Données projet'!$E$13+1,1))</f>
        <v>386.66324266750968</v>
      </c>
      <c r="CZ146" s="59">
        <f t="shared" si="150"/>
        <v>356.22149461585769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54.359660281393573</v>
      </c>
      <c r="DG146" s="21">
        <f>EXP(-LN(2)/25)*DG145+(1-EXP(-LN(2)/25))/(LN(2)/25)*Calculateur!DB146*Calculateur!DD146*VLOOKUP('Données projet'!$B$13,Paramètres!$A$1:$I$89,3,0)*0.475*44/12</f>
        <v>10.141737331634593</v>
      </c>
      <c r="DH146" s="21">
        <f>EXP(-LN(2)/2)*DH145+(1-EXP(-LN(2)/2))/(LN(2)/2)*DB146*DE146*VLOOKUP('Données projet'!$B$13,Paramètres!$A$1:$I$89,3,0)*0.475*44/12</f>
        <v>7.7693356820544811E-10</v>
      </c>
      <c r="DI146" s="22">
        <f t="shared" si="123"/>
        <v>64.501397613805096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>
        <f>DO146*VLOOKUP('Données projet'!$B$14,Paramètres!$A$1:$I$89,3,0)*VLOOKUP('Données projet'!$B$14,Paramètres!$A$1:$I$89,5,0)</f>
        <v>0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347.17417070871716</v>
      </c>
      <c r="DU146" s="59">
        <f t="shared" si="152"/>
        <v>339.56378046986441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11.873865985786715</v>
      </c>
      <c r="EB146" s="21">
        <f>EXP(-LN(2)/25)*EB145+(1-EXP(-LN(2)/25))/(LN(2)/25)*Calculateur!DW146*Calculateur!DY146*VLOOKUP('Données projet'!$B$14,Paramètres!$A$1:$I$89,3,0)*0.475*44/12</f>
        <v>7.1172984791963527</v>
      </c>
      <c r="EC146" s="21">
        <f>EXP(-LN(2)/2)*EC145+(1-EXP(-LN(2)/2))/(LN(2)/2)*DW146*DZ146*VLOOKUP('Données projet'!$B$14,Paramètres!$A$1:$I$89,3,0)*0.475*44/12</f>
        <v>2.0150597186364553E-8</v>
      </c>
      <c r="ED146" s="22">
        <f t="shared" si="126"/>
        <v>18.991164485133666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>
        <f>EJ146*VLOOKUP('Données projet'!$B$15,Paramètres!$A$1:$I$89,3,0)*VLOOKUP('Données projet'!$B$15,Paramètres!$A$1:$I$89,5,0)</f>
        <v>0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384.34044781465661</v>
      </c>
      <c r="EP146" s="59">
        <f t="shared" si="154"/>
        <v>374.99493809709708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13.298729904081137</v>
      </c>
      <c r="EW146" s="21">
        <f>EXP(-LN(2)/25)*EW145+(1-EXP(-LN(2)/25))/(LN(2)/25)*Calculateur!ER146*Calculateur!ET146*VLOOKUP('Données projet'!$B$15,Paramètres!$A$1:$I$89,3,0)*0.475*44/12</f>
        <v>7.9713742966999233</v>
      </c>
      <c r="EX146" s="21">
        <f>EXP(-LN(2)/2)*EX145+(1-EXP(-LN(2)/2))/(LN(2)/2)*ER146*EU146*VLOOKUP('Données projet'!$B$15,Paramètres!$A$1:$I$89,3,0)*0.475*44/12</f>
        <v>2.2568668848728259E-8</v>
      </c>
      <c r="EY146" s="22">
        <f t="shared" si="129"/>
        <v>21.27010422334973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>
        <f>FE146*VLOOKUP('Données projet'!$B$16,Paramètres!$A$1:$I$89,3,0)*VLOOKUP('Données projet'!$B$16,Paramètres!$A$1:$I$89,5,0)</f>
        <v>0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359.57284550600366</v>
      </c>
      <c r="FK146" s="59">
        <f t="shared" si="156"/>
        <v>351.38386928091433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12.34882062521819</v>
      </c>
      <c r="FR146" s="21">
        <f>EXP(-LN(2)/25)*FR145+(1-EXP(-LN(2)/25))/(LN(2)/25)*Calculateur!FM146*Calculateur!FO146*VLOOKUP('Données projet'!$B$16,Paramètres!$A$1:$I$89,3,0)*0.475*44/12</f>
        <v>7.4019904183642034</v>
      </c>
      <c r="FS146" s="21">
        <f>EXP(-LN(2)/2)*FS145+(1-EXP(-LN(2)/2))/(LN(2)/2)*FM146*FP146*VLOOKUP('Données projet'!$B$16,Paramètres!$A$1:$I$89,3,0)*0.475*44/12</f>
        <v>2.0956621073819191E-8</v>
      </c>
      <c r="FT146" s="22">
        <f t="shared" si="132"/>
        <v>19.750811064539015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6">
        <f t="shared" si="110"/>
        <v>256.66666666666669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10.875</v>
      </c>
      <c r="N147" s="13">
        <f>IF('Données projet'!$A$36&gt;35,N146+M147-V146,IF(A147&lt;'Données projet'!$A$36,$K$205^A147,IF(A147='Données projet'!$A$36,'Données projet'!$B$36,N146+M147-V146)))</f>
        <v>607.88000000000045</v>
      </c>
      <c r="O147" s="13">
        <f>N147*VLOOKUP('Données projet'!$B$9,Paramètres!$A$1:$I$89,3,0)*VLOOKUP('Données projet'!$B$9,Paramètres!$A$1:$I$89,5,0)</f>
        <v>550.00982400000044</v>
      </c>
      <c r="P147" s="13">
        <f t="shared" si="141"/>
        <v>121.60274863739461</v>
      </c>
      <c r="Q147" s="20">
        <f t="shared" si="108"/>
        <v>1169.7252306767962</v>
      </c>
      <c r="R147" s="59">
        <f t="shared" si="109"/>
        <v>1463.0585640101294</v>
      </c>
      <c r="S147" s="59">
        <f ca="1">AVERAGE(OFFSET($R$3,0,0,'Données projet'!$E$9+1,1))-AVERAGE(OFFSET($H$3,0,0,'Données projet'!$E$9+1,1))</f>
        <v>695.0879239758051</v>
      </c>
      <c r="T147" s="59">
        <f t="shared" si="142"/>
        <v>226.22150997227476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65.628093003784258</v>
      </c>
      <c r="AA147" s="21">
        <f>EXP(-LN(2)/25)*AA146+(1-EXP(-LN(2)/25))/(LN(2)/25)*Calculateur!V147*Calculateur!X147*VLOOKUP('Données projet'!$B$9,Paramètres!$A$1:$I$89,3,0)*0.475*44/12</f>
        <v>25.809745377099684</v>
      </c>
      <c r="AB147" s="21">
        <f>EXP(-LN(2)/2)*AB146+(1-EXP(-LN(2)/2))/(LN(2)/2)*V147*Y147*VLOOKUP('Données projet'!$B$9,Paramètres!$A$1:$I$89,3,0)*0.475*44/12</f>
        <v>4.6106392353405103E-8</v>
      </c>
      <c r="AC147" s="22">
        <f t="shared" si="111"/>
        <v>91.437838426990339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1.1368683772161603E-13</v>
      </c>
      <c r="AJ147" s="13">
        <f>AI147*VLOOKUP('Données projet'!$B$10,Paramètres!$A$1:$I$89,3,0)*VLOOKUP('Données projet'!$B$10,Paramètres!$A$1:$I$89,5,0)</f>
        <v>6.7984728957526396E-14</v>
      </c>
      <c r="AK147" s="13">
        <f t="shared" si="143"/>
        <v>1.0682447123141398E-12</v>
      </c>
      <c r="AL147" s="20">
        <f t="shared" si="112"/>
        <v>1.978932943548152E-12</v>
      </c>
      <c r="AM147" s="59">
        <f t="shared" si="113"/>
        <v>293.3333333333353</v>
      </c>
      <c r="AN147" s="59">
        <f ca="1">AVERAGE(OFFSET($AM$3,0,0,'Données projet'!$E$10+1,1))-AVERAGE(OFFSET($H$3,0,0,'Données projet'!$E$10+1,1))</f>
        <v>388.12151914648013</v>
      </c>
      <c r="AO147" s="59">
        <f t="shared" si="144"/>
        <v>481.43684454382793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31.159855668664779</v>
      </c>
      <c r="AV147" s="21">
        <f>EXP(-LN(2)/25)*AV146+(1-EXP(-LN(2)/25))/(LN(2)/25)*Calculateur!AQ147*Calculateur!AS147*VLOOKUP('Données projet'!$B$10,Paramètres!$A$1:$I$89,3,0)*0.475*44/12</f>
        <v>5.3757772258748773</v>
      </c>
      <c r="AW147" s="21">
        <f>EXP(-LN(2)/2)*AW146+(1-EXP(-LN(2)/2))/(LN(2)/2)*AQ147*AT147*VLOOKUP('Données projet'!$B$10,Paramètres!$A$1:$I$89,3,0)*0.475*44/12</f>
        <v>4.3942413891522756E-12</v>
      </c>
      <c r="AX147" s="21">
        <f t="shared" si="114"/>
        <v>36.535632894544051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415.24818074059294</v>
      </c>
      <c r="BJ147" s="59">
        <f t="shared" si="146"/>
        <v>404.45811532046872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14.202052593701254</v>
      </c>
      <c r="BQ147" s="21">
        <f>EXP(-LN(2)/25)*BQ146+(1-EXP(-LN(2)/25))/(LN(2)/25)*Calculateur!BL147*Calculateur!BN147*VLOOKUP('Données projet'!$B$11,Paramètres!$A$1:$I$89,3,0)*0.475*44/12</f>
        <v>8.4456642051603303</v>
      </c>
      <c r="BR147" s="21">
        <f>EXP(-LN(2)/2)*BR146+(1-EXP(-LN(2)/2))/(LN(2)/2)*BL147*BO147*VLOOKUP('Données projet'!$B$11,Paramètres!$A$1:$I$89,3,0)*0.475*44/12</f>
        <v>1.7383321176833031E-8</v>
      </c>
      <c r="BS147" s="22">
        <f t="shared" si="117"/>
        <v>22.647716816244905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384.34044781465661</v>
      </c>
      <c r="CE147" s="59">
        <f t="shared" si="148"/>
        <v>374.99493809709708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16.070031299315819</v>
      </c>
      <c r="CL147" s="21">
        <f>EXP(-LN(2)/25)*CL146+(1-EXP(-LN(2)/25))/(LN(2)/25)*Calculateur!CG147*Calculateur!CI147*VLOOKUP('Données projet'!$B$12,Paramètres!$A$1:$I$89,3,0)*0.475*44/12</f>
        <v>9.556512146746428</v>
      </c>
      <c r="CM147" s="21">
        <f>EXP(-LN(2)/2)*CM146+(1-EXP(-LN(2)/2))/(LN(2)/2)*CG147*CJ147*VLOOKUP('Données projet'!$B$12,Paramètres!$A$1:$I$89,3,0)*0.475*44/12</f>
        <v>1.5958458785289344E-8</v>
      </c>
      <c r="CN147" s="22">
        <f t="shared" si="120"/>
        <v>25.626543462020706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5.6843418860808015E-13</v>
      </c>
      <c r="CU147" s="17">
        <f>CT147*VLOOKUP('Données projet'!$B$13,Paramètres!$A$1:$I$89,3,0)*VLOOKUP('Données projet'!$B$13,Paramètres!$A$1:$I$89,5,0)</f>
        <v>3.177547114319168E-13</v>
      </c>
      <c r="CV147" s="13">
        <f t="shared" si="149"/>
        <v>4.1725404435445377E-12</v>
      </c>
      <c r="CW147" s="20">
        <f t="shared" si="121"/>
        <v>7.820597394917325E-12</v>
      </c>
      <c r="CX147" s="59">
        <f t="shared" si="122"/>
        <v>293.33333333334116</v>
      </c>
      <c r="CY147" s="59">
        <f ca="1">AVERAGE(OFFSET($CX$3,0,0,'Données projet'!$E$13+1,1))-AVERAGE(OFFSET($H$3,0,0,'Données projet'!$E$13+1,1))</f>
        <v>386.66324266750968</v>
      </c>
      <c r="CZ147" s="59">
        <f t="shared" si="150"/>
        <v>356.22149461585769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53.293700499394319</v>
      </c>
      <c r="DG147" s="21">
        <f>EXP(-LN(2)/25)*DG146+(1-EXP(-LN(2)/25))/(LN(2)/25)*Calculateur!DB147*Calculateur!DD147*VLOOKUP('Données projet'!$B$13,Paramètres!$A$1:$I$89,3,0)*0.475*44/12</f>
        <v>9.8644109909702582</v>
      </c>
      <c r="DH147" s="21">
        <f>EXP(-LN(2)/2)*DH146+(1-EXP(-LN(2)/2))/(LN(2)/2)*DB147*DE147*VLOOKUP('Données projet'!$B$13,Paramètres!$A$1:$I$89,3,0)*0.475*44/12</f>
        <v>5.4937499460953338E-10</v>
      </c>
      <c r="DI147" s="22">
        <f t="shared" si="123"/>
        <v>63.158111490913953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>
        <f>DO147*VLOOKUP('Données projet'!$B$14,Paramètres!$A$1:$I$89,3,0)*VLOOKUP('Données projet'!$B$14,Paramètres!$A$1:$I$89,5,0)</f>
        <v>0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347.17417070871716</v>
      </c>
      <c r="DU147" s="59">
        <f t="shared" si="152"/>
        <v>339.56378046986441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11.641026716148566</v>
      </c>
      <c r="EB147" s="21">
        <f>EXP(-LN(2)/25)*EB146+(1-EXP(-LN(2)/25))/(LN(2)/25)*Calculateur!DW147*Calculateur!DY147*VLOOKUP('Données projet'!$B$14,Paramètres!$A$1:$I$89,3,0)*0.475*44/12</f>
        <v>6.922675578000268</v>
      </c>
      <c r="EC147" s="21">
        <f>EXP(-LN(2)/2)*EC146+(1-EXP(-LN(2)/2))/(LN(2)/2)*DW147*DZ147*VLOOKUP('Données projet'!$B$14,Paramètres!$A$1:$I$89,3,0)*0.475*44/12</f>
        <v>1.4248623915436941E-8</v>
      </c>
      <c r="ED147" s="22">
        <f t="shared" si="126"/>
        <v>18.563702308397456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>
        <f>EJ147*VLOOKUP('Données projet'!$B$15,Paramètres!$A$1:$I$89,3,0)*VLOOKUP('Données projet'!$B$15,Paramètres!$A$1:$I$89,5,0)</f>
        <v>0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384.34044781465661</v>
      </c>
      <c r="EP147" s="59">
        <f t="shared" si="154"/>
        <v>374.99493809709708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13.03794992208641</v>
      </c>
      <c r="EW147" s="21">
        <f>EXP(-LN(2)/25)*EW146+(1-EXP(-LN(2)/25))/(LN(2)/25)*Calculateur!ER147*Calculateur!ET147*VLOOKUP('Données projet'!$B$15,Paramètres!$A$1:$I$89,3,0)*0.475*44/12</f>
        <v>7.753396647360308</v>
      </c>
      <c r="EX147" s="21">
        <f>EXP(-LN(2)/2)*EX146+(1-EXP(-LN(2)/2))/(LN(2)/2)*ER147*EU147*VLOOKUP('Données projet'!$B$15,Paramètres!$A$1:$I$89,3,0)*0.475*44/12</f>
        <v>1.5958458785289344E-8</v>
      </c>
      <c r="EY147" s="22">
        <f t="shared" si="129"/>
        <v>20.791346585405176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>
        <f>FE147*VLOOKUP('Données projet'!$B$16,Paramètres!$A$1:$I$89,3,0)*VLOOKUP('Données projet'!$B$16,Paramètres!$A$1:$I$89,5,0)</f>
        <v>0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359.57284550600366</v>
      </c>
      <c r="FK147" s="59">
        <f t="shared" si="156"/>
        <v>351.38386928091433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12.106667784794515</v>
      </c>
      <c r="FR147" s="21">
        <f>EXP(-LN(2)/25)*FR146+(1-EXP(-LN(2)/25))/(LN(2)/25)*Calculateur!FM147*Calculateur!FO147*VLOOKUP('Données projet'!$B$16,Paramètres!$A$1:$I$89,3,0)*0.475*44/12</f>
        <v>7.1995826011202757</v>
      </c>
      <c r="FS147" s="21">
        <f>EXP(-LN(2)/2)*FS146+(1-EXP(-LN(2)/2))/(LN(2)/2)*FM147*FP147*VLOOKUP('Données projet'!$B$16,Paramètres!$A$1:$I$89,3,0)*0.475*44/12</f>
        <v>1.4818568872054459E-8</v>
      </c>
      <c r="FT147" s="22">
        <f t="shared" si="132"/>
        <v>19.306250400733358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6">
        <f t="shared" si="110"/>
        <v>256.66666666666669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10.875</v>
      </c>
      <c r="N148" s="13">
        <f>IF('Données projet'!$A$36&gt;35,N147+M148-V147,IF(A148&lt;'Données projet'!$A$36,$K$205^A148,IF(A148='Données projet'!$A$36,'Données projet'!$B$36,N147+M148-V147)))</f>
        <v>618.75500000000045</v>
      </c>
      <c r="O148" s="13">
        <f>N148*VLOOKUP('Données projet'!$B$9,Paramètres!$A$1:$I$89,3,0)*VLOOKUP('Données projet'!$B$9,Paramètres!$A$1:$I$89,5,0)</f>
        <v>559.84952400000043</v>
      </c>
      <c r="P148" s="13">
        <f t="shared" si="141"/>
        <v>123.52301321945187</v>
      </c>
      <c r="Q148" s="20">
        <f t="shared" si="108"/>
        <v>1190.2071689905461</v>
      </c>
      <c r="R148" s="59">
        <f t="shared" si="109"/>
        <v>1483.5405023238793</v>
      </c>
      <c r="S148" s="59">
        <f ca="1">AVERAGE(OFFSET($R$3,0,0,'Données projet'!$E$9+1,1))-AVERAGE(OFFSET($H$3,0,0,'Données projet'!$E$9+1,1))</f>
        <v>695.0879239758051</v>
      </c>
      <c r="T148" s="59">
        <f t="shared" si="142"/>
        <v>226.22150997227476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64.341166129164222</v>
      </c>
      <c r="AA148" s="21">
        <f>EXP(-LN(2)/25)*AA147+(1-EXP(-LN(2)/25))/(LN(2)/25)*Calculateur!V148*Calculateur!X148*VLOOKUP('Données projet'!$B$9,Paramètres!$A$1:$I$89,3,0)*0.475*44/12</f>
        <v>25.103976532487373</v>
      </c>
      <c r="AB148" s="21">
        <f>EXP(-LN(2)/2)*AB147+(1-EXP(-LN(2)/2))/(LN(2)/2)*V148*Y148*VLOOKUP('Données projet'!$B$9,Paramètres!$A$1:$I$89,3,0)*0.475*44/12</f>
        <v>3.260214268914033E-8</v>
      </c>
      <c r="AC148" s="22">
        <f t="shared" si="111"/>
        <v>89.445142694253747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1.1368683772161603E-13</v>
      </c>
      <c r="AJ148" s="13">
        <f>AI148*VLOOKUP('Données projet'!$B$10,Paramètres!$A$1:$I$89,3,0)*VLOOKUP('Données projet'!$B$10,Paramètres!$A$1:$I$89,5,0)</f>
        <v>6.7984728957526396E-14</v>
      </c>
      <c r="AK148" s="13">
        <f t="shared" si="143"/>
        <v>1.0682447123141398E-12</v>
      </c>
      <c r="AL148" s="20">
        <f t="shared" si="112"/>
        <v>1.978932943548152E-12</v>
      </c>
      <c r="AM148" s="59">
        <f t="shared" si="113"/>
        <v>293.3333333333353</v>
      </c>
      <c r="AN148" s="59">
        <f ca="1">AVERAGE(OFFSET($AM$3,0,0,'Données projet'!$E$10+1,1))-AVERAGE(OFFSET($H$3,0,0,'Données projet'!$E$10+1,1))</f>
        <v>388.12151914648013</v>
      </c>
      <c r="AO148" s="59">
        <f t="shared" si="144"/>
        <v>481.43684454382793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30.548829904637572</v>
      </c>
      <c r="AV148" s="21">
        <f>EXP(-LN(2)/25)*AV147+(1-EXP(-LN(2)/25))/(LN(2)/25)*Calculateur!AQ148*Calculateur!AS148*VLOOKUP('Données projet'!$B$10,Paramètres!$A$1:$I$89,3,0)*0.475*44/12</f>
        <v>5.2287763149334907</v>
      </c>
      <c r="AW148" s="21">
        <f>EXP(-LN(2)/2)*AW147+(1-EXP(-LN(2)/2))/(LN(2)/2)*AQ148*AT148*VLOOKUP('Données projet'!$B$10,Paramètres!$A$1:$I$89,3,0)*0.475*44/12</f>
        <v>3.1071978844401688E-12</v>
      </c>
      <c r="AX148" s="21">
        <f t="shared" si="114"/>
        <v>35.777606219574167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415.24818074059294</v>
      </c>
      <c r="BJ148" s="59">
        <f t="shared" si="146"/>
        <v>404.45811532046872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13.923559004735514</v>
      </c>
      <c r="BQ148" s="21">
        <f>EXP(-LN(2)/25)*BQ147+(1-EXP(-LN(2)/25))/(LN(2)/25)*Calculateur!BL148*Calculateur!BN148*VLOOKUP('Données projet'!$B$11,Paramètres!$A$1:$I$89,3,0)*0.475*44/12</f>
        <v>8.2147170733320429</v>
      </c>
      <c r="BR148" s="21">
        <f>EXP(-LN(2)/2)*BR147+(1-EXP(-LN(2)/2))/(LN(2)/2)*BL148*BO148*VLOOKUP('Données projet'!$B$11,Paramètres!$A$1:$I$89,3,0)*0.475*44/12</f>
        <v>1.2291864283682352E-8</v>
      </c>
      <c r="BS148" s="22">
        <f t="shared" si="117"/>
        <v>22.138276090359419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384.34044781465661</v>
      </c>
      <c r="CE148" s="59">
        <f t="shared" si="148"/>
        <v>374.99493809709708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15.754907787287486</v>
      </c>
      <c r="CL148" s="21">
        <f>EXP(-LN(2)/25)*CL147+(1-EXP(-LN(2)/25))/(LN(2)/25)*Calculateur!CG148*Calculateur!CI148*VLOOKUP('Données projet'!$B$12,Paramètres!$A$1:$I$89,3,0)*0.475*44/12</f>
        <v>9.2951888195385148</v>
      </c>
      <c r="CM148" s="21">
        <f>EXP(-LN(2)/2)*CM147+(1-EXP(-LN(2)/2))/(LN(2)/2)*CG148*CJ148*VLOOKUP('Données projet'!$B$12,Paramètres!$A$1:$I$89,3,0)*0.475*44/12</f>
        <v>1.128433442436413E-8</v>
      </c>
      <c r="CN148" s="22">
        <f t="shared" si="120"/>
        <v>25.050096618110338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5.6843418860808015E-13</v>
      </c>
      <c r="CU148" s="17">
        <f>CT148*VLOOKUP('Données projet'!$B$13,Paramètres!$A$1:$I$89,3,0)*VLOOKUP('Données projet'!$B$13,Paramètres!$A$1:$I$89,5,0)</f>
        <v>3.177547114319168E-13</v>
      </c>
      <c r="CV148" s="13">
        <f t="shared" si="149"/>
        <v>4.1725404435445377E-12</v>
      </c>
      <c r="CW148" s="20">
        <f t="shared" si="121"/>
        <v>7.820597394917325E-12</v>
      </c>
      <c r="CX148" s="59">
        <f t="shared" si="122"/>
        <v>293.33333333334116</v>
      </c>
      <c r="CY148" s="59">
        <f ca="1">AVERAGE(OFFSET($CX$3,0,0,'Données projet'!$E$13+1,1))-AVERAGE(OFFSET($H$3,0,0,'Données projet'!$E$13+1,1))</f>
        <v>386.66324266750968</v>
      </c>
      <c r="CZ148" s="59">
        <f t="shared" si="150"/>
        <v>356.22149461585769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52.248643538548805</v>
      </c>
      <c r="DG148" s="21">
        <f>EXP(-LN(2)/25)*DG147+(1-EXP(-LN(2)/25))/(LN(2)/25)*Calculateur!DB148*Calculateur!DD148*VLOOKUP('Données projet'!$B$13,Paramètres!$A$1:$I$89,3,0)*0.475*44/12</f>
        <v>9.5946681536753484</v>
      </c>
      <c r="DH148" s="21">
        <f>EXP(-LN(2)/2)*DH147+(1-EXP(-LN(2)/2))/(LN(2)/2)*DB148*DE148*VLOOKUP('Données projet'!$B$13,Paramètres!$A$1:$I$89,3,0)*0.475*44/12</f>
        <v>3.8846678410272405E-10</v>
      </c>
      <c r="DI148" s="22">
        <f t="shared" si="123"/>
        <v>61.843311692612623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>
        <f>DO148*VLOOKUP('Données projet'!$B$14,Paramètres!$A$1:$I$89,3,0)*VLOOKUP('Données projet'!$B$14,Paramètres!$A$1:$I$89,5,0)</f>
        <v>0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347.17417070871716</v>
      </c>
      <c r="DU148" s="59">
        <f t="shared" si="152"/>
        <v>339.56378046986441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11.41275328257009</v>
      </c>
      <c r="EB148" s="21">
        <f>EXP(-LN(2)/25)*EB147+(1-EXP(-LN(2)/25))/(LN(2)/25)*Calculateur!DW148*Calculateur!DY148*VLOOKUP('Données projet'!$B$14,Paramètres!$A$1:$I$89,3,0)*0.475*44/12</f>
        <v>6.7333746502721636</v>
      </c>
      <c r="EC148" s="21">
        <f>EXP(-LN(2)/2)*EC147+(1-EXP(-LN(2)/2))/(LN(2)/2)*DW148*DZ148*VLOOKUP('Données projet'!$B$14,Paramètres!$A$1:$I$89,3,0)*0.475*44/12</f>
        <v>1.0075298593182277E-8</v>
      </c>
      <c r="ED148" s="22">
        <f t="shared" si="126"/>
        <v>18.146127942917552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>
        <f>EJ148*VLOOKUP('Données projet'!$B$15,Paramètres!$A$1:$I$89,3,0)*VLOOKUP('Données projet'!$B$15,Paramètres!$A$1:$I$89,5,0)</f>
        <v>0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384.34044781465661</v>
      </c>
      <c r="EP148" s="59">
        <f t="shared" si="154"/>
        <v>374.99493809709708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12.782283676478517</v>
      </c>
      <c r="EW148" s="21">
        <f>EXP(-LN(2)/25)*EW147+(1-EXP(-LN(2)/25))/(LN(2)/25)*Calculateur!ER148*Calculateur!ET148*VLOOKUP('Données projet'!$B$15,Paramètres!$A$1:$I$89,3,0)*0.475*44/12</f>
        <v>7.5413796083048315</v>
      </c>
      <c r="EX148" s="21">
        <f>EXP(-LN(2)/2)*EX147+(1-EXP(-LN(2)/2))/(LN(2)/2)*ER148*EU148*VLOOKUP('Données projet'!$B$15,Paramètres!$A$1:$I$89,3,0)*0.475*44/12</f>
        <v>1.128433442436413E-8</v>
      </c>
      <c r="EY148" s="22">
        <f t="shared" si="129"/>
        <v>20.323663296067686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>
        <f>FE148*VLOOKUP('Données projet'!$B$16,Paramètres!$A$1:$I$89,3,0)*VLOOKUP('Données projet'!$B$16,Paramètres!$A$1:$I$89,5,0)</f>
        <v>0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359.57284550600366</v>
      </c>
      <c r="FK148" s="59">
        <f t="shared" si="156"/>
        <v>351.38386928091433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11.869263413872901</v>
      </c>
      <c r="FR148" s="21">
        <f>EXP(-LN(2)/25)*FR147+(1-EXP(-LN(2)/25))/(LN(2)/25)*Calculateur!FM148*Calculateur!FO148*VLOOKUP('Données projet'!$B$16,Paramètres!$A$1:$I$89,3,0)*0.475*44/12</f>
        <v>7.0027096362830479</v>
      </c>
      <c r="FS148" s="21">
        <f>EXP(-LN(2)/2)*FS147+(1-EXP(-LN(2)/2))/(LN(2)/2)*FM148*FP148*VLOOKUP('Données projet'!$B$16,Paramètres!$A$1:$I$89,3,0)*0.475*44/12</f>
        <v>1.0478310536909597E-8</v>
      </c>
      <c r="FT148" s="22">
        <f t="shared" si="132"/>
        <v>18.871973060634257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6">
        <f t="shared" si="110"/>
        <v>256.66666666666669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10.875</v>
      </c>
      <c r="N149" s="13">
        <f>IF('Données projet'!$A$36&gt;35,N148+M149-V148,IF(A149&lt;'Données projet'!$A$36,$K$205^A149,IF(A149='Données projet'!$A$36,'Données projet'!$B$36,N148+M149-V148)))</f>
        <v>629.63000000000045</v>
      </c>
      <c r="O149" s="13">
        <f>N149*VLOOKUP('Données projet'!$B$9,Paramètres!$A$1:$I$89,3,0)*VLOOKUP('Données projet'!$B$9,Paramètres!$A$1:$I$89,5,0)</f>
        <v>569.68922400000042</v>
      </c>
      <c r="P149" s="13">
        <f t="shared" si="141"/>
        <v>125.43935312315148</v>
      </c>
      <c r="Q149" s="20">
        <f t="shared" si="108"/>
        <v>1210.6822718228229</v>
      </c>
      <c r="R149" s="59">
        <f t="shared" si="109"/>
        <v>1504.0156051561562</v>
      </c>
      <c r="S149" s="59">
        <f ca="1">AVERAGE(OFFSET($R$3,0,0,'Données projet'!$E$9+1,1))-AVERAGE(OFFSET($H$3,0,0,'Données projet'!$E$9+1,1))</f>
        <v>695.0879239758051</v>
      </c>
      <c r="T149" s="59">
        <f t="shared" si="142"/>
        <v>226.22150997227476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63.079475105607607</v>
      </c>
      <c r="AA149" s="21">
        <f>EXP(-LN(2)/25)*AA148+(1-EXP(-LN(2)/25))/(LN(2)/25)*Calculateur!V149*Calculateur!X149*VLOOKUP('Données projet'!$B$9,Paramètres!$A$1:$I$89,3,0)*0.475*44/12</f>
        <v>24.417506974045757</v>
      </c>
      <c r="AB149" s="21">
        <f>EXP(-LN(2)/2)*AB148+(1-EXP(-LN(2)/2))/(LN(2)/2)*V149*Y149*VLOOKUP('Données projet'!$B$9,Paramètres!$A$1:$I$89,3,0)*0.475*44/12</f>
        <v>2.3053196176702552E-8</v>
      </c>
      <c r="AC149" s="22">
        <f t="shared" si="111"/>
        <v>87.496982102706554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1.1368683772161603E-13</v>
      </c>
      <c r="AJ149" s="13">
        <f>AI149*VLOOKUP('Données projet'!$B$10,Paramètres!$A$1:$I$89,3,0)*VLOOKUP('Données projet'!$B$10,Paramètres!$A$1:$I$89,5,0)</f>
        <v>6.7984728957526396E-14</v>
      </c>
      <c r="AK149" s="13">
        <f t="shared" si="143"/>
        <v>1.0682447123141398E-12</v>
      </c>
      <c r="AL149" s="20">
        <f t="shared" si="112"/>
        <v>1.978932943548152E-12</v>
      </c>
      <c r="AM149" s="59">
        <f t="shared" si="113"/>
        <v>293.3333333333353</v>
      </c>
      <c r="AN149" s="59">
        <f ca="1">AVERAGE(OFFSET($AM$3,0,0,'Données projet'!$E$10+1,1))-AVERAGE(OFFSET($H$3,0,0,'Données projet'!$E$10+1,1))</f>
        <v>388.12151914648013</v>
      </c>
      <c r="AO149" s="59">
        <f t="shared" si="144"/>
        <v>481.43684454382793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29.949785983154019</v>
      </c>
      <c r="AV149" s="21">
        <f>EXP(-LN(2)/25)*AV148+(1-EXP(-LN(2)/25))/(LN(2)/25)*Calculateur!AQ149*Calculateur!AS149*VLOOKUP('Données projet'!$B$10,Paramètres!$A$1:$I$89,3,0)*0.475*44/12</f>
        <v>5.0857951516322384</v>
      </c>
      <c r="AW149" s="21">
        <f>EXP(-LN(2)/2)*AW148+(1-EXP(-LN(2)/2))/(LN(2)/2)*AQ149*AT149*VLOOKUP('Données projet'!$B$10,Paramètres!$A$1:$I$89,3,0)*0.475*44/12</f>
        <v>2.1971206945761378E-12</v>
      </c>
      <c r="AX149" s="21">
        <f t="shared" si="114"/>
        <v>35.035581134788451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415.24818074059294</v>
      </c>
      <c r="BJ149" s="59">
        <f t="shared" si="146"/>
        <v>404.45811532046872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13.650526505185075</v>
      </c>
      <c r="BQ149" s="21">
        <f>EXP(-LN(2)/25)*BQ148+(1-EXP(-LN(2)/25))/(LN(2)/25)*Calculateur!BL149*Calculateur!BN149*VLOOKUP('Données projet'!$B$11,Paramètres!$A$1:$I$89,3,0)*0.475*44/12</f>
        <v>7.990085202968582</v>
      </c>
      <c r="BR149" s="21">
        <f>EXP(-LN(2)/2)*BR148+(1-EXP(-LN(2)/2))/(LN(2)/2)*BL149*BO149*VLOOKUP('Données projet'!$B$11,Paramètres!$A$1:$I$89,3,0)*0.475*44/12</f>
        <v>8.6916605884165154E-9</v>
      </c>
      <c r="BS149" s="22">
        <f t="shared" si="117"/>
        <v>21.640611716845317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384.34044781465661</v>
      </c>
      <c r="CE149" s="59">
        <f t="shared" si="148"/>
        <v>374.99493809709708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15.445963655123665</v>
      </c>
      <c r="CL149" s="21">
        <f>EXP(-LN(2)/25)*CL148+(1-EXP(-LN(2)/25))/(LN(2)/25)*Calculateur!CG149*Calculateur!CI149*VLOOKUP('Données projet'!$B$12,Paramètres!$A$1:$I$89,3,0)*0.475*44/12</f>
        <v>9.0410113924554985</v>
      </c>
      <c r="CM149" s="21">
        <f>EXP(-LN(2)/2)*CM148+(1-EXP(-LN(2)/2))/(LN(2)/2)*CG149*CJ149*VLOOKUP('Données projet'!$B$12,Paramètres!$A$1:$I$89,3,0)*0.475*44/12</f>
        <v>7.9792293926446721E-9</v>
      </c>
      <c r="CN149" s="22">
        <f t="shared" si="120"/>
        <v>24.486975055558393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5.6843418860808015E-13</v>
      </c>
      <c r="CU149" s="17">
        <f>CT149*VLOOKUP('Données projet'!$B$13,Paramètres!$A$1:$I$89,3,0)*VLOOKUP('Données projet'!$B$13,Paramètres!$A$1:$I$89,5,0)</f>
        <v>3.177547114319168E-13</v>
      </c>
      <c r="CV149" s="13">
        <f t="shared" si="149"/>
        <v>4.1725404435445377E-12</v>
      </c>
      <c r="CW149" s="20">
        <f t="shared" si="121"/>
        <v>7.820597394917325E-12</v>
      </c>
      <c r="CX149" s="59">
        <f t="shared" si="122"/>
        <v>293.33333333334116</v>
      </c>
      <c r="CY149" s="59">
        <f ca="1">AVERAGE(OFFSET($CX$3,0,0,'Données projet'!$E$13+1,1))-AVERAGE(OFFSET($H$3,0,0,'Données projet'!$E$13+1,1))</f>
        <v>386.66324266750968</v>
      </c>
      <c r="CZ149" s="59">
        <f t="shared" si="150"/>
        <v>356.22149461585769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51.224079507283669</v>
      </c>
      <c r="DG149" s="21">
        <f>EXP(-LN(2)/25)*DG148+(1-EXP(-LN(2)/25))/(LN(2)/25)*Calculateur!DB149*Calculateur!DD149*VLOOKUP('Données projet'!$B$13,Paramètres!$A$1:$I$89,3,0)*0.475*44/12</f>
        <v>9.3323014484514264</v>
      </c>
      <c r="DH149" s="21">
        <f>EXP(-LN(2)/2)*DH148+(1-EXP(-LN(2)/2))/(LN(2)/2)*DB149*DE149*VLOOKUP('Données projet'!$B$13,Paramètres!$A$1:$I$89,3,0)*0.475*44/12</f>
        <v>2.7468749730476669E-10</v>
      </c>
      <c r="DI149" s="22">
        <f t="shared" si="123"/>
        <v>60.556380956009782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>
        <f>DO149*VLOOKUP('Données projet'!$B$14,Paramètres!$A$1:$I$89,3,0)*VLOOKUP('Données projet'!$B$14,Paramètres!$A$1:$I$89,5,0)</f>
        <v>0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347.17417070871716</v>
      </c>
      <c r="DU149" s="59">
        <f t="shared" si="152"/>
        <v>339.56378046986441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11.188956151791043</v>
      </c>
      <c r="EB149" s="21">
        <f>EXP(-LN(2)/25)*EB148+(1-EXP(-LN(2)/25))/(LN(2)/25)*Calculateur!DW149*Calculateur!DY149*VLOOKUP('Données projet'!$B$14,Paramètres!$A$1:$I$89,3,0)*0.475*44/12</f>
        <v>6.5492501663676874</v>
      </c>
      <c r="EC149" s="21">
        <f>EXP(-LN(2)/2)*EC148+(1-EXP(-LN(2)/2))/(LN(2)/2)*DW149*DZ149*VLOOKUP('Données projet'!$B$14,Paramètres!$A$1:$I$89,3,0)*0.475*44/12</f>
        <v>7.1243119577184703E-9</v>
      </c>
      <c r="ED149" s="22">
        <f t="shared" si="126"/>
        <v>17.738206325283045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>
        <f>EJ149*VLOOKUP('Données projet'!$B$15,Paramètres!$A$1:$I$89,3,0)*VLOOKUP('Données projet'!$B$15,Paramètres!$A$1:$I$89,5,0)</f>
        <v>0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384.34044781465661</v>
      </c>
      <c r="EP149" s="59">
        <f t="shared" si="154"/>
        <v>374.99493809709708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12.531630890005983</v>
      </c>
      <c r="EW149" s="21">
        <f>EXP(-LN(2)/25)*EW148+(1-EXP(-LN(2)/25))/(LN(2)/25)*Calculateur!ER149*Calculateur!ET149*VLOOKUP('Données projet'!$B$15,Paramètres!$A$1:$I$89,3,0)*0.475*44/12</f>
        <v>7.3351601863318185</v>
      </c>
      <c r="EX149" s="21">
        <f>EXP(-LN(2)/2)*EX148+(1-EXP(-LN(2)/2))/(LN(2)/2)*ER149*EU149*VLOOKUP('Données projet'!$B$15,Paramètres!$A$1:$I$89,3,0)*0.475*44/12</f>
        <v>7.9792293926446721E-9</v>
      </c>
      <c r="EY149" s="22">
        <f t="shared" si="129"/>
        <v>19.866791084317029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>
        <f>FE149*VLOOKUP('Données projet'!$B$16,Paramètres!$A$1:$I$89,3,0)*VLOOKUP('Données projet'!$B$16,Paramètres!$A$1:$I$89,5,0)</f>
        <v>0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359.57284550600366</v>
      </c>
      <c r="FK149" s="59">
        <f t="shared" si="156"/>
        <v>351.38386928091433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11.63651439786269</v>
      </c>
      <c r="FR149" s="21">
        <f>EXP(-LN(2)/25)*FR148+(1-EXP(-LN(2)/25))/(LN(2)/25)*Calculateur!FM149*Calculateur!FO149*VLOOKUP('Données projet'!$B$16,Paramètres!$A$1:$I$89,3,0)*0.475*44/12</f>
        <v>6.8112201730223934</v>
      </c>
      <c r="FS149" s="21">
        <f>EXP(-LN(2)/2)*FS148+(1-EXP(-LN(2)/2))/(LN(2)/2)*FM149*FP149*VLOOKUP('Données projet'!$B$16,Paramètres!$A$1:$I$89,3,0)*0.475*44/12</f>
        <v>7.4092844360272304E-9</v>
      </c>
      <c r="FT149" s="22">
        <f t="shared" si="132"/>
        <v>18.447734578294366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6">
        <f t="shared" si="110"/>
        <v>256.66666666666669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10.875</v>
      </c>
      <c r="N150" s="13">
        <f>IF('Données projet'!$A$36&gt;35,N149+M150-V149,IF(A150&lt;'Données projet'!$A$36,$K$205^A150,IF(A150='Données projet'!$A$36,'Données projet'!$B$36,N149+M150-V149)))</f>
        <v>640.50500000000045</v>
      </c>
      <c r="O150" s="13">
        <f>N150*VLOOKUP('Données projet'!$B$9,Paramètres!$A$1:$I$89,3,0)*VLOOKUP('Données projet'!$B$9,Paramètres!$A$1:$I$89,5,0)</f>
        <v>579.52892400000042</v>
      </c>
      <c r="P150" s="13">
        <f t="shared" si="141"/>
        <v>127.35184395771817</v>
      </c>
      <c r="Q150" s="20">
        <f t="shared" si="108"/>
        <v>1231.1506708596933</v>
      </c>
      <c r="R150" s="59">
        <f t="shared" si="109"/>
        <v>1524.4840041930265</v>
      </c>
      <c r="S150" s="59">
        <f ca="1">AVERAGE(OFFSET($R$3,0,0,'Données projet'!$E$9+1,1))-AVERAGE(OFFSET($H$3,0,0,'Données projet'!$E$9+1,1))</f>
        <v>695.0879239758051</v>
      </c>
      <c r="T150" s="59">
        <f t="shared" si="142"/>
        <v>226.22150997227476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61.842525073467399</v>
      </c>
      <c r="AA150" s="21">
        <f>EXP(-LN(2)/25)*AA149+(1-EXP(-LN(2)/25))/(LN(2)/25)*Calculateur!V150*Calculateur!X150*VLOOKUP('Données projet'!$B$9,Paramètres!$A$1:$I$89,3,0)*0.475*44/12</f>
        <v>23.749808961779593</v>
      </c>
      <c r="AB150" s="21">
        <f>EXP(-LN(2)/2)*AB149+(1-EXP(-LN(2)/2))/(LN(2)/2)*V150*Y150*VLOOKUP('Données projet'!$B$9,Paramètres!$A$1:$I$89,3,0)*0.475*44/12</f>
        <v>1.6301071344570165E-8</v>
      </c>
      <c r="AC150" s="22">
        <f t="shared" si="111"/>
        <v>85.592334051548065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1.1368683772161603E-13</v>
      </c>
      <c r="AJ150" s="13">
        <f>AI150*VLOOKUP('Données projet'!$B$10,Paramètres!$A$1:$I$89,3,0)*VLOOKUP('Données projet'!$B$10,Paramètres!$A$1:$I$89,5,0)</f>
        <v>6.7984728957526396E-14</v>
      </c>
      <c r="AK150" s="13">
        <f t="shared" si="143"/>
        <v>1.0682447123141398E-12</v>
      </c>
      <c r="AL150" s="20">
        <f t="shared" si="112"/>
        <v>1.978932943548152E-12</v>
      </c>
      <c r="AM150" s="59">
        <f t="shared" si="113"/>
        <v>293.3333333333353</v>
      </c>
      <c r="AN150" s="59">
        <f ca="1">AVERAGE(OFFSET($AM$3,0,0,'Données projet'!$E$10+1,1))-AVERAGE(OFFSET($H$3,0,0,'Données projet'!$E$10+1,1))</f>
        <v>388.12151914648013</v>
      </c>
      <c r="AO150" s="59">
        <f t="shared" si="144"/>
        <v>481.43684454382793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29.362488947590045</v>
      </c>
      <c r="AV150" s="21">
        <f>EXP(-LN(2)/25)*AV149+(1-EXP(-LN(2)/25))/(LN(2)/25)*Calculateur!AQ150*Calculateur!AS150*VLOOKUP('Données projet'!$B$10,Paramètres!$A$1:$I$89,3,0)*0.475*44/12</f>
        <v>4.9467238157605111</v>
      </c>
      <c r="AW150" s="21">
        <f>EXP(-LN(2)/2)*AW149+(1-EXP(-LN(2)/2))/(LN(2)/2)*AQ150*AT150*VLOOKUP('Données projet'!$B$10,Paramètres!$A$1:$I$89,3,0)*0.475*44/12</f>
        <v>1.5535989422200844E-12</v>
      </c>
      <c r="AX150" s="21">
        <f t="shared" si="114"/>
        <v>34.309212763352114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415.24818074059294</v>
      </c>
      <c r="BJ150" s="59">
        <f t="shared" si="146"/>
        <v>404.45811532046872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13.38284800641744</v>
      </c>
      <c r="BQ150" s="21">
        <f>EXP(-LN(2)/25)*BQ149+(1-EXP(-LN(2)/25))/(LN(2)/25)*Calculateur!BL150*Calculateur!BN150*VLOOKUP('Données projet'!$B$11,Paramètres!$A$1:$I$89,3,0)*0.475*44/12</f>
        <v>7.771595902913087</v>
      </c>
      <c r="BR150" s="21">
        <f>EXP(-LN(2)/2)*BR149+(1-EXP(-LN(2)/2))/(LN(2)/2)*BL150*BO150*VLOOKUP('Données projet'!$B$11,Paramètres!$A$1:$I$89,3,0)*0.475*44/12</f>
        <v>6.1459321418411759E-9</v>
      </c>
      <c r="BS150" s="22">
        <f t="shared" si="117"/>
        <v>21.15444391547646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384.34044781465661</v>
      </c>
      <c r="CE150" s="59">
        <f t="shared" si="148"/>
        <v>374.99493809709708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15.143077728954262</v>
      </c>
      <c r="CL150" s="21">
        <f>EXP(-LN(2)/25)*CL149+(1-EXP(-LN(2)/25))/(LN(2)/25)*Calculateur!CG150*Calculateur!CI150*VLOOKUP('Données projet'!$B$12,Paramètres!$A$1:$I$89,3,0)*0.475*44/12</f>
        <v>8.7937844604826765</v>
      </c>
      <c r="CM150" s="21">
        <f>EXP(-LN(2)/2)*CM149+(1-EXP(-LN(2)/2))/(LN(2)/2)*CG150*CJ150*VLOOKUP('Données projet'!$B$12,Paramètres!$A$1:$I$89,3,0)*0.475*44/12</f>
        <v>5.6421672121820648E-9</v>
      </c>
      <c r="CN150" s="22">
        <f t="shared" si="120"/>
        <v>23.936862195079105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5.6843418860808015E-13</v>
      </c>
      <c r="CU150" s="17">
        <f>CT150*VLOOKUP('Données projet'!$B$13,Paramètres!$A$1:$I$89,3,0)*VLOOKUP('Données projet'!$B$13,Paramètres!$A$1:$I$89,5,0)</f>
        <v>3.177547114319168E-13</v>
      </c>
      <c r="CV150" s="13">
        <f t="shared" si="149"/>
        <v>4.1725404435445377E-12</v>
      </c>
      <c r="CW150" s="20">
        <f t="shared" si="121"/>
        <v>7.820597394917325E-12</v>
      </c>
      <c r="CX150" s="59">
        <f t="shared" si="122"/>
        <v>293.33333333334116</v>
      </c>
      <c r="CY150" s="59">
        <f ca="1">AVERAGE(OFFSET($CX$3,0,0,'Données projet'!$E$13+1,1))-AVERAGE(OFFSET($H$3,0,0,'Données projet'!$E$13+1,1))</f>
        <v>386.66324266750968</v>
      </c>
      <c r="CZ150" s="59">
        <f t="shared" si="150"/>
        <v>356.22149461585769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50.219606551749287</v>
      </c>
      <c r="DG150" s="21">
        <f>EXP(-LN(2)/25)*DG149+(1-EXP(-LN(2)/25))/(LN(2)/25)*Calculateur!DB150*Calculateur!DD150*VLOOKUP('Données projet'!$B$13,Paramètres!$A$1:$I$89,3,0)*0.475*44/12</f>
        <v>9.0771091745791175</v>
      </c>
      <c r="DH150" s="21">
        <f>EXP(-LN(2)/2)*DH149+(1-EXP(-LN(2)/2))/(LN(2)/2)*DB150*DE150*VLOOKUP('Données projet'!$B$13,Paramètres!$A$1:$I$89,3,0)*0.475*44/12</f>
        <v>1.9423339205136203E-10</v>
      </c>
      <c r="DI150" s="22">
        <f t="shared" si="123"/>
        <v>59.296715726522635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>
        <f>DO150*VLOOKUP('Données projet'!$B$14,Paramètres!$A$1:$I$89,3,0)*VLOOKUP('Données projet'!$B$14,Paramètres!$A$1:$I$89,5,0)</f>
        <v>0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347.17417070871716</v>
      </c>
      <c r="DU150" s="59">
        <f t="shared" si="152"/>
        <v>339.56378046986441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10.969547546243801</v>
      </c>
      <c r="EB150" s="21">
        <f>EXP(-LN(2)/25)*EB149+(1-EXP(-LN(2)/25))/(LN(2)/25)*Calculateur!DW150*Calculateur!DY150*VLOOKUP('Données projet'!$B$14,Paramètres!$A$1:$I$89,3,0)*0.475*44/12</f>
        <v>6.3701605761582654</v>
      </c>
      <c r="EC150" s="21">
        <f>EXP(-LN(2)/2)*EC149+(1-EXP(-LN(2)/2))/(LN(2)/2)*DW150*DZ150*VLOOKUP('Données projet'!$B$14,Paramètres!$A$1:$I$89,3,0)*0.475*44/12</f>
        <v>5.0376492965911383E-9</v>
      </c>
      <c r="ED150" s="22">
        <f t="shared" si="126"/>
        <v>17.339708127439714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>
        <f>EJ150*VLOOKUP('Données projet'!$B$15,Paramètres!$A$1:$I$89,3,0)*VLOOKUP('Données projet'!$B$15,Paramètres!$A$1:$I$89,5,0)</f>
        <v>0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384.34044781465661</v>
      </c>
      <c r="EP150" s="59">
        <f t="shared" si="154"/>
        <v>374.99493809709708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12.285893251793071</v>
      </c>
      <c r="EW150" s="21">
        <f>EXP(-LN(2)/25)*EW149+(1-EXP(-LN(2)/25))/(LN(2)/25)*Calculateur!ER150*Calculateur!ET150*VLOOKUP('Données projet'!$B$15,Paramètres!$A$1:$I$89,3,0)*0.475*44/12</f>
        <v>7.1345798452972655</v>
      </c>
      <c r="EX150" s="21">
        <f>EXP(-LN(2)/2)*EX149+(1-EXP(-LN(2)/2))/(LN(2)/2)*ER150*EU150*VLOOKUP('Données projet'!$B$15,Paramètres!$A$1:$I$89,3,0)*0.475*44/12</f>
        <v>5.6421672121820648E-9</v>
      </c>
      <c r="EY150" s="22">
        <f t="shared" si="129"/>
        <v>19.420473102732505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>
        <f>FE150*VLOOKUP('Données projet'!$B$16,Paramètres!$A$1:$I$89,3,0)*VLOOKUP('Données projet'!$B$16,Paramètres!$A$1:$I$89,5,0)</f>
        <v>0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359.57284550600366</v>
      </c>
      <c r="FK150" s="59">
        <f t="shared" si="156"/>
        <v>351.38386928091433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11.408329448093559</v>
      </c>
      <c r="FR150" s="21">
        <f>EXP(-LN(2)/25)*FR149+(1-EXP(-LN(2)/25))/(LN(2)/25)*Calculateur!FM150*Calculateur!FO150*VLOOKUP('Données projet'!$B$16,Paramètres!$A$1:$I$89,3,0)*0.475*44/12</f>
        <v>6.6249669992045943</v>
      </c>
      <c r="FS150" s="21">
        <f>EXP(-LN(2)/2)*FS149+(1-EXP(-LN(2)/2))/(LN(2)/2)*FM150*FP150*VLOOKUP('Données projet'!$B$16,Paramètres!$A$1:$I$89,3,0)*0.475*44/12</f>
        <v>5.2391552684547995E-9</v>
      </c>
      <c r="FT150" s="22">
        <f t="shared" si="132"/>
        <v>18.033296452537307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6">
        <f t="shared" si="110"/>
        <v>256.66666666666669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10.875</v>
      </c>
      <c r="N151" s="13">
        <f>IF('Données projet'!$A$36&gt;35,N150+M151-V150,IF(A151&lt;'Données projet'!$A$36,$K$205^A151,IF(A151='Données projet'!$A$36,'Données projet'!$B$36,N150+M151-V150)))</f>
        <v>651.38000000000045</v>
      </c>
      <c r="O151" s="13">
        <f>N151*VLOOKUP('Données projet'!$B$9,Paramètres!$A$1:$I$89,3,0)*VLOOKUP('Données projet'!$B$9,Paramètres!$A$1:$I$89,5,0)</f>
        <v>589.36862400000041</v>
      </c>
      <c r="P151" s="13">
        <f t="shared" si="141"/>
        <v>129.26055861773426</v>
      </c>
      <c r="Q151" s="20">
        <f t="shared" si="108"/>
        <v>1251.6124930592212</v>
      </c>
      <c r="R151" s="59">
        <f t="shared" si="109"/>
        <v>1544.9458263925544</v>
      </c>
      <c r="S151" s="59">
        <f ca="1">AVERAGE(OFFSET($R$3,0,0,'Données projet'!$E$9+1,1))-AVERAGE(OFFSET($H$3,0,0,'Données projet'!$E$9+1,1))</f>
        <v>695.0879239758051</v>
      </c>
      <c r="T151" s="59">
        <f t="shared" si="142"/>
        <v>226.22150997227476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60.629830876992436</v>
      </c>
      <c r="AA151" s="21">
        <f>EXP(-LN(2)/25)*AA150+(1-EXP(-LN(2)/25))/(LN(2)/25)*Calculateur!V151*Calculateur!X151*VLOOKUP('Données projet'!$B$9,Paramètres!$A$1:$I$89,3,0)*0.475*44/12</f>
        <v>23.100369186771559</v>
      </c>
      <c r="AB151" s="21">
        <f>EXP(-LN(2)/2)*AB150+(1-EXP(-LN(2)/2))/(LN(2)/2)*V151*Y151*VLOOKUP('Données projet'!$B$9,Paramètres!$A$1:$I$89,3,0)*0.475*44/12</f>
        <v>1.1526598088351276E-8</v>
      </c>
      <c r="AC151" s="22">
        <f t="shared" si="111"/>
        <v>83.730200075290583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1.1368683772161603E-13</v>
      </c>
      <c r="AJ151" s="13">
        <f>AI151*VLOOKUP('Données projet'!$B$10,Paramètres!$A$1:$I$89,3,0)*VLOOKUP('Données projet'!$B$10,Paramètres!$A$1:$I$89,5,0)</f>
        <v>6.7984728957526396E-14</v>
      </c>
      <c r="AK151" s="13">
        <f t="shared" si="143"/>
        <v>1.0682447123141398E-12</v>
      </c>
      <c r="AL151" s="20">
        <f t="shared" si="112"/>
        <v>1.978932943548152E-12</v>
      </c>
      <c r="AM151" s="59">
        <f t="shared" si="113"/>
        <v>293.3333333333353</v>
      </c>
      <c r="AN151" s="59">
        <f ca="1">AVERAGE(OFFSET($AM$3,0,0,'Données projet'!$E$10+1,1))-AVERAGE(OFFSET($H$3,0,0,'Données projet'!$E$10+1,1))</f>
        <v>388.12151914648013</v>
      </c>
      <c r="AO151" s="59">
        <f t="shared" si="144"/>
        <v>481.43684454382793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28.786708448677661</v>
      </c>
      <c r="AV151" s="21">
        <f>EXP(-LN(2)/25)*AV150+(1-EXP(-LN(2)/25))/(LN(2)/25)*Calculateur!AQ151*Calculateur!AS151*VLOOKUP('Données projet'!$B$10,Paramètres!$A$1:$I$89,3,0)*0.475*44/12</f>
        <v>4.8114553928816406</v>
      </c>
      <c r="AW151" s="21">
        <f>EXP(-LN(2)/2)*AW150+(1-EXP(-LN(2)/2))/(LN(2)/2)*AQ151*AT151*VLOOKUP('Données projet'!$B$10,Paramètres!$A$1:$I$89,3,0)*0.475*44/12</f>
        <v>1.0985603472880689E-12</v>
      </c>
      <c r="AX151" s="21">
        <f t="shared" si="114"/>
        <v>33.5981638415604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415.24818074059294</v>
      </c>
      <c r="BJ151" s="59">
        <f t="shared" si="146"/>
        <v>404.45811532046872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13.120418519742875</v>
      </c>
      <c r="BQ151" s="21">
        <f>EXP(-LN(2)/25)*BQ150+(1-EXP(-LN(2)/25))/(LN(2)/25)*Calculateur!BL151*Calculateur!BN151*VLOOKUP('Données projet'!$B$11,Paramètres!$A$1:$I$89,3,0)*0.475*44/12</f>
        <v>7.5590812042574624</v>
      </c>
      <c r="BR151" s="21">
        <f>EXP(-LN(2)/2)*BR150+(1-EXP(-LN(2)/2))/(LN(2)/2)*BL151*BO151*VLOOKUP('Données projet'!$B$11,Paramètres!$A$1:$I$89,3,0)*0.475*44/12</f>
        <v>4.3458302942082577E-9</v>
      </c>
      <c r="BS151" s="22">
        <f t="shared" si="117"/>
        <v>20.679499728346165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384.34044781465661</v>
      </c>
      <c r="CE151" s="59">
        <f t="shared" si="148"/>
        <v>374.99493809709708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14.846131211054868</v>
      </c>
      <c r="CL151" s="21">
        <f>EXP(-LN(2)/25)*CL150+(1-EXP(-LN(2)/25))/(LN(2)/25)*Calculateur!CG151*Calculateur!CI151*VLOOKUP('Données projet'!$B$12,Paramètres!$A$1:$I$89,3,0)*0.475*44/12</f>
        <v>8.5533179619657513</v>
      </c>
      <c r="CM151" s="21">
        <f>EXP(-LN(2)/2)*CM150+(1-EXP(-LN(2)/2))/(LN(2)/2)*CG151*CJ151*VLOOKUP('Données projet'!$B$12,Paramètres!$A$1:$I$89,3,0)*0.475*44/12</f>
        <v>3.9896146963223361E-9</v>
      </c>
      <c r="CN151" s="22">
        <f t="shared" si="120"/>
        <v>23.399449177010236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5.6843418860808015E-13</v>
      </c>
      <c r="CU151" s="17">
        <f>CT151*VLOOKUP('Données projet'!$B$13,Paramètres!$A$1:$I$89,3,0)*VLOOKUP('Données projet'!$B$13,Paramètres!$A$1:$I$89,5,0)</f>
        <v>3.177547114319168E-13</v>
      </c>
      <c r="CV151" s="13">
        <f t="shared" si="149"/>
        <v>4.1725404435445377E-12</v>
      </c>
      <c r="CW151" s="20">
        <f t="shared" si="121"/>
        <v>7.820597394917325E-12</v>
      </c>
      <c r="CX151" s="59">
        <f t="shared" si="122"/>
        <v>293.33333333334116</v>
      </c>
      <c r="CY151" s="59">
        <f ca="1">AVERAGE(OFFSET($CX$3,0,0,'Données projet'!$E$13+1,1))-AVERAGE(OFFSET($H$3,0,0,'Données projet'!$E$13+1,1))</f>
        <v>386.66324266750968</v>
      </c>
      <c r="CZ151" s="59">
        <f t="shared" si="150"/>
        <v>356.22149461585769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49.234830698204924</v>
      </c>
      <c r="DG151" s="21">
        <f>EXP(-LN(2)/25)*DG150+(1-EXP(-LN(2)/25))/(LN(2)/25)*Calculateur!DB151*Calculateur!DD151*VLOOKUP('Données projet'!$B$13,Paramètres!$A$1:$I$89,3,0)*0.475*44/12</f>
        <v>8.8288951468558263</v>
      </c>
      <c r="DH151" s="21">
        <f>EXP(-LN(2)/2)*DH150+(1-EXP(-LN(2)/2))/(LN(2)/2)*DB151*DE151*VLOOKUP('Données projet'!$B$13,Paramètres!$A$1:$I$89,3,0)*0.475*44/12</f>
        <v>1.3734374865238334E-10</v>
      </c>
      <c r="DI151" s="22">
        <f t="shared" si="123"/>
        <v>58.063725845198093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>
        <f>DO151*VLOOKUP('Données projet'!$B$14,Paramètres!$A$1:$I$89,3,0)*VLOOKUP('Données projet'!$B$14,Paramètres!$A$1:$I$89,5,0)</f>
        <v>0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347.17417070871716</v>
      </c>
      <c r="DU151" s="59">
        <f t="shared" si="152"/>
        <v>339.56378046986441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10.754441409625304</v>
      </c>
      <c r="EB151" s="21">
        <f>EXP(-LN(2)/25)*EB150+(1-EXP(-LN(2)/25))/(LN(2)/25)*Calculateur!DW151*Calculateur!DY151*VLOOKUP('Données projet'!$B$14,Paramètres!$A$1:$I$89,3,0)*0.475*44/12</f>
        <v>6.1959682002110323</v>
      </c>
      <c r="EC151" s="21">
        <f>EXP(-LN(2)/2)*EC150+(1-EXP(-LN(2)/2))/(LN(2)/2)*DW151*DZ151*VLOOKUP('Données projet'!$B$14,Paramètres!$A$1:$I$89,3,0)*0.475*44/12</f>
        <v>3.5621559788592351E-9</v>
      </c>
      <c r="ED151" s="22">
        <f t="shared" si="126"/>
        <v>16.950409613398492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>
        <f>EJ151*VLOOKUP('Données projet'!$B$15,Paramètres!$A$1:$I$89,3,0)*VLOOKUP('Données projet'!$B$15,Paramètres!$A$1:$I$89,5,0)</f>
        <v>0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384.34044781465661</v>
      </c>
      <c r="EP151" s="59">
        <f t="shared" si="154"/>
        <v>374.99493809709708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12.044974378780356</v>
      </c>
      <c r="EW151" s="21">
        <f>EXP(-LN(2)/25)*EW150+(1-EXP(-LN(2)/25))/(LN(2)/25)*Calculateur!ER151*Calculateur!ET151*VLOOKUP('Données projet'!$B$15,Paramètres!$A$1:$I$89,3,0)*0.475*44/12</f>
        <v>6.9394843842363638</v>
      </c>
      <c r="EX151" s="21">
        <f>EXP(-LN(2)/2)*EX150+(1-EXP(-LN(2)/2))/(LN(2)/2)*ER151*EU151*VLOOKUP('Données projet'!$B$15,Paramètres!$A$1:$I$89,3,0)*0.475*44/12</f>
        <v>3.9896146963223361E-9</v>
      </c>
      <c r="EY151" s="22">
        <f t="shared" si="129"/>
        <v>18.984458767006334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>
        <f>FE151*VLOOKUP('Données projet'!$B$16,Paramètres!$A$1:$I$89,3,0)*VLOOKUP('Données projet'!$B$16,Paramètres!$A$1:$I$89,5,0)</f>
        <v>0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359.57284550600366</v>
      </c>
      <c r="FK151" s="59">
        <f t="shared" si="156"/>
        <v>351.38386928091433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11.184619066010324</v>
      </c>
      <c r="FR151" s="21">
        <f>EXP(-LN(2)/25)*FR150+(1-EXP(-LN(2)/25))/(LN(2)/25)*Calculateur!FM151*Calculateur!FO151*VLOOKUP('Données projet'!$B$16,Paramètres!$A$1:$I$89,3,0)*0.475*44/12</f>
        <v>6.4438069282194714</v>
      </c>
      <c r="FS151" s="21">
        <f>EXP(-LN(2)/2)*FS150+(1-EXP(-LN(2)/2))/(LN(2)/2)*FM151*FP151*VLOOKUP('Données projet'!$B$16,Paramètres!$A$1:$I$89,3,0)*0.475*44/12</f>
        <v>3.7046422180136156E-9</v>
      </c>
      <c r="FT151" s="22">
        <f t="shared" si="132"/>
        <v>17.628425997934436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6">
        <f t="shared" si="110"/>
        <v>256.66666666666669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10.875</v>
      </c>
      <c r="N152" s="13">
        <f>IF('Données projet'!$A$36&gt;35,N151+M152-V151,IF(A152&lt;'Données projet'!$A$36,$K$205^A152,IF(A152='Données projet'!$A$36,'Données projet'!$B$36,N151+M152-V151)))</f>
        <v>662.25500000000045</v>
      </c>
      <c r="O152" s="13">
        <f>N152*VLOOKUP('Données projet'!$B$9,Paramètres!$A$1:$I$89,3,0)*VLOOKUP('Données projet'!$B$9,Paramètres!$A$1:$I$89,5,0)</f>
        <v>599.2083240000004</v>
      </c>
      <c r="P152" s="13">
        <f t="shared" si="141"/>
        <v>131.16556742426994</v>
      </c>
      <c r="Q152" s="20">
        <f t="shared" si="108"/>
        <v>1272.0678608972707</v>
      </c>
      <c r="R152" s="59">
        <f t="shared" si="109"/>
        <v>1565.401194230604</v>
      </c>
      <c r="S152" s="59">
        <f ca="1">AVERAGE(OFFSET($R$3,0,0,'Données projet'!$E$9+1,1))-AVERAGE(OFFSET($H$3,0,0,'Données projet'!$E$9+1,1))</f>
        <v>695.0879239758051</v>
      </c>
      <c r="T152" s="59">
        <f t="shared" si="142"/>
        <v>226.22150997227476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59.440916874039921</v>
      </c>
      <c r="AA152" s="21">
        <f>EXP(-LN(2)/25)*AA151+(1-EXP(-LN(2)/25))/(LN(2)/25)*Calculateur!V152*Calculateur!X152*VLOOKUP('Données projet'!$B$9,Paramètres!$A$1:$I$89,3,0)*0.475*44/12</f>
        <v>22.468688376563673</v>
      </c>
      <c r="AB152" s="21">
        <f>EXP(-LN(2)/2)*AB151+(1-EXP(-LN(2)/2))/(LN(2)/2)*V152*Y152*VLOOKUP('Données projet'!$B$9,Paramètres!$A$1:$I$89,3,0)*0.475*44/12</f>
        <v>8.1505356722850825E-9</v>
      </c>
      <c r="AC152" s="22">
        <f t="shared" si="111"/>
        <v>81.909605258754127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1.1368683772161603E-13</v>
      </c>
      <c r="AJ152" s="13">
        <f>AI152*VLOOKUP('Données projet'!$B$10,Paramètres!$A$1:$I$89,3,0)*VLOOKUP('Données projet'!$B$10,Paramètres!$A$1:$I$89,5,0)</f>
        <v>6.7984728957526396E-14</v>
      </c>
      <c r="AK152" s="13">
        <f t="shared" si="143"/>
        <v>1.0682447123141398E-12</v>
      </c>
      <c r="AL152" s="20">
        <f t="shared" si="112"/>
        <v>1.978932943548152E-12</v>
      </c>
      <c r="AM152" s="59">
        <f t="shared" si="113"/>
        <v>293.3333333333353</v>
      </c>
      <c r="AN152" s="59">
        <f ca="1">AVERAGE(OFFSET($AM$3,0,0,'Données projet'!$E$10+1,1))-AVERAGE(OFFSET($H$3,0,0,'Données projet'!$E$10+1,1))</f>
        <v>388.12151914648013</v>
      </c>
      <c r="AO152" s="59">
        <f t="shared" si="144"/>
        <v>481.43684454382793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28.222218654157523</v>
      </c>
      <c r="AV152" s="21">
        <f>EXP(-LN(2)/25)*AV151+(1-EXP(-LN(2)/25))/(LN(2)/25)*Calculateur!AQ152*Calculateur!AS152*VLOOKUP('Données projet'!$B$10,Paramètres!$A$1:$I$89,3,0)*0.475*44/12</f>
        <v>4.6798858921398496</v>
      </c>
      <c r="AW152" s="21">
        <f>EXP(-LN(2)/2)*AW151+(1-EXP(-LN(2)/2))/(LN(2)/2)*AQ152*AT152*VLOOKUP('Données projet'!$B$10,Paramètres!$A$1:$I$89,3,0)*0.475*44/12</f>
        <v>7.7679947111004219E-13</v>
      </c>
      <c r="AX152" s="21">
        <f t="shared" si="114"/>
        <v>32.902104546298148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415.24818074059294</v>
      </c>
      <c r="BJ152" s="59">
        <f t="shared" si="146"/>
        <v>404.45811532046872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12.863135115235817</v>
      </c>
      <c r="BQ152" s="21">
        <f>EXP(-LN(2)/25)*BQ151+(1-EXP(-LN(2)/25))/(LN(2)/25)*Calculateur!BL152*Calculateur!BN152*VLOOKUP('Données projet'!$B$11,Paramètres!$A$1:$I$89,3,0)*0.475*44/12</f>
        <v>7.352377731212238</v>
      </c>
      <c r="BR152" s="21">
        <f>EXP(-LN(2)/2)*BR151+(1-EXP(-LN(2)/2))/(LN(2)/2)*BL152*BO152*VLOOKUP('Données projet'!$B$11,Paramètres!$A$1:$I$89,3,0)*0.475*44/12</f>
        <v>3.072966070920588E-9</v>
      </c>
      <c r="BS152" s="22">
        <f t="shared" si="117"/>
        <v>20.215512849521023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384.34044781465661</v>
      </c>
      <c r="CE152" s="59">
        <f t="shared" si="148"/>
        <v>374.99493809709708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14.555007633251989</v>
      </c>
      <c r="CL152" s="21">
        <f>EXP(-LN(2)/25)*CL151+(1-EXP(-LN(2)/25))/(LN(2)/25)*Calculateur!CG152*Calculateur!CI152*VLOOKUP('Données projet'!$B$12,Paramètres!$A$1:$I$89,3,0)*0.475*44/12</f>
        <v>8.3194270324963551</v>
      </c>
      <c r="CM152" s="21">
        <f>EXP(-LN(2)/2)*CM151+(1-EXP(-LN(2)/2))/(LN(2)/2)*CG152*CJ152*VLOOKUP('Données projet'!$B$12,Paramètres!$A$1:$I$89,3,0)*0.475*44/12</f>
        <v>2.8210836060910324E-9</v>
      </c>
      <c r="CN152" s="22">
        <f t="shared" si="120"/>
        <v>22.874434668569428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5.6843418860808015E-13</v>
      </c>
      <c r="CU152" s="17">
        <f>CT152*VLOOKUP('Données projet'!$B$13,Paramètres!$A$1:$I$89,3,0)*VLOOKUP('Données projet'!$B$13,Paramètres!$A$1:$I$89,5,0)</f>
        <v>3.177547114319168E-13</v>
      </c>
      <c r="CV152" s="13">
        <f t="shared" si="149"/>
        <v>4.1725404435445377E-12</v>
      </c>
      <c r="CW152" s="20">
        <f t="shared" si="121"/>
        <v>7.820597394917325E-12</v>
      </c>
      <c r="CX152" s="59">
        <f t="shared" si="122"/>
        <v>293.33333333334116</v>
      </c>
      <c r="CY152" s="59">
        <f ca="1">AVERAGE(OFFSET($CX$3,0,0,'Données projet'!$E$13+1,1))-AVERAGE(OFFSET($H$3,0,0,'Données projet'!$E$13+1,1))</f>
        <v>386.66324266750968</v>
      </c>
      <c r="CZ152" s="59">
        <f t="shared" si="150"/>
        <v>356.22149461585769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48.26936569849461</v>
      </c>
      <c r="DG152" s="21">
        <f>EXP(-LN(2)/25)*DG151+(1-EXP(-LN(2)/25))/(LN(2)/25)*Calculateur!DB152*Calculateur!DD152*VLOOKUP('Données projet'!$B$13,Paramètres!$A$1:$I$89,3,0)*0.475*44/12</f>
        <v>8.5874685447736372</v>
      </c>
      <c r="DH152" s="21">
        <f>EXP(-LN(2)/2)*DH151+(1-EXP(-LN(2)/2))/(LN(2)/2)*DB152*DE152*VLOOKUP('Données projet'!$B$13,Paramètres!$A$1:$I$89,3,0)*0.475*44/12</f>
        <v>9.7116696025681013E-11</v>
      </c>
      <c r="DI152" s="22">
        <f t="shared" si="123"/>
        <v>56.856834243365363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>
        <f>DO152*VLOOKUP('Données projet'!$B$14,Paramètres!$A$1:$I$89,3,0)*VLOOKUP('Données projet'!$B$14,Paramètres!$A$1:$I$89,5,0)</f>
        <v>0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347.17417070871716</v>
      </c>
      <c r="DU152" s="59">
        <f t="shared" si="152"/>
        <v>339.56378046986441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10.543553373144109</v>
      </c>
      <c r="EB152" s="21">
        <f>EXP(-LN(2)/25)*EB151+(1-EXP(-LN(2)/25))/(LN(2)/25)*Calculateur!DW152*Calculateur!DY152*VLOOKUP('Données projet'!$B$14,Paramètres!$A$1:$I$89,3,0)*0.475*44/12</f>
        <v>6.0265391239444552</v>
      </c>
      <c r="EC152" s="21">
        <f>EXP(-LN(2)/2)*EC151+(1-EXP(-LN(2)/2))/(LN(2)/2)*DW152*DZ152*VLOOKUP('Données projet'!$B$14,Paramètres!$A$1:$I$89,3,0)*0.475*44/12</f>
        <v>2.5188246482955691E-9</v>
      </c>
      <c r="ED152" s="22">
        <f t="shared" si="126"/>
        <v>16.570092499607387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>
        <f>EJ152*VLOOKUP('Données projet'!$B$15,Paramètres!$A$1:$I$89,3,0)*VLOOKUP('Données projet'!$B$15,Paramètres!$A$1:$I$89,5,0)</f>
        <v>0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384.34044781465661</v>
      </c>
      <c r="EP152" s="59">
        <f t="shared" si="154"/>
        <v>374.99493809709708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11.808779777921417</v>
      </c>
      <c r="EW152" s="21">
        <f>EXP(-LN(2)/25)*EW151+(1-EXP(-LN(2)/25))/(LN(2)/25)*Calculateur!ER152*Calculateur!ET152*VLOOKUP('Données projet'!$B$15,Paramètres!$A$1:$I$89,3,0)*0.475*44/12</f>
        <v>6.749723818817797</v>
      </c>
      <c r="EX152" s="21">
        <f>EXP(-LN(2)/2)*EX151+(1-EXP(-LN(2)/2))/(LN(2)/2)*ER152*EU152*VLOOKUP('Données projet'!$B$15,Paramètres!$A$1:$I$89,3,0)*0.475*44/12</f>
        <v>2.8210836060910324E-9</v>
      </c>
      <c r="EY152" s="22">
        <f t="shared" si="129"/>
        <v>18.558503599560296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>
        <f>FE152*VLOOKUP('Données projet'!$B$16,Paramètres!$A$1:$I$89,3,0)*VLOOKUP('Données projet'!$B$16,Paramètres!$A$1:$I$89,5,0)</f>
        <v>0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359.57284550600366</v>
      </c>
      <c r="FK152" s="59">
        <f t="shared" si="156"/>
        <v>351.38386928091433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10.965295508069881</v>
      </c>
      <c r="FR152" s="21">
        <f>EXP(-LN(2)/25)*FR151+(1-EXP(-LN(2)/25))/(LN(2)/25)*Calculateur!FM152*Calculateur!FO152*VLOOKUP('Données projet'!$B$16,Paramètres!$A$1:$I$89,3,0)*0.475*44/12</f>
        <v>6.2676006889022311</v>
      </c>
      <c r="FS152" s="21">
        <f>EXP(-LN(2)/2)*FS151+(1-EXP(-LN(2)/2))/(LN(2)/2)*FM152*FP152*VLOOKUP('Données projet'!$B$16,Paramètres!$A$1:$I$89,3,0)*0.475*44/12</f>
        <v>2.6195776342274002E-9</v>
      </c>
      <c r="FT152" s="22">
        <f t="shared" si="132"/>
        <v>17.232896199591693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6">
        <f t="shared" si="110"/>
        <v>256.66666666666669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>
        <f>VLOOKUP(A153,'Données projet'!$A$35:$I$55,2,0)</f>
        <v>673.13</v>
      </c>
      <c r="L153" s="12">
        <f>VLOOKUP(A153,'Données projet'!$A$35:$I$55,9,0)</f>
        <v>10.875</v>
      </c>
      <c r="M153" s="12">
        <f t="array" ref="M153">INDEX(L:L,MIN(IF(ISNUMBER(L153:L349),ROW(L153:L349),"")))</f>
        <v>10.875</v>
      </c>
      <c r="N153" s="13">
        <f>IF('Données projet'!$A$36&gt;35,N152+M153-V152,IF(A153&lt;'Données projet'!$A$36,$K$205^A153,IF(A153='Données projet'!$A$36,'Données projet'!$B$36,N152+M153-V152)))</f>
        <v>673.13000000000045</v>
      </c>
      <c r="O153" s="13">
        <f>N153*VLOOKUP('Données projet'!$B$9,Paramètres!$A$1:$I$89,3,0)*VLOOKUP('Données projet'!$B$9,Paramètres!$A$1:$I$89,5,0)</f>
        <v>609.0480240000004</v>
      </c>
      <c r="P153" s="13">
        <f t="shared" si="141"/>
        <v>133.06693825648006</v>
      </c>
      <c r="Q153" s="20">
        <f t="shared" si="108"/>
        <v>1292.5168925967034</v>
      </c>
      <c r="R153" s="59">
        <f t="shared" si="109"/>
        <v>1585.8502259300367</v>
      </c>
      <c r="S153" s="59">
        <f ca="1">AVERAGE(OFFSET($R$3,0,0,'Données projet'!$E$9+1,1))-AVERAGE(OFFSET($H$3,0,0,'Données projet'!$E$9+1,1))</f>
        <v>695.0879239758051</v>
      </c>
      <c r="T153" s="59">
        <f t="shared" si="142"/>
        <v>226.22150997227476</v>
      </c>
      <c r="U153" s="15">
        <f>IF(ISNA(VLOOKUP(A153,'Données projet'!$A$35:$I$55,3,0)),0,VLOOKUP(A153,'Données projet'!$A$35:$I$55,3,0))</f>
        <v>14</v>
      </c>
      <c r="V153" s="15">
        <f>IF(ISNA(VLOOKUP(A153,'Données projet'!$A$35:$I$55,4,0)),0,VLOOKUP(A153,'Données projet'!$A$35:$I$55,4,0))</f>
        <v>259.52</v>
      </c>
      <c r="W153" s="16">
        <f>IF(ISNA(VLOOKUP(A153,'Données projet'!$A$35:$I$55,5,0)),0%,VLOOKUP(A153,'Données projet'!$A$35:$I$55,5,0)*VLOOKUP('Données projet'!$B$9,Paramètres!$A$1:$I$89,7,0))</f>
        <v>0.19350000000000001</v>
      </c>
      <c r="X153" s="16">
        <f>IF(ISNA(VLOOKUP(A153,'Données projet'!$A$35:$I$55,6,0)),0%,VLOOKUP(A153,'Données projet'!$A$35:$I$55,6,0)*VLOOKUP('Données projet'!$B$9,Paramètres!$A$1:$I$89,7,0))</f>
        <v>2.1500000000000002E-2</v>
      </c>
      <c r="Y153" s="16">
        <f>IF(ISNA(VLOOKUP(A153,'Données projet'!$A$35:$I$55,7,0)),0%,VLOOKUP(A153,'Données projet'!$A$35:$I$55,7,0))</f>
        <v>0.05</v>
      </c>
      <c r="Z153" s="21">
        <f>EXP(-LN(2)/35)*Z152+(1-EXP(-LN(2)/35))/(LN(2)/35)*V153*W153*VLOOKUP('Données projet'!$B$9,Paramètres!$A$1:$I$89,3,0)*0.475*44/12</f>
        <v>108.50396657021207</v>
      </c>
      <c r="AA153" s="21">
        <f>EXP(-LN(2)/25)*AA152+(1-EXP(-LN(2)/25))/(LN(2)/25)*Calculateur!V153*Calculateur!X153*VLOOKUP('Données projet'!$B$9,Paramètres!$A$1:$I$89,3,0)*0.475*44/12</f>
        <v>27.413267632188749</v>
      </c>
      <c r="AB153" s="21">
        <f>EXP(-LN(2)/2)*AB152+(1-EXP(-LN(2)/2))/(LN(2)/2)*V153*Y153*VLOOKUP('Données projet'!$B$9,Paramètres!$A$1:$I$89,3,0)*0.475*44/12</f>
        <v>11.077652110461678</v>
      </c>
      <c r="AC153" s="22">
        <f t="shared" si="111"/>
        <v>146.99488631286252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1.1368683772161603E-13</v>
      </c>
      <c r="AJ153" s="13">
        <f>AI153*VLOOKUP('Données projet'!$B$10,Paramètres!$A$1:$I$89,3,0)*VLOOKUP('Données projet'!$B$10,Paramètres!$A$1:$I$89,5,0)</f>
        <v>6.7984728957526396E-14</v>
      </c>
      <c r="AK153" s="13">
        <f t="shared" si="143"/>
        <v>1.0682447123141398E-12</v>
      </c>
      <c r="AL153" s="20">
        <f t="shared" si="112"/>
        <v>1.978932943548152E-12</v>
      </c>
      <c r="AM153" s="59">
        <f t="shared" si="113"/>
        <v>293.3333333333353</v>
      </c>
      <c r="AN153" s="59">
        <f ca="1">AVERAGE(OFFSET($AM$3,0,0,'Données projet'!$E$10+1,1))-AVERAGE(OFFSET($H$3,0,0,'Données projet'!$E$10+1,1))</f>
        <v>388.12151914648013</v>
      </c>
      <c r="AO153" s="59">
        <f t="shared" si="144"/>
        <v>481.43684454382793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27.668798160203146</v>
      </c>
      <c r="AV153" s="21">
        <f>EXP(-LN(2)/25)*AV152+(1-EXP(-LN(2)/25))/(LN(2)/25)*Calculateur!AQ153*Calculateur!AS153*VLOOKUP('Données projet'!$B$10,Paramètres!$A$1:$I$89,3,0)*0.475*44/12</f>
        <v>4.5519141663147824</v>
      </c>
      <c r="AW153" s="21">
        <f>EXP(-LN(2)/2)*AW152+(1-EXP(-LN(2)/2))/(LN(2)/2)*AQ153*AT153*VLOOKUP('Données projet'!$B$10,Paramètres!$A$1:$I$89,3,0)*0.475*44/12</f>
        <v>5.4928017364403445E-13</v>
      </c>
      <c r="AX153" s="21">
        <f t="shared" si="114"/>
        <v>32.220712326518473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415.24818074059294</v>
      </c>
      <c r="BJ153" s="59">
        <f t="shared" si="146"/>
        <v>404.45811532046872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12.610896881363761</v>
      </c>
      <c r="BQ153" s="21">
        <f>EXP(-LN(2)/25)*BQ152+(1-EXP(-LN(2)/25))/(LN(2)/25)*Calculateur!BL153*Calculateur!BN153*VLOOKUP('Données projet'!$B$11,Paramètres!$A$1:$I$89,3,0)*0.475*44/12</f>
        <v>7.1513265755074986</v>
      </c>
      <c r="BR153" s="21">
        <f>EXP(-LN(2)/2)*BR152+(1-EXP(-LN(2)/2))/(LN(2)/2)*BL153*BO153*VLOOKUP('Données projet'!$B$11,Paramètres!$A$1:$I$89,3,0)*0.475*44/12</f>
        <v>2.1729151471041289E-9</v>
      </c>
      <c r="BS153" s="22">
        <f t="shared" si="117"/>
        <v>19.762223459044176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384.34044781465661</v>
      </c>
      <c r="CE153" s="59">
        <f t="shared" si="148"/>
        <v>374.99493809709708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14.269592811241976</v>
      </c>
      <c r="CL153" s="21">
        <f>EXP(-LN(2)/25)*CL152+(1-EXP(-LN(2)/25))/(LN(2)/25)*Calculateur!CG153*Calculateur!CI153*VLOOKUP('Données projet'!$B$12,Paramètres!$A$1:$I$89,3,0)*0.475*44/12</f>
        <v>8.0919318627930892</v>
      </c>
      <c r="CM153" s="21">
        <f>EXP(-LN(2)/2)*CM152+(1-EXP(-LN(2)/2))/(LN(2)/2)*CG153*CJ153*VLOOKUP('Données projet'!$B$12,Paramètres!$A$1:$I$89,3,0)*0.475*44/12</f>
        <v>1.994807348161168E-9</v>
      </c>
      <c r="CN153" s="22">
        <f t="shared" si="120"/>
        <v>22.361524676029873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5.6843418860808015E-13</v>
      </c>
      <c r="CU153" s="17">
        <f>CT153*VLOOKUP('Données projet'!$B$13,Paramètres!$A$1:$I$89,3,0)*VLOOKUP('Données projet'!$B$13,Paramètres!$A$1:$I$89,5,0)</f>
        <v>3.177547114319168E-13</v>
      </c>
      <c r="CV153" s="13">
        <f t="shared" si="149"/>
        <v>4.1725404435445377E-12</v>
      </c>
      <c r="CW153" s="20">
        <f t="shared" si="121"/>
        <v>7.820597394917325E-12</v>
      </c>
      <c r="CX153" s="59">
        <f t="shared" si="122"/>
        <v>293.33333333334116</v>
      </c>
      <c r="CY153" s="59">
        <f ca="1">AVERAGE(OFFSET($CX$3,0,0,'Données projet'!$E$13+1,1))-AVERAGE(OFFSET($H$3,0,0,'Données projet'!$E$13+1,1))</f>
        <v>386.66324266750968</v>
      </c>
      <c r="CZ153" s="59">
        <f t="shared" si="150"/>
        <v>356.22149461585769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47.322832878553108</v>
      </c>
      <c r="DG153" s="21">
        <f>EXP(-LN(2)/25)*DG152+(1-EXP(-LN(2)/25))/(LN(2)/25)*Calculateur!DB153*Calculateur!DD153*VLOOKUP('Données projet'!$B$13,Paramètres!$A$1:$I$89,3,0)*0.475*44/12</f>
        <v>8.3526437658214583</v>
      </c>
      <c r="DH153" s="21">
        <f>EXP(-LN(2)/2)*DH152+(1-EXP(-LN(2)/2))/(LN(2)/2)*DB153*DE153*VLOOKUP('Données projet'!$B$13,Paramètres!$A$1:$I$89,3,0)*0.475*44/12</f>
        <v>6.8671874326191672E-11</v>
      </c>
      <c r="DI153" s="22">
        <f t="shared" si="123"/>
        <v>55.675476644443243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>
        <f>DO153*VLOOKUP('Données projet'!$B$14,Paramètres!$A$1:$I$89,3,0)*VLOOKUP('Données projet'!$B$14,Paramètres!$A$1:$I$89,5,0)</f>
        <v>0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347.17417070871716</v>
      </c>
      <c r="DU153" s="59">
        <f t="shared" si="152"/>
        <v>339.56378046986441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10.336800722429308</v>
      </c>
      <c r="EB153" s="21">
        <f>EXP(-LN(2)/25)*EB152+(1-EXP(-LN(2)/25))/(LN(2)/25)*Calculateur!DW153*Calculateur!DY153*VLOOKUP('Données projet'!$B$14,Paramètres!$A$1:$I$89,3,0)*0.475*44/12</f>
        <v>5.8617430946782756</v>
      </c>
      <c r="EC153" s="21">
        <f>EXP(-LN(2)/2)*EC152+(1-EXP(-LN(2)/2))/(LN(2)/2)*DW153*DZ153*VLOOKUP('Données projet'!$B$14,Paramètres!$A$1:$I$89,3,0)*0.475*44/12</f>
        <v>1.7810779894296176E-9</v>
      </c>
      <c r="ED153" s="22">
        <f t="shared" si="126"/>
        <v>16.198543818888663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>
        <f>EJ153*VLOOKUP('Données projet'!$B$15,Paramètres!$A$1:$I$89,3,0)*VLOOKUP('Données projet'!$B$15,Paramètres!$A$1:$I$89,5,0)</f>
        <v>0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384.34044781465661</v>
      </c>
      <c r="EP153" s="59">
        <f t="shared" si="154"/>
        <v>374.99493809709708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11.577216809120841</v>
      </c>
      <c r="EW153" s="21">
        <f>EXP(-LN(2)/25)*EW152+(1-EXP(-LN(2)/25))/(LN(2)/25)*Calculateur!ER153*Calculateur!ET153*VLOOKUP('Données projet'!$B$15,Paramètres!$A$1:$I$89,3,0)*0.475*44/12</f>
        <v>6.5651522660396751</v>
      </c>
      <c r="EX153" s="21">
        <f>EXP(-LN(2)/2)*EX152+(1-EXP(-LN(2)/2))/(LN(2)/2)*ER153*EU153*VLOOKUP('Données projet'!$B$15,Paramètres!$A$1:$I$89,3,0)*0.475*44/12</f>
        <v>1.994807348161168E-9</v>
      </c>
      <c r="EY153" s="22">
        <f t="shared" si="129"/>
        <v>18.142369077155323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>
        <f>FE153*VLOOKUP('Données projet'!$B$16,Paramètres!$A$1:$I$89,3,0)*VLOOKUP('Données projet'!$B$16,Paramètres!$A$1:$I$89,5,0)</f>
        <v>0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359.57284550600366</v>
      </c>
      <c r="FK153" s="59">
        <f t="shared" si="156"/>
        <v>351.38386928091433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10.750272751326488</v>
      </c>
      <c r="FR153" s="21">
        <f>EXP(-LN(2)/25)*FR152+(1-EXP(-LN(2)/25))/(LN(2)/25)*Calculateur!FM153*Calculateur!FO153*VLOOKUP('Données projet'!$B$16,Paramètres!$A$1:$I$89,3,0)*0.475*44/12</f>
        <v>6.0962128184654043</v>
      </c>
      <c r="FS153" s="21">
        <f>EXP(-LN(2)/2)*FS152+(1-EXP(-LN(2)/2))/(LN(2)/2)*FM153*FP153*VLOOKUP('Données projet'!$B$16,Paramètres!$A$1:$I$89,3,0)*0.475*44/12</f>
        <v>1.8523211090068082E-9</v>
      </c>
      <c r="FT153" s="22">
        <f t="shared" si="132"/>
        <v>16.846485571644212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6">
        <f t="shared" si="110"/>
        <v>256.66666666666669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7.1200000000000045</v>
      </c>
      <c r="N154" s="13">
        <f>IF('Données projet'!$A$36&gt;35,N153+M154-V153,IF(A154&lt;'Données projet'!$A$36,$K$205^A154,IF(A154='Données projet'!$A$36,'Données projet'!$B$36,N153+M154-V153)))</f>
        <v>420.73000000000047</v>
      </c>
      <c r="O154" s="13">
        <f>N154*VLOOKUP('Données projet'!$B$9,Paramètres!$A$1:$I$89,3,0)*VLOOKUP('Données projet'!$B$9,Paramètres!$A$1:$I$89,5,0)</f>
        <v>380.67650400000042</v>
      </c>
      <c r="P154" s="13">
        <f t="shared" si="141"/>
        <v>87.847905288115243</v>
      </c>
      <c r="Q154" s="20">
        <f t="shared" ref="Q154:Q203" si="162">(O154+P154)*0.475*44/12</f>
        <v>816.01334617680141</v>
      </c>
      <c r="R154" s="59">
        <f t="shared" si="109"/>
        <v>1109.3466795101347</v>
      </c>
      <c r="S154" s="59">
        <f ca="1">AVERAGE(OFFSET($R$3,0,0,'Données projet'!$E$9+1,1))-AVERAGE(OFFSET($H$3,0,0,'Données projet'!$E$9+1,1))</f>
        <v>695.0879239758051</v>
      </c>
      <c r="T154" s="59">
        <f t="shared" si="142"/>
        <v>226.22150997227476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106.376269966655</v>
      </c>
      <c r="AA154" s="21">
        <f>EXP(-LN(2)/25)*AA153+(1-EXP(-LN(2)/25))/(LN(2)/25)*Calculateur!V154*Calculateur!X154*VLOOKUP('Données projet'!$B$9,Paramètres!$A$1:$I$89,3,0)*0.475*44/12</f>
        <v>26.663650387185456</v>
      </c>
      <c r="AB154" s="21">
        <f>EXP(-LN(2)/2)*AB153+(1-EXP(-LN(2)/2))/(LN(2)/2)*V154*Y154*VLOOKUP('Données projet'!$B$9,Paramètres!$A$1:$I$89,3,0)*0.475*44/12</f>
        <v>7.8330829269329225</v>
      </c>
      <c r="AC154" s="22">
        <f t="shared" ref="AC154:AC203" si="163">SUM(Z154:AB154)</f>
        <v>140.87300328077336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1.1368683772161603E-13</v>
      </c>
      <c r="AJ154" s="13">
        <f>AI154*VLOOKUP('Données projet'!$B$10,Paramètres!$A$1:$I$89,3,0)*VLOOKUP('Données projet'!$B$10,Paramètres!$A$1:$I$89,5,0)</f>
        <v>6.7984728957526396E-14</v>
      </c>
      <c r="AK154" s="13">
        <f t="shared" ref="AK154:AK203" si="164">EXP(-1.0587+0.8836*LN(AJ154)+0.284)</f>
        <v>1.0682447123141398E-12</v>
      </c>
      <c r="AL154" s="20">
        <f t="shared" ref="AL154:AL203" si="165">(AJ154+AK154)*0.475*44/12</f>
        <v>1.978932943548152E-12</v>
      </c>
      <c r="AM154" s="59">
        <f t="shared" si="113"/>
        <v>293.3333333333353</v>
      </c>
      <c r="AN154" s="59">
        <f ca="1">AVERAGE(OFFSET($AM$3,0,0,'Données projet'!$E$10+1,1))-AVERAGE(OFFSET($H$3,0,0,'Données projet'!$E$10+1,1))</f>
        <v>388.12151914648013</v>
      </c>
      <c r="AO154" s="59">
        <f t="shared" si="144"/>
        <v>481.43684454382793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27.126229904582043</v>
      </c>
      <c r="AV154" s="21">
        <f>EXP(-LN(2)/25)*AV153+(1-EXP(-LN(2)/25))/(LN(2)/25)*Calculateur!AQ154*Calculateur!AS154*VLOOKUP('Données projet'!$B$10,Paramètres!$A$1:$I$89,3,0)*0.475*44/12</f>
        <v>4.427441834062142</v>
      </c>
      <c r="AW154" s="21">
        <f>EXP(-LN(2)/2)*AW153+(1-EXP(-LN(2)/2))/(LN(2)/2)*AQ154*AT154*VLOOKUP('Données projet'!$B$10,Paramètres!$A$1:$I$89,3,0)*0.475*44/12</f>
        <v>3.883997355550211E-13</v>
      </c>
      <c r="AX154" s="21">
        <f t="shared" ref="AX154:AX203" si="166">SUM(AU154:AW154)</f>
        <v>31.553671738644571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415.24818074059294</v>
      </c>
      <c r="BJ154" s="59">
        <f t="shared" si="146"/>
        <v>404.45811532046872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12.363604885407804</v>
      </c>
      <c r="BQ154" s="21">
        <f>EXP(-LN(2)/25)*BQ153+(1-EXP(-LN(2)/25))/(LN(2)/25)*Calculateur!BL154*Calculateur!BN154*VLOOKUP('Données projet'!$B$11,Paramètres!$A$1:$I$89,3,0)*0.475*44/12</f>
        <v>6.9557731742283258</v>
      </c>
      <c r="BR154" s="21">
        <f>EXP(-LN(2)/2)*BR153+(1-EXP(-LN(2)/2))/(LN(2)/2)*BL154*BO154*VLOOKUP('Données projet'!$B$11,Paramètres!$A$1:$I$89,3,0)*0.475*44/12</f>
        <v>1.536483035460294E-9</v>
      </c>
      <c r="BS154" s="22">
        <f t="shared" ref="BS154:BS203" si="169">SUM(BP154:BR154)</f>
        <v>19.319378061172614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384.34044781465661</v>
      </c>
      <c r="CE154" s="59">
        <f t="shared" si="148"/>
        <v>374.99493809709708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13.989774799805728</v>
      </c>
      <c r="CL154" s="21">
        <f>EXP(-LN(2)/25)*CL153+(1-EXP(-LN(2)/25))/(LN(2)/25)*Calculateur!CG154*Calculateur!CI154*VLOOKUP('Données projet'!$B$12,Paramètres!$A$1:$I$89,3,0)*0.475*44/12</f>
        <v>7.8706575604688096</v>
      </c>
      <c r="CM154" s="21">
        <f>EXP(-LN(2)/2)*CM153+(1-EXP(-LN(2)/2))/(LN(2)/2)*CG154*CJ154*VLOOKUP('Données projet'!$B$12,Paramètres!$A$1:$I$89,3,0)*0.475*44/12</f>
        <v>1.4105418030455162E-9</v>
      </c>
      <c r="CN154" s="22">
        <f t="shared" ref="CN154:CN203" si="172">SUM(CK154:CM154)</f>
        <v>21.860432361685078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5.6843418860808015E-13</v>
      </c>
      <c r="CU154" s="17">
        <f>CT154*VLOOKUP('Données projet'!$B$13,Paramètres!$A$1:$I$89,3,0)*VLOOKUP('Données projet'!$B$13,Paramètres!$A$1:$I$89,5,0)</f>
        <v>3.177547114319168E-13</v>
      </c>
      <c r="CV154" s="13">
        <f t="shared" ref="CV154:CV203" si="173">EXP(-1.0587+0.8836*LN(CU154)+0.284)</f>
        <v>4.1725404435445377E-12</v>
      </c>
      <c r="CW154" s="20">
        <f t="shared" ref="CW154:CW203" si="174">(CU154+CV154)*0.475*44/12</f>
        <v>7.820597394917325E-12</v>
      </c>
      <c r="CX154" s="59">
        <f t="shared" si="122"/>
        <v>293.33333333334116</v>
      </c>
      <c r="CY154" s="59">
        <f ca="1">AVERAGE(OFFSET($CX$3,0,0,'Données projet'!$E$13+1,1))-AVERAGE(OFFSET($H$3,0,0,'Données projet'!$E$13+1,1))</f>
        <v>386.66324266750968</v>
      </c>
      <c r="CZ154" s="59">
        <f t="shared" si="150"/>
        <v>356.22149461585769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46.394860989882645</v>
      </c>
      <c r="DG154" s="21">
        <f>EXP(-LN(2)/25)*DG153+(1-EXP(-LN(2)/25))/(LN(2)/25)*Calculateur!DB154*Calculateur!DD154*VLOOKUP('Données projet'!$B$13,Paramètres!$A$1:$I$89,3,0)*0.475*44/12</f>
        <v>8.1242402827986258</v>
      </c>
      <c r="DH154" s="21">
        <f>EXP(-LN(2)/2)*DH153+(1-EXP(-LN(2)/2))/(LN(2)/2)*DB154*DE154*VLOOKUP('Données projet'!$B$13,Paramètres!$A$1:$I$89,3,0)*0.475*44/12</f>
        <v>4.8558348012840507E-11</v>
      </c>
      <c r="DI154" s="22">
        <f t="shared" ref="DI154:DI203" si="175">SUM(DF154:DH154)</f>
        <v>54.519101272729827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>
        <f>DO154*VLOOKUP('Données projet'!$B$14,Paramètres!$A$1:$I$89,3,0)*VLOOKUP('Données projet'!$B$14,Paramètres!$A$1:$I$89,5,0)</f>
        <v>0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347.17417070871716</v>
      </c>
      <c r="DU154" s="59">
        <f t="shared" si="152"/>
        <v>339.56378046986441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10.13410236508836</v>
      </c>
      <c r="EB154" s="21">
        <f>EXP(-LN(2)/25)*EB153+(1-EXP(-LN(2)/25))/(LN(2)/25)*Calculateur!DW154*Calculateur!DY154*VLOOKUP('Données projet'!$B$14,Paramètres!$A$1:$I$89,3,0)*0.475*44/12</f>
        <v>5.7014534214986261</v>
      </c>
      <c r="EC154" s="21">
        <f>EXP(-LN(2)/2)*EC153+(1-EXP(-LN(2)/2))/(LN(2)/2)*DW154*DZ154*VLOOKUP('Données projet'!$B$14,Paramètres!$A$1:$I$89,3,0)*0.475*44/12</f>
        <v>1.2594123241477846E-9</v>
      </c>
      <c r="ED154" s="22">
        <f t="shared" ref="ED154:ED203" si="178">SUM(EA154:EC154)</f>
        <v>15.835555787846399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>
        <f>EJ154*VLOOKUP('Données projet'!$B$15,Paramètres!$A$1:$I$89,3,0)*VLOOKUP('Données projet'!$B$15,Paramètres!$A$1:$I$89,5,0)</f>
        <v>0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384.34044781465661</v>
      </c>
      <c r="EP154" s="59">
        <f t="shared" si="154"/>
        <v>374.99493809709708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11.350194648898979</v>
      </c>
      <c r="EW154" s="21">
        <f>EXP(-LN(2)/25)*EW153+(1-EXP(-LN(2)/25))/(LN(2)/25)*Calculateur!ER154*Calculateur!ET154*VLOOKUP('Données projet'!$B$15,Paramètres!$A$1:$I$89,3,0)*0.475*44/12</f>
        <v>6.385627832078467</v>
      </c>
      <c r="EX154" s="21">
        <f>EXP(-LN(2)/2)*EX153+(1-EXP(-LN(2)/2))/(LN(2)/2)*ER154*EU154*VLOOKUP('Données projet'!$B$15,Paramètres!$A$1:$I$89,3,0)*0.475*44/12</f>
        <v>1.4105418030455162E-9</v>
      </c>
      <c r="EY154" s="22">
        <f t="shared" ref="EY154:EY203" si="181">SUM(EV154:EX154)</f>
        <v>17.735822482387988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>
        <f>FE154*VLOOKUP('Données projet'!$B$16,Paramètres!$A$1:$I$89,3,0)*VLOOKUP('Données projet'!$B$16,Paramètres!$A$1:$I$89,5,0)</f>
        <v>0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359.57284550600366</v>
      </c>
      <c r="FK154" s="59">
        <f t="shared" si="156"/>
        <v>351.38386928091433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10.539466459691901</v>
      </c>
      <c r="FR154" s="21">
        <f>EXP(-LN(2)/25)*FR153+(1-EXP(-LN(2)/25))/(LN(2)/25)*Calculateur!FM154*Calculateur!FO154*VLOOKUP('Données projet'!$B$16,Paramètres!$A$1:$I$89,3,0)*0.475*44/12</f>
        <v>5.9295115583585689</v>
      </c>
      <c r="FS154" s="21">
        <f>EXP(-LN(2)/2)*FS153+(1-EXP(-LN(2)/2))/(LN(2)/2)*FM154*FP154*VLOOKUP('Données projet'!$B$16,Paramètres!$A$1:$I$89,3,0)*0.475*44/12</f>
        <v>1.3097888171137003E-9</v>
      </c>
      <c r="FT154" s="22">
        <f t="shared" ref="FT154:FT203" si="184">SUM(FQ154:FS154)</f>
        <v>16.468978019360261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6">
        <f t="shared" si="110"/>
        <v>256.66666666666669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7.1200000000000045</v>
      </c>
      <c r="N155" s="13">
        <f>IF('Données projet'!$A$36&gt;35,N154+M155-V154,IF(A155&lt;'Données projet'!$A$36,$K$205^A155,IF(A155='Données projet'!$A$36,'Données projet'!$B$36,N154+M155-V154)))</f>
        <v>427.85000000000048</v>
      </c>
      <c r="O155" s="13">
        <f>N155*VLOOKUP('Données projet'!$B$9,Paramètres!$A$1:$I$89,3,0)*VLOOKUP('Données projet'!$B$9,Paramètres!$A$1:$I$89,5,0)</f>
        <v>387.11868000000038</v>
      </c>
      <c r="P155" s="13">
        <f t="shared" si="141"/>
        <v>89.160221060882904</v>
      </c>
      <c r="Q155" s="20">
        <f t="shared" si="162"/>
        <v>829.51908601437174</v>
      </c>
      <c r="R155" s="59">
        <f t="shared" si="109"/>
        <v>1122.8524193477051</v>
      </c>
      <c r="S155" s="59">
        <f ca="1">AVERAGE(OFFSET($R$3,0,0,'Données projet'!$E$9+1,1))-AVERAGE(OFFSET($H$3,0,0,'Données projet'!$E$9+1,1))</f>
        <v>695.0879239758051</v>
      </c>
      <c r="T155" s="59">
        <f t="shared" si="142"/>
        <v>226.22150997227476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104.2902961957269</v>
      </c>
      <c r="AA155" s="21">
        <f>EXP(-LN(2)/25)*AA154+(1-EXP(-LN(2)/25))/(LN(2)/25)*Calculateur!V155*Calculateur!X155*VLOOKUP('Données projet'!$B$9,Paramètres!$A$1:$I$89,3,0)*0.475*44/12</f>
        <v>25.934531465167435</v>
      </c>
      <c r="AB155" s="21">
        <f>EXP(-LN(2)/2)*AB154+(1-EXP(-LN(2)/2))/(LN(2)/2)*V155*Y155*VLOOKUP('Données projet'!$B$9,Paramètres!$A$1:$I$89,3,0)*0.475*44/12</f>
        <v>5.5388260552308397</v>
      </c>
      <c r="AC155" s="22">
        <f t="shared" si="163"/>
        <v>135.76365371612516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1.1368683772161603E-13</v>
      </c>
      <c r="AJ155" s="13">
        <f>AI155*VLOOKUP('Données projet'!$B$10,Paramètres!$A$1:$I$89,3,0)*VLOOKUP('Données projet'!$B$10,Paramètres!$A$1:$I$89,5,0)</f>
        <v>6.7984728957526396E-14</v>
      </c>
      <c r="AK155" s="13">
        <f t="shared" si="164"/>
        <v>1.0682447123141398E-12</v>
      </c>
      <c r="AL155" s="20">
        <f t="shared" si="165"/>
        <v>1.978932943548152E-12</v>
      </c>
      <c r="AM155" s="59">
        <f t="shared" si="113"/>
        <v>293.3333333333353</v>
      </c>
      <c r="AN155" s="59">
        <f ca="1">AVERAGE(OFFSET($AM$3,0,0,'Données projet'!$E$10+1,1))-AVERAGE(OFFSET($H$3,0,0,'Données projet'!$E$10+1,1))</f>
        <v>388.12151914648013</v>
      </c>
      <c r="AO155" s="59">
        <f t="shared" si="144"/>
        <v>481.43684454382793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26.594301081519713</v>
      </c>
      <c r="AV155" s="21">
        <f>EXP(-LN(2)/25)*AV154+(1-EXP(-LN(2)/25))/(LN(2)/25)*Calculateur!AQ155*Calculateur!AS155*VLOOKUP('Données projet'!$B$10,Paramètres!$A$1:$I$89,3,0)*0.475*44/12</f>
        <v>4.3063732042806659</v>
      </c>
      <c r="AW155" s="21">
        <f>EXP(-LN(2)/2)*AW154+(1-EXP(-LN(2)/2))/(LN(2)/2)*AQ155*AT155*VLOOKUP('Données projet'!$B$10,Paramètres!$A$1:$I$89,3,0)*0.475*44/12</f>
        <v>2.7464008682201722E-13</v>
      </c>
      <c r="AX155" s="21">
        <f t="shared" si="166"/>
        <v>30.900674285800651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415.24818074059294</v>
      </c>
      <c r="BJ155" s="59">
        <f t="shared" si="146"/>
        <v>404.45811532046872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12.12116213465932</v>
      </c>
      <c r="BQ155" s="21">
        <f>EXP(-LN(2)/25)*BQ154+(1-EXP(-LN(2)/25))/(LN(2)/25)*Calculateur!BL155*Calculateur!BN155*VLOOKUP('Données projet'!$B$11,Paramètres!$A$1:$I$89,3,0)*0.475*44/12</f>
        <v>6.7655671909908381</v>
      </c>
      <c r="BR155" s="21">
        <f>EXP(-LN(2)/2)*BR154+(1-EXP(-LN(2)/2))/(LN(2)/2)*BL155*BO155*VLOOKUP('Données projet'!$B$11,Paramètres!$A$1:$I$89,3,0)*0.475*44/12</f>
        <v>1.0864575735520644E-9</v>
      </c>
      <c r="BS155" s="22">
        <f t="shared" si="169"/>
        <v>18.886729326736617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384.34044781465661</v>
      </c>
      <c r="CE155" s="59">
        <f t="shared" si="148"/>
        <v>374.99493809709708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13.715443848901609</v>
      </c>
      <c r="CL155" s="21">
        <f>EXP(-LN(2)/25)*CL154+(1-EXP(-LN(2)/25))/(LN(2)/25)*Calculateur!CG155*Calculateur!CI155*VLOOKUP('Données projet'!$B$12,Paramètres!$A$1:$I$89,3,0)*0.475*44/12</f>
        <v>7.6554340155778977</v>
      </c>
      <c r="CM155" s="21">
        <f>EXP(-LN(2)/2)*CM154+(1-EXP(-LN(2)/2))/(LN(2)/2)*CG155*CJ155*VLOOKUP('Données projet'!$B$12,Paramètres!$A$1:$I$89,3,0)*0.475*44/12</f>
        <v>9.9740367408058402E-10</v>
      </c>
      <c r="CN155" s="22">
        <f t="shared" si="172"/>
        <v>21.37087786547691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5.6843418860808015E-13</v>
      </c>
      <c r="CU155" s="17">
        <f>CT155*VLOOKUP('Données projet'!$B$13,Paramètres!$A$1:$I$89,3,0)*VLOOKUP('Données projet'!$B$13,Paramètres!$A$1:$I$89,5,0)</f>
        <v>3.177547114319168E-13</v>
      </c>
      <c r="CV155" s="13">
        <f t="shared" si="173"/>
        <v>4.1725404435445377E-12</v>
      </c>
      <c r="CW155" s="20">
        <f t="shared" si="174"/>
        <v>7.820597394917325E-12</v>
      </c>
      <c r="CX155" s="59">
        <f t="shared" si="122"/>
        <v>293.33333333334116</v>
      </c>
      <c r="CY155" s="59">
        <f ca="1">AVERAGE(OFFSET($CX$3,0,0,'Données projet'!$E$13+1,1))-AVERAGE(OFFSET($H$3,0,0,'Données projet'!$E$13+1,1))</f>
        <v>386.66324266750968</v>
      </c>
      <c r="CZ155" s="59">
        <f t="shared" si="150"/>
        <v>356.22149461585769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45.485086063942049</v>
      </c>
      <c r="DG155" s="21">
        <f>EXP(-LN(2)/25)*DG154+(1-EXP(-LN(2)/25))/(LN(2)/25)*Calculateur!DB155*Calculateur!DD155*VLOOKUP('Données projet'!$B$13,Paramètres!$A$1:$I$89,3,0)*0.475*44/12</f>
        <v>7.9020825050302692</v>
      </c>
      <c r="DH155" s="21">
        <f>EXP(-LN(2)/2)*DH154+(1-EXP(-LN(2)/2))/(LN(2)/2)*DB155*DE155*VLOOKUP('Données projet'!$B$13,Paramètres!$A$1:$I$89,3,0)*0.475*44/12</f>
        <v>3.4335937163095836E-11</v>
      </c>
      <c r="DI155" s="22">
        <f t="shared" si="175"/>
        <v>53.387168569006654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>
        <f>DO155*VLOOKUP('Données projet'!$B$14,Paramètres!$A$1:$I$89,3,0)*VLOOKUP('Données projet'!$B$14,Paramètres!$A$1:$I$89,5,0)</f>
        <v>0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347.17417070871716</v>
      </c>
      <c r="DU155" s="59">
        <f t="shared" si="152"/>
        <v>339.56378046986441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9.9353787989010787</v>
      </c>
      <c r="EB155" s="21">
        <f>EXP(-LN(2)/25)*EB154+(1-EXP(-LN(2)/25))/(LN(2)/25)*Calculateur!DW155*Calculateur!DY155*VLOOKUP('Données projet'!$B$14,Paramètres!$A$1:$I$89,3,0)*0.475*44/12</f>
        <v>5.5455468778613417</v>
      </c>
      <c r="EC155" s="21">
        <f>EXP(-LN(2)/2)*EC154+(1-EXP(-LN(2)/2))/(LN(2)/2)*DW155*DZ155*VLOOKUP('Données projet'!$B$14,Paramètres!$A$1:$I$89,3,0)*0.475*44/12</f>
        <v>8.9053899471480878E-10</v>
      </c>
      <c r="ED155" s="22">
        <f t="shared" si="178"/>
        <v>15.48092567765296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>
        <f>EJ155*VLOOKUP('Données projet'!$B$15,Paramètres!$A$1:$I$89,3,0)*VLOOKUP('Données projet'!$B$15,Paramètres!$A$1:$I$89,5,0)</f>
        <v>0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384.34044781465661</v>
      </c>
      <c r="EP155" s="59">
        <f t="shared" si="154"/>
        <v>374.99493809709708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11.127624254769223</v>
      </c>
      <c r="EW155" s="21">
        <f>EXP(-LN(2)/25)*EW154+(1-EXP(-LN(2)/25))/(LN(2)/25)*Calculateur!ER155*Calculateur!ET155*VLOOKUP('Données projet'!$B$15,Paramètres!$A$1:$I$89,3,0)*0.475*44/12</f>
        <v>6.2110125032047083</v>
      </c>
      <c r="EX155" s="21">
        <f>EXP(-LN(2)/2)*EX154+(1-EXP(-LN(2)/2))/(LN(2)/2)*ER155*EU155*VLOOKUP('Données projet'!$B$15,Paramètres!$A$1:$I$89,3,0)*0.475*44/12</f>
        <v>9.9740367408058402E-10</v>
      </c>
      <c r="EY155" s="22">
        <f t="shared" si="181"/>
        <v>17.338636758971333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>
        <f>FE155*VLOOKUP('Données projet'!$B$16,Paramètres!$A$1:$I$89,3,0)*VLOOKUP('Données projet'!$B$16,Paramètres!$A$1:$I$89,5,0)</f>
        <v>0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359.57284550600366</v>
      </c>
      <c r="FK155" s="59">
        <f t="shared" si="156"/>
        <v>351.38386928091433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10.332793950857129</v>
      </c>
      <c r="FR155" s="21">
        <f>EXP(-LN(2)/25)*FR154+(1-EXP(-LN(2)/25))/(LN(2)/25)*Calculateur!FM155*Calculateur!FO155*VLOOKUP('Données projet'!$B$16,Paramètres!$A$1:$I$89,3,0)*0.475*44/12</f>
        <v>5.7673687529757931</v>
      </c>
      <c r="FS155" s="21">
        <f>EXP(-LN(2)/2)*FS154+(1-EXP(-LN(2)/2))/(LN(2)/2)*FM155*FP155*VLOOKUP('Données projet'!$B$16,Paramètres!$A$1:$I$89,3,0)*0.475*44/12</f>
        <v>9.2616055450340421E-10</v>
      </c>
      <c r="FT155" s="22">
        <f t="shared" si="184"/>
        <v>16.100162704759082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6">
        <f t="shared" si="110"/>
        <v>256.66666666666669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>
        <f>VLOOKUP(A156,'Données projet'!$A$35:$I$55,2,0)</f>
        <v>434.97</v>
      </c>
      <c r="L156" s="12">
        <f>VLOOKUP(A156,'Données projet'!$A$35:$I$55,9,0)</f>
        <v>7.1200000000000045</v>
      </c>
      <c r="M156" s="12">
        <f t="array" ref="M156">INDEX(L:L,MIN(IF(ISNUMBER(L156:L352),ROW(L156:L352),"")))</f>
        <v>7.1200000000000045</v>
      </c>
      <c r="N156" s="13">
        <f>IF('Données projet'!$A$36&gt;35,N155+M156-V155,IF(A156&lt;'Données projet'!$A$36,$K$205^A156,IF(A156='Données projet'!$A$36,'Données projet'!$B$36,N155+M156-V155)))</f>
        <v>434.97000000000048</v>
      </c>
      <c r="O156" s="13">
        <f>N156*VLOOKUP('Données projet'!$B$9,Paramètres!$A$1:$I$89,3,0)*VLOOKUP('Données projet'!$B$9,Paramètres!$A$1:$I$89,5,0)</f>
        <v>393.5608560000004</v>
      </c>
      <c r="P156" s="13">
        <f t="shared" si="141"/>
        <v>90.469997145330012</v>
      </c>
      <c r="Q156" s="20">
        <f t="shared" si="162"/>
        <v>843.0204025614504</v>
      </c>
      <c r="R156" s="59">
        <f t="shared" si="109"/>
        <v>1136.3537358947838</v>
      </c>
      <c r="S156" s="59">
        <f ca="1">AVERAGE(OFFSET($R$3,0,0,'Données projet'!$E$9+1,1))-AVERAGE(OFFSET($H$3,0,0,'Données projet'!$E$9+1,1))</f>
        <v>695.0879239758051</v>
      </c>
      <c r="T156" s="59">
        <f t="shared" si="142"/>
        <v>226.22150997227476</v>
      </c>
      <c r="U156" s="15">
        <f>IF(ISNA(VLOOKUP(A156,'Données projet'!$A$35:$I$55,3,0)),0,VLOOKUP(A156,'Données projet'!$A$35:$I$55,3,0))</f>
        <v>15</v>
      </c>
      <c r="V156" s="15">
        <f>IF(ISNA(VLOOKUP(A156,'Données projet'!$A$35:$I$55,4,0)),0,VLOOKUP(A156,'Données projet'!$A$35:$I$55,4,0))</f>
        <v>156.29000000000002</v>
      </c>
      <c r="W156" s="16">
        <f>IF(ISNA(VLOOKUP(A156,'Données projet'!$A$35:$I$55,5,0)),0%,VLOOKUP(A156,'Données projet'!$A$35:$I$55,5,0)*VLOOKUP('Données projet'!$B$9,Paramètres!$A$1:$I$89,7,0))</f>
        <v>0.19350000000000001</v>
      </c>
      <c r="X156" s="16">
        <f>IF(ISNA(VLOOKUP(A156,'Données projet'!$A$35:$I$55,6,0)),0%,VLOOKUP(A156,'Données projet'!$A$35:$I$55,6,0)*VLOOKUP('Données projet'!$B$9,Paramètres!$A$1:$I$89,7,0))</f>
        <v>2.1500000000000002E-2</v>
      </c>
      <c r="Y156" s="16">
        <f>IF(ISNA(VLOOKUP(A156,'Données projet'!$A$35:$I$55,7,0)),0%,VLOOKUP(A156,'Données projet'!$A$35:$I$55,7,0))</f>
        <v>0.05</v>
      </c>
      <c r="Z156" s="21">
        <f>EXP(-LN(2)/35)*Z155+(1-EXP(-LN(2)/35))/(LN(2)/35)*V156*W156*VLOOKUP('Données projet'!$B$9,Paramètres!$A$1:$I$89,3,0)*0.475*44/12</f>
        <v>132.49428566962979</v>
      </c>
      <c r="AA156" s="21">
        <f>EXP(-LN(2)/25)*AA155+(1-EXP(-LN(2)/25))/(LN(2)/25)*Calculateur!V156*Calculateur!X156*VLOOKUP('Données projet'!$B$9,Paramètres!$A$1:$I$89,3,0)*0.475*44/12</f>
        <v>28.573123283093647</v>
      </c>
      <c r="AB156" s="21">
        <f>EXP(-LN(2)/2)*AB155+(1-EXP(-LN(2)/2))/(LN(2)/2)*V156*Y156*VLOOKUP('Données projet'!$B$9,Paramètres!$A$1:$I$89,3,0)*0.475*44/12</f>
        <v>10.58780474738797</v>
      </c>
      <c r="AC156" s="22">
        <f t="shared" si="163"/>
        <v>171.6552137001114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1.1368683772161603E-13</v>
      </c>
      <c r="AJ156" s="13">
        <f>AI156*VLOOKUP('Données projet'!$B$10,Paramètres!$A$1:$I$89,3,0)*VLOOKUP('Données projet'!$B$10,Paramètres!$A$1:$I$89,5,0)</f>
        <v>6.7984728957526396E-14</v>
      </c>
      <c r="AK156" s="13">
        <f t="shared" si="164"/>
        <v>1.0682447123141398E-12</v>
      </c>
      <c r="AL156" s="20">
        <f t="shared" si="165"/>
        <v>1.978932943548152E-12</v>
      </c>
      <c r="AM156" s="59">
        <f t="shared" si="113"/>
        <v>293.3333333333353</v>
      </c>
      <c r="AN156" s="59">
        <f ca="1">AVERAGE(OFFSET($AM$3,0,0,'Données projet'!$E$10+1,1))-AVERAGE(OFFSET($H$3,0,0,'Données projet'!$E$10+1,1))</f>
        <v>388.12151914648013</v>
      </c>
      <c r="AO156" s="59">
        <f t="shared" si="144"/>
        <v>481.43684454382793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26.072803058233088</v>
      </c>
      <c r="AV156" s="21">
        <f>EXP(-LN(2)/25)*AV155+(1-EXP(-LN(2)/25))/(LN(2)/25)*Calculateur!AQ156*Calculateur!AS156*VLOOKUP('Données projet'!$B$10,Paramètres!$A$1:$I$89,3,0)*0.475*44/12</f>
        <v>4.1886152025472869</v>
      </c>
      <c r="AW156" s="21">
        <f>EXP(-LN(2)/2)*AW155+(1-EXP(-LN(2)/2))/(LN(2)/2)*AQ156*AT156*VLOOKUP('Données projet'!$B$10,Paramètres!$A$1:$I$89,3,0)*0.475*44/12</f>
        <v>1.9419986777751055E-13</v>
      </c>
      <c r="AX156" s="21">
        <f t="shared" si="166"/>
        <v>30.26141826078057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415.24818074059294</v>
      </c>
      <c r="BJ156" s="59">
        <f t="shared" si="146"/>
        <v>404.45811532046872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11.883473538377537</v>
      </c>
      <c r="BQ156" s="21">
        <f>EXP(-LN(2)/25)*BQ155+(1-EXP(-LN(2)/25))/(LN(2)/25)*Calculateur!BL156*Calculateur!BN156*VLOOKUP('Données projet'!$B$11,Paramètres!$A$1:$I$89,3,0)*0.475*44/12</f>
        <v>6.5805624003674783</v>
      </c>
      <c r="BR156" s="21">
        <f>EXP(-LN(2)/2)*BR155+(1-EXP(-LN(2)/2))/(LN(2)/2)*BL156*BO156*VLOOKUP('Données projet'!$B$11,Paramètres!$A$1:$I$89,3,0)*0.475*44/12</f>
        <v>7.6824151773014699E-10</v>
      </c>
      <c r="BS156" s="22">
        <f t="shared" si="169"/>
        <v>18.464035939513256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384.34044781465661</v>
      </c>
      <c r="CE156" s="59">
        <f t="shared" si="148"/>
        <v>374.99493809709708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13.446492360619363</v>
      </c>
      <c r="CL156" s="21">
        <f>EXP(-LN(2)/25)*CL155+(1-EXP(-LN(2)/25))/(LN(2)/25)*Calculateur!CG156*Calculateur!CI156*VLOOKUP('Données projet'!$B$12,Paramètres!$A$1:$I$89,3,0)*0.475*44/12</f>
        <v>7.4460957698401415</v>
      </c>
      <c r="CM156" s="21">
        <f>EXP(-LN(2)/2)*CM155+(1-EXP(-LN(2)/2))/(LN(2)/2)*CG156*CJ156*VLOOKUP('Données projet'!$B$12,Paramètres!$A$1:$I$89,3,0)*0.475*44/12</f>
        <v>7.052709015227581E-10</v>
      </c>
      <c r="CN156" s="22">
        <f t="shared" si="172"/>
        <v>20.892588131164775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5.6843418860808015E-13</v>
      </c>
      <c r="CU156" s="17">
        <f>CT156*VLOOKUP('Données projet'!$B$13,Paramètres!$A$1:$I$89,3,0)*VLOOKUP('Données projet'!$B$13,Paramètres!$A$1:$I$89,5,0)</f>
        <v>3.177547114319168E-13</v>
      </c>
      <c r="CV156" s="13">
        <f t="shared" si="173"/>
        <v>4.1725404435445377E-12</v>
      </c>
      <c r="CW156" s="20">
        <f t="shared" si="174"/>
        <v>7.820597394917325E-12</v>
      </c>
      <c r="CX156" s="59">
        <f t="shared" si="122"/>
        <v>293.33333333334116</v>
      </c>
      <c r="CY156" s="59">
        <f ca="1">AVERAGE(OFFSET($CX$3,0,0,'Données projet'!$E$13+1,1))-AVERAGE(OFFSET($H$3,0,0,'Données projet'!$E$13+1,1))</f>
        <v>386.66324266750968</v>
      </c>
      <c r="CZ156" s="59">
        <f t="shared" si="150"/>
        <v>356.22149461585769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44.593151269391235</v>
      </c>
      <c r="DG156" s="21">
        <f>EXP(-LN(2)/25)*DG155+(1-EXP(-LN(2)/25))/(LN(2)/25)*Calculateur!DB156*Calculateur!DD156*VLOOKUP('Données projet'!$B$13,Paramètres!$A$1:$I$89,3,0)*0.475*44/12</f>
        <v>7.685999643377758</v>
      </c>
      <c r="DH156" s="21">
        <f>EXP(-LN(2)/2)*DH155+(1-EXP(-LN(2)/2))/(LN(2)/2)*DB156*DE156*VLOOKUP('Données projet'!$B$13,Paramètres!$A$1:$I$89,3,0)*0.475*44/12</f>
        <v>2.4279174006420253E-11</v>
      </c>
      <c r="DI156" s="22">
        <f t="shared" si="175"/>
        <v>52.27915091279327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>
        <f>DO156*VLOOKUP('Données projet'!$B$14,Paramètres!$A$1:$I$89,3,0)*VLOOKUP('Données projet'!$B$14,Paramètres!$A$1:$I$89,5,0)</f>
        <v>0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347.17417070871716</v>
      </c>
      <c r="DU156" s="59">
        <f t="shared" si="152"/>
        <v>339.56378046986441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9.7405520806373218</v>
      </c>
      <c r="EB156" s="21">
        <f>EXP(-LN(2)/25)*EB155+(1-EXP(-LN(2)/25))/(LN(2)/25)*Calculateur!DW156*Calculateur!DY156*VLOOKUP('Données projet'!$B$14,Paramètres!$A$1:$I$89,3,0)*0.475*44/12</f>
        <v>5.3939036068585873</v>
      </c>
      <c r="EC156" s="21">
        <f>EXP(-LN(2)/2)*EC155+(1-EXP(-LN(2)/2))/(LN(2)/2)*DW156*DZ156*VLOOKUP('Données projet'!$B$14,Paramètres!$A$1:$I$89,3,0)*0.475*44/12</f>
        <v>6.2970616207389229E-10</v>
      </c>
      <c r="ED156" s="22">
        <f t="shared" si="178"/>
        <v>15.134455688125614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>
        <f>EJ156*VLOOKUP('Données projet'!$B$15,Paramètres!$A$1:$I$89,3,0)*VLOOKUP('Données projet'!$B$15,Paramètres!$A$1:$I$89,5,0)</f>
        <v>0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384.34044781465661</v>
      </c>
      <c r="EP156" s="59">
        <f t="shared" si="154"/>
        <v>374.99493809709708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10.909418330313816</v>
      </c>
      <c r="EW156" s="21">
        <f>EXP(-LN(2)/25)*EW155+(1-EXP(-LN(2)/25))/(LN(2)/25)*Calculateur!ER156*Calculateur!ET156*VLOOKUP('Données projet'!$B$15,Paramètres!$A$1:$I$89,3,0)*0.475*44/12</f>
        <v>6.0411720396816238</v>
      </c>
      <c r="EX156" s="21">
        <f>EXP(-LN(2)/2)*EX155+(1-EXP(-LN(2)/2))/(LN(2)/2)*ER156*EU156*VLOOKUP('Données projet'!$B$15,Paramètres!$A$1:$I$89,3,0)*0.475*44/12</f>
        <v>7.052709015227581E-10</v>
      </c>
      <c r="EY156" s="22">
        <f t="shared" si="181"/>
        <v>16.950590370700709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>
        <f>FE156*VLOOKUP('Données projet'!$B$16,Paramètres!$A$1:$I$89,3,0)*VLOOKUP('Données projet'!$B$16,Paramètres!$A$1:$I$89,5,0)</f>
        <v>0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359.57284550600366</v>
      </c>
      <c r="FK156" s="59">
        <f t="shared" si="156"/>
        <v>351.38386928091433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10.130174163862822</v>
      </c>
      <c r="FR156" s="21">
        <f>EXP(-LN(2)/25)*FR155+(1-EXP(-LN(2)/25))/(LN(2)/25)*Calculateur!FM156*Calculateur!FO156*VLOOKUP('Données projet'!$B$16,Paramètres!$A$1:$I$89,3,0)*0.475*44/12</f>
        <v>5.6096597511329289</v>
      </c>
      <c r="FS156" s="21">
        <f>EXP(-LN(2)/2)*FS155+(1-EXP(-LN(2)/2))/(LN(2)/2)*FM156*FP156*VLOOKUP('Données projet'!$B$16,Paramètres!$A$1:$I$89,3,0)*0.475*44/12</f>
        <v>6.5489440855685024E-10</v>
      </c>
      <c r="FT156" s="22">
        <f t="shared" si="184"/>
        <v>15.739833915650646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6">
        <f t="shared" si="110"/>
        <v>256.66666666666669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4.083333333333333</v>
      </c>
      <c r="N157" s="13">
        <f>IF('Données projet'!$A$36&gt;35,N156+M157-V156,IF(A157&lt;'Données projet'!$A$36,$K$205^A157,IF(A157='Données projet'!$A$36,'Données projet'!$B$36,N156+M157-V156)))</f>
        <v>282.76333333333378</v>
      </c>
      <c r="O157" s="13">
        <f>N157*VLOOKUP('Données projet'!$B$9,Paramètres!$A$1:$I$89,3,0)*VLOOKUP('Données projet'!$B$9,Paramètres!$A$1:$I$89,5,0)</f>
        <v>255.84426400000038</v>
      </c>
      <c r="P157" s="13">
        <f t="shared" si="141"/>
        <v>61.835713990730305</v>
      </c>
      <c r="Q157" s="20">
        <f t="shared" si="162"/>
        <v>553.29262833385587</v>
      </c>
      <c r="R157" s="59">
        <f t="shared" si="109"/>
        <v>846.62596166718913</v>
      </c>
      <c r="S157" s="59">
        <f ca="1">AVERAGE(OFFSET($R$3,0,0,'Données projet'!$E$9+1,1))-AVERAGE(OFFSET($H$3,0,0,'Données projet'!$E$9+1,1))</f>
        <v>695.0879239758051</v>
      </c>
      <c r="T157" s="59">
        <f t="shared" si="142"/>
        <v>226.22150997227476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129.89615354118294</v>
      </c>
      <c r="AA157" s="21">
        <f>EXP(-LN(2)/25)*AA156+(1-EXP(-LN(2)/25))/(LN(2)/25)*Calculateur!V157*Calculateur!X157*VLOOKUP('Données projet'!$B$9,Paramètres!$A$1:$I$89,3,0)*0.475*44/12</f>
        <v>27.791789724322204</v>
      </c>
      <c r="AB157" s="21">
        <f>EXP(-LN(2)/2)*AB156+(1-EXP(-LN(2)/2))/(LN(2)/2)*V157*Y157*VLOOKUP('Données projet'!$B$9,Paramètres!$A$1:$I$89,3,0)*0.475*44/12</f>
        <v>7.4867085347571551</v>
      </c>
      <c r="AC157" s="22">
        <f t="shared" si="163"/>
        <v>165.1746518002623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1.1368683772161603E-13</v>
      </c>
      <c r="AJ157" s="13">
        <f>AI157*VLOOKUP('Données projet'!$B$10,Paramètres!$A$1:$I$89,3,0)*VLOOKUP('Données projet'!$B$10,Paramètres!$A$1:$I$89,5,0)</f>
        <v>6.7984728957526396E-14</v>
      </c>
      <c r="AK157" s="13">
        <f t="shared" si="164"/>
        <v>1.0682447123141398E-12</v>
      </c>
      <c r="AL157" s="20">
        <f t="shared" si="165"/>
        <v>1.978932943548152E-12</v>
      </c>
      <c r="AM157" s="59">
        <f t="shared" si="113"/>
        <v>293.3333333333353</v>
      </c>
      <c r="AN157" s="59">
        <f ca="1">AVERAGE(OFFSET($AM$3,0,0,'Données projet'!$E$10+1,1))-AVERAGE(OFFSET($H$3,0,0,'Données projet'!$E$10+1,1))</f>
        <v>388.12151914648013</v>
      </c>
      <c r="AO157" s="59">
        <f t="shared" si="144"/>
        <v>481.43684454382793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25.561531293100728</v>
      </c>
      <c r="AV157" s="21">
        <f>EXP(-LN(2)/25)*AV156+(1-EXP(-LN(2)/25))/(LN(2)/25)*Calculateur!AQ157*Calculateur!AS157*VLOOKUP('Données projet'!$B$10,Paramètres!$A$1:$I$89,3,0)*0.475*44/12</f>
        <v>4.0740772995639309</v>
      </c>
      <c r="AW157" s="21">
        <f>EXP(-LN(2)/2)*AW156+(1-EXP(-LN(2)/2))/(LN(2)/2)*AQ157*AT157*VLOOKUP('Données projet'!$B$10,Paramètres!$A$1:$I$89,3,0)*0.475*44/12</f>
        <v>1.3732004341100861E-13</v>
      </c>
      <c r="AX157" s="21">
        <f t="shared" si="166"/>
        <v>29.635608592664799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415.24818074059294</v>
      </c>
      <c r="BJ157" s="59">
        <f t="shared" si="146"/>
        <v>404.45811532046872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11.650445870493112</v>
      </c>
      <c r="BQ157" s="21">
        <f>EXP(-LN(2)/25)*BQ156+(1-EXP(-LN(2)/25))/(LN(2)/25)*Calculateur!BL157*Calculateur!BN157*VLOOKUP('Données projet'!$B$11,Paramètres!$A$1:$I$89,3,0)*0.475*44/12</f>
        <v>6.4006165754726929</v>
      </c>
      <c r="BR157" s="21">
        <f>EXP(-LN(2)/2)*BR156+(1-EXP(-LN(2)/2))/(LN(2)/2)*BL157*BO157*VLOOKUP('Données projet'!$B$11,Paramètres!$A$1:$I$89,3,0)*0.475*44/12</f>
        <v>5.4322878677603221E-10</v>
      </c>
      <c r="BS157" s="22">
        <f t="shared" si="169"/>
        <v>18.051062446509032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384.34044781465661</v>
      </c>
      <c r="CE157" s="59">
        <f t="shared" si="148"/>
        <v>374.99493809709708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13.182814846978122</v>
      </c>
      <c r="CL157" s="21">
        <f>EXP(-LN(2)/25)*CL156+(1-EXP(-LN(2)/25))/(LN(2)/25)*Calculateur!CG157*Calculateur!CI157*VLOOKUP('Données projet'!$B$12,Paramètres!$A$1:$I$89,3,0)*0.475*44/12</f>
        <v>7.2424818894407048</v>
      </c>
      <c r="CM157" s="21">
        <f>EXP(-LN(2)/2)*CM156+(1-EXP(-LN(2)/2))/(LN(2)/2)*CG157*CJ157*VLOOKUP('Données projet'!$B$12,Paramètres!$A$1:$I$89,3,0)*0.475*44/12</f>
        <v>4.9870183704029201E-10</v>
      </c>
      <c r="CN157" s="22">
        <f t="shared" si="172"/>
        <v>20.425296736917527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5.6843418860808015E-13</v>
      </c>
      <c r="CU157" s="17">
        <f>CT157*VLOOKUP('Données projet'!$B$13,Paramètres!$A$1:$I$89,3,0)*VLOOKUP('Données projet'!$B$13,Paramètres!$A$1:$I$89,5,0)</f>
        <v>3.177547114319168E-13</v>
      </c>
      <c r="CV157" s="13">
        <f t="shared" si="173"/>
        <v>4.1725404435445377E-12</v>
      </c>
      <c r="CW157" s="20">
        <f t="shared" si="174"/>
        <v>7.820597394917325E-12</v>
      </c>
      <c r="CX157" s="59">
        <f t="shared" si="122"/>
        <v>293.33333333334116</v>
      </c>
      <c r="CY157" s="59">
        <f ca="1">AVERAGE(OFFSET($CX$3,0,0,'Données projet'!$E$13+1,1))-AVERAGE(OFFSET($H$3,0,0,'Données projet'!$E$13+1,1))</f>
        <v>386.66324266750968</v>
      </c>
      <c r="CZ157" s="59">
        <f t="shared" si="150"/>
        <v>356.22149461585769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43.718706772135057</v>
      </c>
      <c r="DG157" s="21">
        <f>EXP(-LN(2)/25)*DG156+(1-EXP(-LN(2)/25))/(LN(2)/25)*Calculateur!DB157*Calculateur!DD157*VLOOKUP('Données projet'!$B$13,Paramètres!$A$1:$I$89,3,0)*0.475*44/12</f>
        <v>7.4758255789404382</v>
      </c>
      <c r="DH157" s="21">
        <f>EXP(-LN(2)/2)*DH156+(1-EXP(-LN(2)/2))/(LN(2)/2)*DB157*DE157*VLOOKUP('Données projet'!$B$13,Paramètres!$A$1:$I$89,3,0)*0.475*44/12</f>
        <v>1.7167968581547918E-11</v>
      </c>
      <c r="DI157" s="22">
        <f t="shared" si="175"/>
        <v>51.194532351092661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>
        <f>DO157*VLOOKUP('Données projet'!$B$14,Paramètres!$A$1:$I$89,3,0)*VLOOKUP('Données projet'!$B$14,Paramètres!$A$1:$I$89,5,0)</f>
        <v>0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347.17417070871716</v>
      </c>
      <c r="DU157" s="59">
        <f t="shared" si="152"/>
        <v>339.56378046986441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9.5495457954861536</v>
      </c>
      <c r="EB157" s="21">
        <f>EXP(-LN(2)/25)*EB156+(1-EXP(-LN(2)/25))/(LN(2)/25)*Calculateur!DW157*Calculateur!DY157*VLOOKUP('Données projet'!$B$14,Paramètres!$A$1:$I$89,3,0)*0.475*44/12</f>
        <v>5.2464070290759768</v>
      </c>
      <c r="EC157" s="21">
        <f>EXP(-LN(2)/2)*EC156+(1-EXP(-LN(2)/2))/(LN(2)/2)*DW157*DZ157*VLOOKUP('Données projet'!$B$14,Paramètres!$A$1:$I$89,3,0)*0.475*44/12</f>
        <v>4.4526949735740439E-10</v>
      </c>
      <c r="ED157" s="22">
        <f t="shared" si="178"/>
        <v>14.795952825007399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>
        <f>EJ157*VLOOKUP('Données projet'!$B$15,Paramètres!$A$1:$I$89,3,0)*VLOOKUP('Données projet'!$B$15,Paramètres!$A$1:$I$89,5,0)</f>
        <v>0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384.34044781465661</v>
      </c>
      <c r="EP157" s="59">
        <f t="shared" si="154"/>
        <v>374.99493809709708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10.695491290944506</v>
      </c>
      <c r="EW157" s="21">
        <f>EXP(-LN(2)/25)*EW156+(1-EXP(-LN(2)/25))/(LN(2)/25)*Calculateur!ER157*Calculateur!ET157*VLOOKUP('Données projet'!$B$15,Paramètres!$A$1:$I$89,3,0)*0.475*44/12</f>
        <v>5.8759758725650997</v>
      </c>
      <c r="EX157" s="21">
        <f>EXP(-LN(2)/2)*EX156+(1-EXP(-LN(2)/2))/(LN(2)/2)*ER157*EU157*VLOOKUP('Données projet'!$B$15,Paramètres!$A$1:$I$89,3,0)*0.475*44/12</f>
        <v>4.9870183704029201E-10</v>
      </c>
      <c r="EY157" s="22">
        <f t="shared" si="181"/>
        <v>16.571467164008308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>
        <f>FE157*VLOOKUP('Données projet'!$B$16,Paramètres!$A$1:$I$89,3,0)*VLOOKUP('Données projet'!$B$16,Paramètres!$A$1:$I$89,5,0)</f>
        <v>0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359.57284550600366</v>
      </c>
      <c r="FK157" s="59">
        <f t="shared" si="156"/>
        <v>351.38386928091433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9.9315276273056075</v>
      </c>
      <c r="FR157" s="21">
        <f>EXP(-LN(2)/25)*FR156+(1-EXP(-LN(2)/25))/(LN(2)/25)*Calculateur!FM157*Calculateur!FO157*VLOOKUP('Données projet'!$B$16,Paramètres!$A$1:$I$89,3,0)*0.475*44/12</f>
        <v>5.4562633102390139</v>
      </c>
      <c r="FS157" s="21">
        <f>EXP(-LN(2)/2)*FS156+(1-EXP(-LN(2)/2))/(LN(2)/2)*FM157*FP157*VLOOKUP('Données projet'!$B$16,Paramètres!$A$1:$I$89,3,0)*0.475*44/12</f>
        <v>4.6308027725170221E-10</v>
      </c>
      <c r="FT157" s="22">
        <f t="shared" si="184"/>
        <v>15.387790938007702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6">
        <f t="shared" si="110"/>
        <v>256.66666666666669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4.083333333333333</v>
      </c>
      <c r="N158" s="13">
        <f>IF('Données projet'!$A$36&gt;35,N157+M158-V157,IF(A158&lt;'Données projet'!$A$36,$K$205^A158,IF(A158='Données projet'!$A$36,'Données projet'!$B$36,N157+M158-V157)))</f>
        <v>286.84666666666709</v>
      </c>
      <c r="O158" s="13">
        <f>N158*VLOOKUP('Données projet'!$B$9,Paramètres!$A$1:$I$89,3,0)*VLOOKUP('Données projet'!$B$9,Paramètres!$A$1:$I$89,5,0)</f>
        <v>259.53886400000039</v>
      </c>
      <c r="P158" s="13">
        <f t="shared" si="141"/>
        <v>62.624072242773707</v>
      </c>
      <c r="Q158" s="20">
        <f t="shared" si="162"/>
        <v>561.10044728949822</v>
      </c>
      <c r="R158" s="59">
        <f t="shared" si="109"/>
        <v>854.43378062283159</v>
      </c>
      <c r="S158" s="59">
        <f ca="1">AVERAGE(OFFSET($R$3,0,0,'Données projet'!$E$9+1,1))-AVERAGE(OFFSET($H$3,0,0,'Données projet'!$E$9+1,1))</f>
        <v>695.0879239758051</v>
      </c>
      <c r="T158" s="59">
        <f t="shared" si="142"/>
        <v>226.22150997227476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127.34896919907081</v>
      </c>
      <c r="AA158" s="21">
        <f>EXP(-LN(2)/25)*AA157+(1-EXP(-LN(2)/25))/(LN(2)/25)*Calculateur!V158*Calculateur!X158*VLOOKUP('Données projet'!$B$9,Paramètres!$A$1:$I$89,3,0)*0.475*44/12</f>
        <v>27.031821772803909</v>
      </c>
      <c r="AB158" s="21">
        <f>EXP(-LN(2)/2)*AB157+(1-EXP(-LN(2)/2))/(LN(2)/2)*V158*Y158*VLOOKUP('Données projet'!$B$9,Paramètres!$A$1:$I$89,3,0)*0.475*44/12</f>
        <v>5.2939023736939861</v>
      </c>
      <c r="AC158" s="22">
        <f t="shared" si="163"/>
        <v>159.6746933455687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1.1368683772161603E-13</v>
      </c>
      <c r="AJ158" s="13">
        <f>AI158*VLOOKUP('Données projet'!$B$10,Paramètres!$A$1:$I$89,3,0)*VLOOKUP('Données projet'!$B$10,Paramètres!$A$1:$I$89,5,0)</f>
        <v>6.7984728957526396E-14</v>
      </c>
      <c r="AK158" s="13">
        <f t="shared" si="164"/>
        <v>1.0682447123141398E-12</v>
      </c>
      <c r="AL158" s="20">
        <f t="shared" si="165"/>
        <v>1.978932943548152E-12</v>
      </c>
      <c r="AM158" s="59">
        <f t="shared" si="113"/>
        <v>293.3333333333353</v>
      </c>
      <c r="AN158" s="59">
        <f ca="1">AVERAGE(OFFSET($AM$3,0,0,'Données projet'!$E$10+1,1))-AVERAGE(OFFSET($H$3,0,0,'Données projet'!$E$10+1,1))</f>
        <v>388.12151914648013</v>
      </c>
      <c r="AO158" s="59">
        <f t="shared" si="144"/>
        <v>481.43684454382793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25.060285255437631</v>
      </c>
      <c r="AV158" s="21">
        <f>EXP(-LN(2)/25)*AV157+(1-EXP(-LN(2)/25))/(LN(2)/25)*Calculateur!AQ158*Calculateur!AS158*VLOOKUP('Données projet'!$B$10,Paramètres!$A$1:$I$89,3,0)*0.475*44/12</f>
        <v>3.9626714415609414</v>
      </c>
      <c r="AW158" s="21">
        <f>EXP(-LN(2)/2)*AW157+(1-EXP(-LN(2)/2))/(LN(2)/2)*AQ158*AT158*VLOOKUP('Données projet'!$B$10,Paramètres!$A$1:$I$89,3,0)*0.475*44/12</f>
        <v>9.7099933888755274E-14</v>
      </c>
      <c r="AX158" s="21">
        <f t="shared" si="166"/>
        <v>29.022956696998669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415.24818074059294</v>
      </c>
      <c r="BJ158" s="59">
        <f t="shared" si="146"/>
        <v>404.45811532046872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11.421987733043057</v>
      </c>
      <c r="BQ158" s="21">
        <f>EXP(-LN(2)/25)*BQ157+(1-EXP(-LN(2)/25))/(LN(2)/25)*Calculateur!BL158*Calculateur!BN158*VLOOKUP('Données projet'!$B$11,Paramètres!$A$1:$I$89,3,0)*0.475*44/12</f>
        <v>6.2255913786225952</v>
      </c>
      <c r="BR158" s="21">
        <f>EXP(-LN(2)/2)*BR157+(1-EXP(-LN(2)/2))/(LN(2)/2)*BL158*BO158*VLOOKUP('Données projet'!$B$11,Paramètres!$A$1:$I$89,3,0)*0.475*44/12</f>
        <v>3.841207588650735E-10</v>
      </c>
      <c r="BS158" s="22">
        <f t="shared" si="169"/>
        <v>17.647579112049772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384.34044781465661</v>
      </c>
      <c r="CE158" s="59">
        <f t="shared" si="148"/>
        <v>374.99493809709708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12.924307888551983</v>
      </c>
      <c r="CL158" s="21">
        <f>EXP(-LN(2)/25)*CL157+(1-EXP(-LN(2)/25))/(LN(2)/25)*Calculateur!CG158*Calculateur!CI158*VLOOKUP('Données projet'!$B$12,Paramètres!$A$1:$I$89,3,0)*0.475*44/12</f>
        <v>7.0444358413083794</v>
      </c>
      <c r="CM158" s="21">
        <f>EXP(-LN(2)/2)*CM157+(1-EXP(-LN(2)/2))/(LN(2)/2)*CG158*CJ158*VLOOKUP('Données projet'!$B$12,Paramètres!$A$1:$I$89,3,0)*0.475*44/12</f>
        <v>3.5263545076137905E-10</v>
      </c>
      <c r="CN158" s="22">
        <f t="shared" si="172"/>
        <v>19.968743730212999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5.6843418860808015E-13</v>
      </c>
      <c r="CU158" s="17">
        <f>CT158*VLOOKUP('Données projet'!$B$13,Paramètres!$A$1:$I$89,3,0)*VLOOKUP('Données projet'!$B$13,Paramètres!$A$1:$I$89,5,0)</f>
        <v>3.177547114319168E-13</v>
      </c>
      <c r="CV158" s="13">
        <f t="shared" si="173"/>
        <v>4.1725404435445377E-12</v>
      </c>
      <c r="CW158" s="20">
        <f t="shared" si="174"/>
        <v>7.820597394917325E-12</v>
      </c>
      <c r="CX158" s="59">
        <f t="shared" si="122"/>
        <v>293.33333333334116</v>
      </c>
      <c r="CY158" s="59">
        <f ca="1">AVERAGE(OFFSET($CX$3,0,0,'Données projet'!$E$13+1,1))-AVERAGE(OFFSET($H$3,0,0,'Données projet'!$E$13+1,1))</f>
        <v>386.66324266750968</v>
      </c>
      <c r="CZ158" s="59">
        <f t="shared" si="150"/>
        <v>356.22149461585769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42.861409598111592</v>
      </c>
      <c r="DG158" s="21">
        <f>EXP(-LN(2)/25)*DG157+(1-EXP(-LN(2)/25))/(LN(2)/25)*Calculateur!DB158*Calculateur!DD158*VLOOKUP('Données projet'!$B$13,Paramètres!$A$1:$I$89,3,0)*0.475*44/12</f>
        <v>7.2713987353477307</v>
      </c>
      <c r="DH158" s="21">
        <f>EXP(-LN(2)/2)*DH157+(1-EXP(-LN(2)/2))/(LN(2)/2)*DB158*DE158*VLOOKUP('Données projet'!$B$13,Paramètres!$A$1:$I$89,3,0)*0.475*44/12</f>
        <v>1.2139587003210127E-11</v>
      </c>
      <c r="DI158" s="22">
        <f t="shared" si="175"/>
        <v>50.132808333471459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>
        <f>DO158*VLOOKUP('Données projet'!$B$14,Paramètres!$A$1:$I$89,3,0)*VLOOKUP('Données projet'!$B$14,Paramètres!$A$1:$I$89,5,0)</f>
        <v>0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347.17417070871716</v>
      </c>
      <c r="DU158" s="59">
        <f t="shared" si="152"/>
        <v>339.56378046986441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9.3622850270844697</v>
      </c>
      <c r="EB158" s="21">
        <f>EXP(-LN(2)/25)*EB157+(1-EXP(-LN(2)/25))/(LN(2)/25)*Calculateur!DW158*Calculateur!DY158*VLOOKUP('Données projet'!$B$14,Paramètres!$A$1:$I$89,3,0)*0.475*44/12</f>
        <v>5.1029437529693391</v>
      </c>
      <c r="EC158" s="21">
        <f>EXP(-LN(2)/2)*EC157+(1-EXP(-LN(2)/2))/(LN(2)/2)*DW158*DZ158*VLOOKUP('Données projet'!$B$14,Paramètres!$A$1:$I$89,3,0)*0.475*44/12</f>
        <v>3.1485308103694614E-10</v>
      </c>
      <c r="ED158" s="22">
        <f t="shared" si="178"/>
        <v>14.465228780368664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>
        <f>EJ158*VLOOKUP('Données projet'!$B$15,Paramètres!$A$1:$I$89,3,0)*VLOOKUP('Données projet'!$B$15,Paramètres!$A$1:$I$89,5,0)</f>
        <v>0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384.34044781465661</v>
      </c>
      <c r="EP158" s="59">
        <f t="shared" si="154"/>
        <v>374.99493809709708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10.485759230334619</v>
      </c>
      <c r="EW158" s="21">
        <f>EXP(-LN(2)/25)*EW157+(1-EXP(-LN(2)/25))/(LN(2)/25)*Calculateur!ER158*Calculateur!ET158*VLOOKUP('Données projet'!$B$15,Paramètres!$A$1:$I$89,3,0)*0.475*44/12</f>
        <v>5.7152970033256656</v>
      </c>
      <c r="EX158" s="21">
        <f>EXP(-LN(2)/2)*EX157+(1-EXP(-LN(2)/2))/(LN(2)/2)*ER158*EU158*VLOOKUP('Données projet'!$B$15,Paramètres!$A$1:$I$89,3,0)*0.475*44/12</f>
        <v>3.5263545076137905E-10</v>
      </c>
      <c r="EY158" s="22">
        <f t="shared" si="181"/>
        <v>16.20105623401292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>
        <f>FE158*VLOOKUP('Données projet'!$B$16,Paramètres!$A$1:$I$89,3,0)*VLOOKUP('Données projet'!$B$16,Paramètres!$A$1:$I$89,5,0)</f>
        <v>0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359.57284550600366</v>
      </c>
      <c r="FK158" s="59">
        <f t="shared" si="156"/>
        <v>351.38386928091433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9.7367764281678557</v>
      </c>
      <c r="FR158" s="21">
        <f>EXP(-LN(2)/25)*FR157+(1-EXP(-LN(2)/25))/(LN(2)/25)*Calculateur!FM158*Calculateur!FO158*VLOOKUP('Données projet'!$B$16,Paramètres!$A$1:$I$89,3,0)*0.475*44/12</f>
        <v>5.3070615030881108</v>
      </c>
      <c r="FS158" s="21">
        <f>EXP(-LN(2)/2)*FS157+(1-EXP(-LN(2)/2))/(LN(2)/2)*FM158*FP158*VLOOKUP('Données projet'!$B$16,Paramètres!$A$1:$I$89,3,0)*0.475*44/12</f>
        <v>3.2744720427842517E-10</v>
      </c>
      <c r="FT158" s="22">
        <f t="shared" si="184"/>
        <v>15.043837931583413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6">
        <f t="shared" si="110"/>
        <v>256.66666666666669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>
        <f>VLOOKUP(A159,'Données projet'!$A$35:$I$55,2,0)</f>
        <v>290.93</v>
      </c>
      <c r="L159" s="12">
        <f>VLOOKUP(A159,'Données projet'!$A$35:$I$55,9,0)</f>
        <v>4.083333333333333</v>
      </c>
      <c r="M159" s="12">
        <f t="array" ref="M159">INDEX(L:L,MIN(IF(ISNUMBER(L159:L355),ROW(L159:L355),"")))</f>
        <v>4.083333333333333</v>
      </c>
      <c r="N159" s="13">
        <f>IF('Données projet'!$A$36&gt;35,N158+M159-V158,IF(A159&lt;'Données projet'!$A$36,$K$205^A159,IF(A159='Données projet'!$A$36,'Données projet'!$B$36,N158+M159-V158)))</f>
        <v>290.9300000000004</v>
      </c>
      <c r="O159" s="13">
        <f>N159*VLOOKUP('Données projet'!$B$9,Paramètres!$A$1:$I$89,3,0)*VLOOKUP('Données projet'!$B$9,Paramètres!$A$1:$I$89,5,0)</f>
        <v>263.23346400000037</v>
      </c>
      <c r="P159" s="13">
        <f t="shared" si="141"/>
        <v>63.411125233778499</v>
      </c>
      <c r="Q159" s="20">
        <f t="shared" si="162"/>
        <v>568.90599291549813</v>
      </c>
      <c r="R159" s="59">
        <f t="shared" si="109"/>
        <v>862.2393262488315</v>
      </c>
      <c r="S159" s="59">
        <f ca="1">AVERAGE(OFFSET($R$3,0,0,'Données projet'!$E$9+1,1))-AVERAGE(OFFSET($H$3,0,0,'Données projet'!$E$9+1,1))</f>
        <v>695.0879239758051</v>
      </c>
      <c r="T159" s="59">
        <f t="shared" si="142"/>
        <v>226.22150997227476</v>
      </c>
      <c r="U159" s="15">
        <f>IF(ISNA(VLOOKUP(A159,'Données projet'!$A$35:$I$55,3,0)),0,VLOOKUP(A159,'Données projet'!$A$35:$I$55,3,0))</f>
        <v>16</v>
      </c>
      <c r="V159" s="15">
        <f>IF(ISNA(VLOOKUP(A159,'Données projet'!$A$35:$I$55,4,0)),0,VLOOKUP(A159,'Données projet'!$A$35:$I$55,4,0))</f>
        <v>96.65</v>
      </c>
      <c r="W159" s="16">
        <f>IF(ISNA(VLOOKUP(A159,'Données projet'!$A$35:$I$55,5,0)),0%,VLOOKUP(A159,'Données projet'!$A$35:$I$55,5,0)*VLOOKUP('Données projet'!$B$9,Paramètres!$A$1:$I$89,7,0))</f>
        <v>0.19350000000000001</v>
      </c>
      <c r="X159" s="16">
        <f>IF(ISNA(VLOOKUP(A159,'Données projet'!$A$35:$I$55,6,0)),0%,VLOOKUP(A159,'Données projet'!$A$35:$I$55,6,0)*VLOOKUP('Données projet'!$B$9,Paramètres!$A$1:$I$89,7,0))</f>
        <v>2.1500000000000002E-2</v>
      </c>
      <c r="Y159" s="16">
        <f>IF(ISNA(VLOOKUP(A159,'Données projet'!$A$35:$I$55,7,0)),0%,VLOOKUP(A159,'Données projet'!$A$35:$I$55,7,0))</f>
        <v>0.05</v>
      </c>
      <c r="Z159" s="21">
        <f>EXP(-LN(2)/35)*Z158+(1-EXP(-LN(2)/35))/(LN(2)/35)*V159*W159*VLOOKUP('Données projet'!$B$9,Paramètres!$A$1:$I$89,3,0)*0.475*44/12</f>
        <v>143.55780250462382</v>
      </c>
      <c r="AA159" s="21">
        <f>EXP(-LN(2)/25)*AA158+(1-EXP(-LN(2)/25))/(LN(2)/25)*Calculateur!V159*Calculateur!X159*VLOOKUP('Données projet'!$B$9,Paramètres!$A$1:$I$89,3,0)*0.475*44/12</f>
        <v>28.362903628823826</v>
      </c>
      <c r="AB159" s="21">
        <f>EXP(-LN(2)/2)*AB158+(1-EXP(-LN(2)/2))/(LN(2)/2)*V159*Y159*VLOOKUP('Données projet'!$B$9,Paramètres!$A$1:$I$89,3,0)*0.475*44/12</f>
        <v>7.8688747510372492</v>
      </c>
      <c r="AC159" s="22">
        <f t="shared" si="163"/>
        <v>179.78958088448491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1.1368683772161603E-13</v>
      </c>
      <c r="AJ159" s="13">
        <f>AI159*VLOOKUP('Données projet'!$B$10,Paramètres!$A$1:$I$89,3,0)*VLOOKUP('Données projet'!$B$10,Paramètres!$A$1:$I$89,5,0)</f>
        <v>6.7984728957526396E-14</v>
      </c>
      <c r="AK159" s="13">
        <f t="shared" si="164"/>
        <v>1.0682447123141398E-12</v>
      </c>
      <c r="AL159" s="20">
        <f t="shared" si="165"/>
        <v>1.978932943548152E-12</v>
      </c>
      <c r="AM159" s="59">
        <f t="shared" si="113"/>
        <v>293.3333333333353</v>
      </c>
      <c r="AN159" s="59">
        <f ca="1">AVERAGE(OFFSET($AM$3,0,0,'Données projet'!$E$10+1,1))-AVERAGE(OFFSET($H$3,0,0,'Données projet'!$E$10+1,1))</f>
        <v>388.12151914648013</v>
      </c>
      <c r="AO159" s="59">
        <f t="shared" si="144"/>
        <v>481.43684454382793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24.56886834684321</v>
      </c>
      <c r="AV159" s="21">
        <f>EXP(-LN(2)/25)*AV158+(1-EXP(-LN(2)/25))/(LN(2)/25)*Calculateur!AQ159*Calculateur!AS159*VLOOKUP('Données projet'!$B$10,Paramètres!$A$1:$I$89,3,0)*0.475*44/12</f>
        <v>3.854311982603623</v>
      </c>
      <c r="AW159" s="21">
        <f>EXP(-LN(2)/2)*AW158+(1-EXP(-LN(2)/2))/(LN(2)/2)*AQ159*AT159*VLOOKUP('Données projet'!$B$10,Paramètres!$A$1:$I$89,3,0)*0.475*44/12</f>
        <v>6.8660021705504306E-14</v>
      </c>
      <c r="AX159" s="21">
        <f t="shared" si="166"/>
        <v>28.4231803294469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415.24818074059294</v>
      </c>
      <c r="BJ159" s="59">
        <f t="shared" si="146"/>
        <v>404.45811532046872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11.198009520322692</v>
      </c>
      <c r="BQ159" s="21">
        <f>EXP(-LN(2)/25)*BQ158+(1-EXP(-LN(2)/25))/(LN(2)/25)*Calculateur!BL159*Calculateur!BN159*VLOOKUP('Données projet'!$B$11,Paramètres!$A$1:$I$89,3,0)*0.475*44/12</f>
        <v>6.0553522549845384</v>
      </c>
      <c r="BR159" s="21">
        <f>EXP(-LN(2)/2)*BR158+(1-EXP(-LN(2)/2))/(LN(2)/2)*BL159*BO159*VLOOKUP('Données projet'!$B$11,Paramètres!$A$1:$I$89,3,0)*0.475*44/12</f>
        <v>2.7161439338801611E-10</v>
      </c>
      <c r="BS159" s="22">
        <f t="shared" si="169"/>
        <v>17.253361775578846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384.34044781465661</v>
      </c>
      <c r="CE159" s="59">
        <f t="shared" si="148"/>
        <v>374.99493809709708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12.670870093906904</v>
      </c>
      <c r="CL159" s="21">
        <f>EXP(-LN(2)/25)*CL158+(1-EXP(-LN(2)/25))/(LN(2)/25)*Calculateur!CG159*Calculateur!CI159*VLOOKUP('Données projet'!$B$12,Paramètres!$A$1:$I$89,3,0)*0.475*44/12</f>
        <v>6.8518053727770214</v>
      </c>
      <c r="CM159" s="21">
        <f>EXP(-LN(2)/2)*CM158+(1-EXP(-LN(2)/2))/(LN(2)/2)*CG159*CJ159*VLOOKUP('Données projet'!$B$12,Paramètres!$A$1:$I$89,3,0)*0.475*44/12</f>
        <v>2.49350918520146E-10</v>
      </c>
      <c r="CN159" s="22">
        <f t="shared" si="172"/>
        <v>19.522675466933276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5.6843418860808015E-13</v>
      </c>
      <c r="CU159" s="17">
        <f>CT159*VLOOKUP('Données projet'!$B$13,Paramètres!$A$1:$I$89,3,0)*VLOOKUP('Données projet'!$B$13,Paramètres!$A$1:$I$89,5,0)</f>
        <v>3.177547114319168E-13</v>
      </c>
      <c r="CV159" s="13">
        <f t="shared" si="173"/>
        <v>4.1725404435445377E-12</v>
      </c>
      <c r="CW159" s="20">
        <f t="shared" si="174"/>
        <v>7.820597394917325E-12</v>
      </c>
      <c r="CX159" s="59">
        <f t="shared" si="122"/>
        <v>293.33333333334116</v>
      </c>
      <c r="CY159" s="59">
        <f ca="1">AVERAGE(OFFSET($CX$3,0,0,'Données projet'!$E$13+1,1))-AVERAGE(OFFSET($H$3,0,0,'Données projet'!$E$13+1,1))</f>
        <v>386.66324266750968</v>
      </c>
      <c r="CZ159" s="59">
        <f t="shared" si="150"/>
        <v>356.22149461585769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42.020923498771083</v>
      </c>
      <c r="DG159" s="21">
        <f>EXP(-LN(2)/25)*DG158+(1-EXP(-LN(2)/25))/(LN(2)/25)*Calculateur!DB159*Calculateur!DD159*VLOOKUP('Données projet'!$B$13,Paramètres!$A$1:$I$89,3,0)*0.475*44/12</f>
        <v>7.0725619545434064</v>
      </c>
      <c r="DH159" s="21">
        <f>EXP(-LN(2)/2)*DH158+(1-EXP(-LN(2)/2))/(LN(2)/2)*DB159*DE159*VLOOKUP('Données projet'!$B$13,Paramètres!$A$1:$I$89,3,0)*0.475*44/12</f>
        <v>8.583984290773959E-12</v>
      </c>
      <c r="DI159" s="22">
        <f t="shared" si="175"/>
        <v>49.093485453323069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>
        <f>DO159*VLOOKUP('Données projet'!$B$14,Paramètres!$A$1:$I$89,3,0)*VLOOKUP('Données projet'!$B$14,Paramètres!$A$1:$I$89,5,0)</f>
        <v>0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347.17417070871716</v>
      </c>
      <c r="DU159" s="59">
        <f t="shared" si="152"/>
        <v>339.56378046986441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9.178696328133352</v>
      </c>
      <c r="EB159" s="21">
        <f>EXP(-LN(2)/25)*EB158+(1-EXP(-LN(2)/25))/(LN(2)/25)*Calculateur!DW159*Calculateur!DY159*VLOOKUP('Données projet'!$B$14,Paramètres!$A$1:$I$89,3,0)*0.475*44/12</f>
        <v>4.9634034876922435</v>
      </c>
      <c r="EC159" s="21">
        <f>EXP(-LN(2)/2)*EC158+(1-EXP(-LN(2)/2))/(LN(2)/2)*DW159*DZ159*VLOOKUP('Données projet'!$B$14,Paramètres!$A$1:$I$89,3,0)*0.475*44/12</f>
        <v>2.226347486787022E-10</v>
      </c>
      <c r="ED159" s="22">
        <f t="shared" si="178"/>
        <v>14.14209981604823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>
        <f>EJ159*VLOOKUP('Données projet'!$B$15,Paramètres!$A$1:$I$89,3,0)*VLOOKUP('Données projet'!$B$15,Paramètres!$A$1:$I$89,5,0)</f>
        <v>0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384.34044781465661</v>
      </c>
      <c r="EP159" s="59">
        <f t="shared" si="154"/>
        <v>374.99493809709708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10.280139887509366</v>
      </c>
      <c r="EW159" s="21">
        <f>EXP(-LN(2)/25)*EW158+(1-EXP(-LN(2)/25))/(LN(2)/25)*Calculateur!ER159*Calculateur!ET159*VLOOKUP('Données projet'!$B$15,Paramètres!$A$1:$I$89,3,0)*0.475*44/12</f>
        <v>5.5590119062153187</v>
      </c>
      <c r="EX159" s="21">
        <f>EXP(-LN(2)/2)*EX158+(1-EXP(-LN(2)/2))/(LN(2)/2)*ER159*EU159*VLOOKUP('Données projet'!$B$15,Paramètres!$A$1:$I$89,3,0)*0.475*44/12</f>
        <v>2.49350918520146E-10</v>
      </c>
      <c r="EY159" s="22">
        <f t="shared" si="181"/>
        <v>15.839151793974036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>
        <f>FE159*VLOOKUP('Données projet'!$B$16,Paramètres!$A$1:$I$89,3,0)*VLOOKUP('Données projet'!$B$16,Paramètres!$A$1:$I$89,5,0)</f>
        <v>0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359.57284550600366</v>
      </c>
      <c r="FK159" s="59">
        <f t="shared" si="156"/>
        <v>351.38386928091433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9.5458441812586923</v>
      </c>
      <c r="FR159" s="21">
        <f>EXP(-LN(2)/25)*FR158+(1-EXP(-LN(2)/25))/(LN(2)/25)*Calculateur!FM159*Calculateur!FO159*VLOOKUP('Données projet'!$B$16,Paramètres!$A$1:$I$89,3,0)*0.475*44/12</f>
        <v>5.1619396271999314</v>
      </c>
      <c r="FS159" s="21">
        <f>EXP(-LN(2)/2)*FS158+(1-EXP(-LN(2)/2))/(LN(2)/2)*FM159*FP159*VLOOKUP('Données projet'!$B$16,Paramètres!$A$1:$I$89,3,0)*0.475*44/12</f>
        <v>2.3154013862585113E-10</v>
      </c>
      <c r="FT159" s="22">
        <f t="shared" si="184"/>
        <v>14.707783808690165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6">
        <f t="shared" si="110"/>
        <v>256.66666666666669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2.3999999999999964</v>
      </c>
      <c r="N160" s="13">
        <f>IF('Données projet'!$A$36&gt;35,N159+M160-V159,IF(A160&lt;'Données projet'!$A$36,$K$205^A160,IF(A160='Données projet'!$A$36,'Données projet'!$B$36,N159+M160-V159)))</f>
        <v>196.68000000000038</v>
      </c>
      <c r="O160" s="13">
        <f>N160*VLOOKUP('Données projet'!$B$9,Paramètres!$A$1:$I$89,3,0)*VLOOKUP('Données projet'!$B$9,Paramètres!$A$1:$I$89,5,0)</f>
        <v>177.95606400000034</v>
      </c>
      <c r="P160" s="13">
        <f t="shared" si="141"/>
        <v>44.867146262287271</v>
      </c>
      <c r="Q160" s="20">
        <f t="shared" si="162"/>
        <v>388.08375787348422</v>
      </c>
      <c r="R160" s="59">
        <f t="shared" si="109"/>
        <v>681.41709120681753</v>
      </c>
      <c r="S160" s="59">
        <f ca="1">AVERAGE(OFFSET($R$3,0,0,'Données projet'!$E$9+1,1))-AVERAGE(OFFSET($H$3,0,0,'Données projet'!$E$9+1,1))</f>
        <v>695.0879239758051</v>
      </c>
      <c r="T160" s="59">
        <f t="shared" si="142"/>
        <v>226.22150997227476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140.74272155912169</v>
      </c>
      <c r="AA160" s="21">
        <f>EXP(-LN(2)/25)*AA159+(1-EXP(-LN(2)/25))/(LN(2)/25)*Calculateur!V160*Calculateur!X160*VLOOKUP('Données projet'!$B$9,Paramètres!$A$1:$I$89,3,0)*0.475*44/12</f>
        <v>27.587318537553362</v>
      </c>
      <c r="AB160" s="21">
        <f>EXP(-LN(2)/2)*AB159+(1-EXP(-LN(2)/2))/(LN(2)/2)*V160*Y160*VLOOKUP('Données projet'!$B$9,Paramètres!$A$1:$I$89,3,0)*0.475*44/12</f>
        <v>5.564134696766045</v>
      </c>
      <c r="AC160" s="22">
        <f t="shared" si="163"/>
        <v>173.8941747934411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1.1368683772161603E-13</v>
      </c>
      <c r="AJ160" s="13">
        <f>AI160*VLOOKUP('Données projet'!$B$10,Paramètres!$A$1:$I$89,3,0)*VLOOKUP('Données projet'!$B$10,Paramètres!$A$1:$I$89,5,0)</f>
        <v>6.7984728957526396E-14</v>
      </c>
      <c r="AK160" s="13">
        <f t="shared" si="164"/>
        <v>1.0682447123141398E-12</v>
      </c>
      <c r="AL160" s="20">
        <f t="shared" si="165"/>
        <v>1.978932943548152E-12</v>
      </c>
      <c r="AM160" s="59">
        <f t="shared" si="113"/>
        <v>293.3333333333353</v>
      </c>
      <c r="AN160" s="59">
        <f ca="1">AVERAGE(OFFSET($AM$3,0,0,'Données projet'!$E$10+1,1))-AVERAGE(OFFSET($H$3,0,0,'Données projet'!$E$10+1,1))</f>
        <v>388.12151914648013</v>
      </c>
      <c r="AO160" s="59">
        <f t="shared" si="144"/>
        <v>481.43684454382793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24.087087824091608</v>
      </c>
      <c r="AV160" s="21">
        <f>EXP(-LN(2)/25)*AV159+(1-EXP(-LN(2)/25))/(LN(2)/25)*Calculateur!AQ160*Calculateur!AS160*VLOOKUP('Données projet'!$B$10,Paramètres!$A$1:$I$89,3,0)*0.475*44/12</f>
        <v>3.7489156187498689</v>
      </c>
      <c r="AW160" s="21">
        <f>EXP(-LN(2)/2)*AW159+(1-EXP(-LN(2)/2))/(LN(2)/2)*AQ160*AT160*VLOOKUP('Données projet'!$B$10,Paramètres!$A$1:$I$89,3,0)*0.475*44/12</f>
        <v>4.8549966944377637E-14</v>
      </c>
      <c r="AX160" s="21">
        <f t="shared" si="166"/>
        <v>27.836003442841527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415.24818074059294</v>
      </c>
      <c r="BJ160" s="59">
        <f t="shared" si="146"/>
        <v>404.45811532046872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10.978423383740555</v>
      </c>
      <c r="BQ160" s="21">
        <f>EXP(-LN(2)/25)*BQ159+(1-EXP(-LN(2)/25))/(LN(2)/25)*Calculateur!BL160*Calculateur!BN160*VLOOKUP('Données projet'!$B$11,Paramètres!$A$1:$I$89,3,0)*0.475*44/12</f>
        <v>5.889768329134851</v>
      </c>
      <c r="BR160" s="21">
        <f>EXP(-LN(2)/2)*BR159+(1-EXP(-LN(2)/2))/(LN(2)/2)*BL160*BO160*VLOOKUP('Données projet'!$B$11,Paramètres!$A$1:$I$89,3,0)*0.475*44/12</f>
        <v>1.9206037943253675E-10</v>
      </c>
      <c r="BS160" s="22">
        <f t="shared" si="169"/>
        <v>16.868191713067468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384.34044781465661</v>
      </c>
      <c r="CE160" s="59">
        <f t="shared" si="148"/>
        <v>374.99493809709708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12.422402059833024</v>
      </c>
      <c r="CL160" s="21">
        <f>EXP(-LN(2)/25)*CL159+(1-EXP(-LN(2)/25))/(LN(2)/25)*Calculateur!CG160*Calculateur!CI160*VLOOKUP('Données projet'!$B$12,Paramètres!$A$1:$I$89,3,0)*0.475*44/12</f>
        <v>6.664442394537649</v>
      </c>
      <c r="CM160" s="21">
        <f>EXP(-LN(2)/2)*CM159+(1-EXP(-LN(2)/2))/(LN(2)/2)*CG160*CJ160*VLOOKUP('Données projet'!$B$12,Paramètres!$A$1:$I$89,3,0)*0.475*44/12</f>
        <v>1.7631772538068952E-10</v>
      </c>
      <c r="CN160" s="22">
        <f t="shared" si="172"/>
        <v>19.086844454546991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5.6843418860808015E-13</v>
      </c>
      <c r="CU160" s="17">
        <f>CT160*VLOOKUP('Données projet'!$B$13,Paramètres!$A$1:$I$89,3,0)*VLOOKUP('Données projet'!$B$13,Paramètres!$A$1:$I$89,5,0)</f>
        <v>3.177547114319168E-13</v>
      </c>
      <c r="CV160" s="13">
        <f t="shared" si="173"/>
        <v>4.1725404435445377E-12</v>
      </c>
      <c r="CW160" s="20">
        <f t="shared" si="174"/>
        <v>7.820597394917325E-12</v>
      </c>
      <c r="CX160" s="59">
        <f t="shared" si="122"/>
        <v>293.33333333334116</v>
      </c>
      <c r="CY160" s="59">
        <f ca="1">AVERAGE(OFFSET($CX$3,0,0,'Données projet'!$E$13+1,1))-AVERAGE(OFFSET($H$3,0,0,'Données projet'!$E$13+1,1))</f>
        <v>386.66324266750968</v>
      </c>
      <c r="CZ160" s="59">
        <f t="shared" si="150"/>
        <v>356.22149461585769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41.196918819192739</v>
      </c>
      <c r="DG160" s="21">
        <f>EXP(-LN(2)/25)*DG159+(1-EXP(-LN(2)/25))/(LN(2)/25)*Calculateur!DB160*Calculateur!DD160*VLOOKUP('Données projet'!$B$13,Paramètres!$A$1:$I$89,3,0)*0.475*44/12</f>
        <v>6.8791623759665486</v>
      </c>
      <c r="DH160" s="21">
        <f>EXP(-LN(2)/2)*DH159+(1-EXP(-LN(2)/2))/(LN(2)/2)*DB160*DE160*VLOOKUP('Données projet'!$B$13,Paramètres!$A$1:$I$89,3,0)*0.475*44/12</f>
        <v>6.0697935016050633E-12</v>
      </c>
      <c r="DI160" s="22">
        <f t="shared" si="175"/>
        <v>48.076081195165358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>
        <f>DO160*VLOOKUP('Données projet'!$B$14,Paramètres!$A$1:$I$89,3,0)*VLOOKUP('Données projet'!$B$14,Paramètres!$A$1:$I$89,5,0)</f>
        <v>0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347.17417070871716</v>
      </c>
      <c r="DU160" s="59">
        <f t="shared" si="152"/>
        <v>339.56378046986441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8.9987076915906155</v>
      </c>
      <c r="EB160" s="21">
        <f>EXP(-LN(2)/25)*EB159+(1-EXP(-LN(2)/25))/(LN(2)/25)*Calculateur!DW160*Calculateur!DY160*VLOOKUP('Données projet'!$B$14,Paramètres!$A$1:$I$89,3,0)*0.475*44/12</f>
        <v>4.8276789583072537</v>
      </c>
      <c r="EC160" s="21">
        <f>EXP(-LN(2)/2)*EC159+(1-EXP(-LN(2)/2))/(LN(2)/2)*DW160*DZ160*VLOOKUP('Données projet'!$B$14,Paramètres!$A$1:$I$89,3,0)*0.475*44/12</f>
        <v>1.5742654051847307E-10</v>
      </c>
      <c r="ED160" s="22">
        <f t="shared" si="178"/>
        <v>13.826386650055296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>
        <f>EJ160*VLOOKUP('Données projet'!$B$15,Paramètres!$A$1:$I$89,3,0)*VLOOKUP('Données projet'!$B$15,Paramètres!$A$1:$I$89,5,0)</f>
        <v>0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384.34044781465661</v>
      </c>
      <c r="EP160" s="59">
        <f t="shared" si="154"/>
        <v>374.99493809709708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10.078552614581501</v>
      </c>
      <c r="EW160" s="21">
        <f>EXP(-LN(2)/25)*EW159+(1-EXP(-LN(2)/25))/(LN(2)/25)*Calculateur!ER160*Calculateur!ET160*VLOOKUP('Données projet'!$B$15,Paramètres!$A$1:$I$89,3,0)*0.475*44/12</f>
        <v>5.4070004333041304</v>
      </c>
      <c r="EX160" s="21">
        <f>EXP(-LN(2)/2)*EX159+(1-EXP(-LN(2)/2))/(LN(2)/2)*ER160*EU160*VLOOKUP('Données projet'!$B$15,Paramètres!$A$1:$I$89,3,0)*0.475*44/12</f>
        <v>1.7631772538068952E-10</v>
      </c>
      <c r="EY160" s="22">
        <f t="shared" si="181"/>
        <v>15.485553048061949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>
        <f>FE160*VLOOKUP('Données projet'!$B$16,Paramètres!$A$1:$I$89,3,0)*VLOOKUP('Données projet'!$B$16,Paramètres!$A$1:$I$89,5,0)</f>
        <v>0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359.57284550600366</v>
      </c>
      <c r="FK160" s="59">
        <f t="shared" si="156"/>
        <v>351.38386928091433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9.3586559992542462</v>
      </c>
      <c r="FR160" s="21">
        <f>EXP(-LN(2)/25)*FR159+(1-EXP(-LN(2)/25))/(LN(2)/25)*Calculateur!FM160*Calculateur!FO160*VLOOKUP('Données projet'!$B$16,Paramètres!$A$1:$I$89,3,0)*0.475*44/12</f>
        <v>5.0207861166395418</v>
      </c>
      <c r="FS160" s="21">
        <f>EXP(-LN(2)/2)*FS159+(1-EXP(-LN(2)/2))/(LN(2)/2)*FM160*FP160*VLOOKUP('Données projet'!$B$16,Paramètres!$A$1:$I$89,3,0)*0.475*44/12</f>
        <v>1.6372360213921261E-10</v>
      </c>
      <c r="FT160" s="22">
        <f t="shared" si="184"/>
        <v>14.379442116057511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6">
        <f t="shared" si="110"/>
        <v>256.66666666666669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2.3999999999999964</v>
      </c>
      <c r="N161" s="13">
        <f>IF('Données projet'!$A$36&gt;35,N160+M161-V160,IF(A161&lt;'Données projet'!$A$36,$K$205^A161,IF(A161='Données projet'!$A$36,'Données projet'!$B$36,N160+M161-V160)))</f>
        <v>199.08000000000038</v>
      </c>
      <c r="O161" s="13">
        <f>N161*VLOOKUP('Données projet'!$B$9,Paramètres!$A$1:$I$89,3,0)*VLOOKUP('Données projet'!$B$9,Paramètres!$A$1:$I$89,5,0)</f>
        <v>180.12758400000035</v>
      </c>
      <c r="P161" s="13">
        <f t="shared" si="141"/>
        <v>45.350570085330872</v>
      </c>
      <c r="Q161" s="20">
        <f t="shared" si="162"/>
        <v>392.7077850319518</v>
      </c>
      <c r="R161" s="59">
        <f t="shared" si="109"/>
        <v>686.04111836528512</v>
      </c>
      <c r="S161" s="59">
        <f ca="1">AVERAGE(OFFSET($R$3,0,0,'Données projet'!$E$9+1,1))-AVERAGE(OFFSET($H$3,0,0,'Données projet'!$E$9+1,1))</f>
        <v>695.0879239758051</v>
      </c>
      <c r="T161" s="59">
        <f t="shared" si="142"/>
        <v>226.22150997227476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137.98284263393103</v>
      </c>
      <c r="AA161" s="21">
        <f>EXP(-LN(2)/25)*AA160+(1-EXP(-LN(2)/25))/(LN(2)/25)*Calculateur!V161*Calculateur!X161*VLOOKUP('Données projet'!$B$9,Paramètres!$A$1:$I$89,3,0)*0.475*44/12</f>
        <v>26.832941861389934</v>
      </c>
      <c r="AB161" s="21">
        <f>EXP(-LN(2)/2)*AB160+(1-EXP(-LN(2)/2))/(LN(2)/2)*V161*Y161*VLOOKUP('Données projet'!$B$9,Paramètres!$A$1:$I$89,3,0)*0.475*44/12</f>
        <v>3.934437375518625</v>
      </c>
      <c r="AC161" s="22">
        <f t="shared" si="163"/>
        <v>168.7502218708396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1.1368683772161603E-13</v>
      </c>
      <c r="AJ161" s="13">
        <f>AI161*VLOOKUP('Données projet'!$B$10,Paramètres!$A$1:$I$89,3,0)*VLOOKUP('Données projet'!$B$10,Paramètres!$A$1:$I$89,5,0)</f>
        <v>6.7984728957526396E-14</v>
      </c>
      <c r="AK161" s="13">
        <f t="shared" si="164"/>
        <v>1.0682447123141398E-12</v>
      </c>
      <c r="AL161" s="20">
        <f t="shared" si="165"/>
        <v>1.978932943548152E-12</v>
      </c>
      <c r="AM161" s="59">
        <f t="shared" si="113"/>
        <v>293.3333333333353</v>
      </c>
      <c r="AN161" s="59">
        <f ca="1">AVERAGE(OFFSET($AM$3,0,0,'Données projet'!$E$10+1,1))-AVERAGE(OFFSET($H$3,0,0,'Données projet'!$E$10+1,1))</f>
        <v>388.12151914648013</v>
      </c>
      <c r="AO161" s="59">
        <f t="shared" si="144"/>
        <v>481.43684454382793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23.614754723534062</v>
      </c>
      <c r="AV161" s="21">
        <f>EXP(-LN(2)/25)*AV160+(1-EXP(-LN(2)/25))/(LN(2)/25)*Calculateur!AQ161*Calculateur!AS161*VLOOKUP('Données projet'!$B$10,Paramètres!$A$1:$I$89,3,0)*0.475*44/12</f>
        <v>3.6464013240082496</v>
      </c>
      <c r="AW161" s="21">
        <f>EXP(-LN(2)/2)*AW160+(1-EXP(-LN(2)/2))/(LN(2)/2)*AQ161*AT161*VLOOKUP('Données projet'!$B$10,Paramètres!$A$1:$I$89,3,0)*0.475*44/12</f>
        <v>3.4330010852752153E-14</v>
      </c>
      <c r="AX161" s="21">
        <f t="shared" si="166"/>
        <v>27.261156047542347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415.24818074059294</v>
      </c>
      <c r="BJ161" s="59">
        <f t="shared" si="146"/>
        <v>404.45811532046872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10.763143197362474</v>
      </c>
      <c r="BQ161" s="21">
        <f>EXP(-LN(2)/25)*BQ160+(1-EXP(-LN(2)/25))/(LN(2)/25)*Calculateur!BL161*Calculateur!BN161*VLOOKUP('Données projet'!$B$11,Paramètres!$A$1:$I$89,3,0)*0.475*44/12</f>
        <v>5.7287123044452031</v>
      </c>
      <c r="BR161" s="21">
        <f>EXP(-LN(2)/2)*BR160+(1-EXP(-LN(2)/2))/(LN(2)/2)*BL161*BO161*VLOOKUP('Données projet'!$B$11,Paramètres!$A$1:$I$89,3,0)*0.475*44/12</f>
        <v>1.3580719669400805E-10</v>
      </c>
      <c r="BS161" s="22">
        <f t="shared" si="169"/>
        <v>16.491855501943483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384.34044781465661</v>
      </c>
      <c r="CE161" s="59">
        <f t="shared" si="148"/>
        <v>374.99493809709708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12.178806332356796</v>
      </c>
      <c r="CL161" s="21">
        <f>EXP(-LN(2)/25)*CL160+(1-EXP(-LN(2)/25))/(LN(2)/25)*Calculateur!CG161*Calculateur!CI161*VLOOKUP('Données projet'!$B$12,Paramètres!$A$1:$I$89,3,0)*0.475*44/12</f>
        <v>6.4822028667912228</v>
      </c>
      <c r="CM161" s="21">
        <f>EXP(-LN(2)/2)*CM160+(1-EXP(-LN(2)/2))/(LN(2)/2)*CG161*CJ161*VLOOKUP('Données projet'!$B$12,Paramètres!$A$1:$I$89,3,0)*0.475*44/12</f>
        <v>1.24675459260073E-10</v>
      </c>
      <c r="CN161" s="22">
        <f t="shared" si="172"/>
        <v>18.661009199272694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5.6843418860808015E-13</v>
      </c>
      <c r="CU161" s="17">
        <f>CT161*VLOOKUP('Données projet'!$B$13,Paramètres!$A$1:$I$89,3,0)*VLOOKUP('Données projet'!$B$13,Paramètres!$A$1:$I$89,5,0)</f>
        <v>3.177547114319168E-13</v>
      </c>
      <c r="CV161" s="13">
        <f t="shared" si="173"/>
        <v>4.1725404435445377E-12</v>
      </c>
      <c r="CW161" s="20">
        <f t="shared" si="174"/>
        <v>7.820597394917325E-12</v>
      </c>
      <c r="CX161" s="59">
        <f t="shared" si="122"/>
        <v>293.33333333334116</v>
      </c>
      <c r="CY161" s="59">
        <f ca="1">AVERAGE(OFFSET($CX$3,0,0,'Données projet'!$E$13+1,1))-AVERAGE(OFFSET($H$3,0,0,'Données projet'!$E$13+1,1))</f>
        <v>386.66324266750968</v>
      </c>
      <c r="CZ161" s="59">
        <f t="shared" si="150"/>
        <v>356.22149461585769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40.389072368787701</v>
      </c>
      <c r="DG161" s="21">
        <f>EXP(-LN(2)/25)*DG160+(1-EXP(-LN(2)/25))/(LN(2)/25)*Calculateur!DB161*Calculateur!DD161*VLOOKUP('Données projet'!$B$13,Paramètres!$A$1:$I$89,3,0)*0.475*44/12</f>
        <v>6.6910513190363163</v>
      </c>
      <c r="DH161" s="21">
        <f>EXP(-LN(2)/2)*DH160+(1-EXP(-LN(2)/2))/(LN(2)/2)*DB161*DE161*VLOOKUP('Données projet'!$B$13,Paramètres!$A$1:$I$89,3,0)*0.475*44/12</f>
        <v>4.2919921453869795E-12</v>
      </c>
      <c r="DI161" s="22">
        <f t="shared" si="175"/>
        <v>47.080123687828312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>
        <f>DO161*VLOOKUP('Données projet'!$B$14,Paramètres!$A$1:$I$89,3,0)*VLOOKUP('Données projet'!$B$14,Paramètres!$A$1:$I$89,5,0)</f>
        <v>0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347.17417070871716</v>
      </c>
      <c r="DU161" s="59">
        <f t="shared" si="152"/>
        <v>339.56378046986441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8.8222485224282536</v>
      </c>
      <c r="EB161" s="21">
        <f>EXP(-LN(2)/25)*EB160+(1-EXP(-LN(2)/25))/(LN(2)/25)*Calculateur!DW161*Calculateur!DY161*VLOOKUP('Données projet'!$B$14,Paramètres!$A$1:$I$89,3,0)*0.475*44/12</f>
        <v>4.6956658233157391</v>
      </c>
      <c r="EC161" s="21">
        <f>EXP(-LN(2)/2)*EC160+(1-EXP(-LN(2)/2))/(LN(2)/2)*DW161*DZ161*VLOOKUP('Données projet'!$B$14,Paramètres!$A$1:$I$89,3,0)*0.475*44/12</f>
        <v>1.113173743393511E-10</v>
      </c>
      <c r="ED161" s="22">
        <f t="shared" si="178"/>
        <v>13.51791434585531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>
        <f>EJ161*VLOOKUP('Données projet'!$B$15,Paramètres!$A$1:$I$89,3,0)*VLOOKUP('Données projet'!$B$15,Paramètres!$A$1:$I$89,5,0)</f>
        <v>0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384.34044781465661</v>
      </c>
      <c r="EP161" s="59">
        <f t="shared" si="154"/>
        <v>374.99493809709708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9.8809183451196549</v>
      </c>
      <c r="EW161" s="21">
        <f>EXP(-LN(2)/25)*EW160+(1-EXP(-LN(2)/25))/(LN(2)/25)*Calculateur!ER161*Calculateur!ET161*VLOOKUP('Données projet'!$B$15,Paramètres!$A$1:$I$89,3,0)*0.475*44/12</f>
        <v>5.259145722113634</v>
      </c>
      <c r="EX161" s="21">
        <f>EXP(-LN(2)/2)*EX160+(1-EXP(-LN(2)/2))/(LN(2)/2)*ER161*EU161*VLOOKUP('Données projet'!$B$15,Paramètres!$A$1:$I$89,3,0)*0.475*44/12</f>
        <v>1.24675459260073E-10</v>
      </c>
      <c r="EY161" s="22">
        <f t="shared" si="181"/>
        <v>15.140064067357965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>
        <f>FE161*VLOOKUP('Données projet'!$B$16,Paramètres!$A$1:$I$89,3,0)*VLOOKUP('Données projet'!$B$16,Paramètres!$A$1:$I$89,5,0)</f>
        <v>0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359.57284550600366</v>
      </c>
      <c r="FK161" s="59">
        <f t="shared" si="156"/>
        <v>351.38386928091433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9.175138463325391</v>
      </c>
      <c r="FR161" s="21">
        <f>EXP(-LN(2)/25)*FR160+(1-EXP(-LN(2)/25))/(LN(2)/25)*Calculateur!FM161*Calculateur!FO161*VLOOKUP('Données projet'!$B$16,Paramètres!$A$1:$I$89,3,0)*0.475*44/12</f>
        <v>4.8834924562483666</v>
      </c>
      <c r="FS161" s="21">
        <f>EXP(-LN(2)/2)*FS160+(1-EXP(-LN(2)/2))/(LN(2)/2)*FM161*FP161*VLOOKUP('Données projet'!$B$16,Paramètres!$A$1:$I$89,3,0)*0.475*44/12</f>
        <v>1.1577006931292559E-10</v>
      </c>
      <c r="FT161" s="22">
        <f t="shared" si="184"/>
        <v>14.058630919689529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6">
        <f t="shared" si="110"/>
        <v>256.66666666666669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>
        <f>VLOOKUP(A162,'Données projet'!$A$35:$I$55,2,0)</f>
        <v>201.48</v>
      </c>
      <c r="L162" s="12">
        <f>VLOOKUP(A162,'Données projet'!$A$35:$I$55,9,0)</f>
        <v>2.3999999999999964</v>
      </c>
      <c r="M162" s="12">
        <f t="array" ref="M162">INDEX(L:L,MIN(IF(ISNUMBER(L162:L358),ROW(L162:L358),"")))</f>
        <v>2.3999999999999964</v>
      </c>
      <c r="N162" s="13">
        <f>IF('Données projet'!$A$36&gt;35,N161+M162-V161,IF(A162&lt;'Données projet'!$A$36,$K$205^A162,IF(A162='Données projet'!$A$36,'Données projet'!$B$36,N161+M162-V161)))</f>
        <v>201.48000000000039</v>
      </c>
      <c r="O162" s="13">
        <f>N162*VLOOKUP('Données projet'!$B$9,Paramètres!$A$1:$I$89,3,0)*VLOOKUP('Données projet'!$B$9,Paramètres!$A$1:$I$89,5,0)</f>
        <v>182.29910400000034</v>
      </c>
      <c r="P162" s="13">
        <f t="shared" si="141"/>
        <v>45.833315999864418</v>
      </c>
      <c r="Q162" s="20">
        <f t="shared" si="162"/>
        <v>397.33063149976448</v>
      </c>
      <c r="R162" s="59">
        <f t="shared" si="109"/>
        <v>690.66396483309779</v>
      </c>
      <c r="S162" s="59">
        <f ca="1">AVERAGE(OFFSET($R$3,0,0,'Données projet'!$E$9+1,1))-AVERAGE(OFFSET($H$3,0,0,'Données projet'!$E$9+1,1))</f>
        <v>695.0879239758051</v>
      </c>
      <c r="T162" s="59">
        <f t="shared" si="142"/>
        <v>226.22150997227476</v>
      </c>
      <c r="U162" s="15">
        <f>IF(ISNA(VLOOKUP(A162,'Données projet'!$A$35:$I$55,3,0)),0,VLOOKUP(A162,'Données projet'!$A$35:$I$55,3,0))</f>
        <v>17</v>
      </c>
      <c r="V162" s="15">
        <f>IF(ISNA(VLOOKUP(A162,'Données projet'!$A$35:$I$55,4,0)),0,VLOOKUP(A162,'Données projet'!$A$35:$I$55,4,0))</f>
        <v>201.48</v>
      </c>
      <c r="W162" s="16">
        <f>IF(ISNA(VLOOKUP(A162,'Données projet'!$A$35:$I$55,5,0)),0%,VLOOKUP(A162,'Données projet'!$A$35:$I$55,5,0)*VLOOKUP('Données projet'!$B$9,Paramètres!$A$1:$I$89,7,0))</f>
        <v>0.19350000000000001</v>
      </c>
      <c r="X162" s="16">
        <f>IF(ISNA(VLOOKUP(A162,'Données projet'!$A$35:$I$55,6,0)),0%,VLOOKUP(A162,'Données projet'!$A$35:$I$55,6,0)*VLOOKUP('Données projet'!$B$9,Paramètres!$A$1:$I$89,7,0))</f>
        <v>2.1500000000000002E-2</v>
      </c>
      <c r="Y162" s="16">
        <f>IF(ISNA(VLOOKUP(A162,'Données projet'!$A$35:$I$55,7,0)),0%,VLOOKUP(A162,'Données projet'!$A$35:$I$55,7,0))</f>
        <v>0.05</v>
      </c>
      <c r="Z162" s="21">
        <f>EXP(-LN(2)/35)*Z161+(1-EXP(-LN(2)/35))/(LN(2)/35)*V162*W162*VLOOKUP('Données projet'!$B$9,Paramètres!$A$1:$I$89,3,0)*0.475*44/12</f>
        <v>174.27241450061467</v>
      </c>
      <c r="AA162" s="21">
        <f>EXP(-LN(2)/25)*AA161+(1-EXP(-LN(2)/25))/(LN(2)/25)*Calculateur!V162*Calculateur!X162*VLOOKUP('Données projet'!$B$9,Paramètres!$A$1:$I$89,3,0)*0.475*44/12</f>
        <v>30.414948296440013</v>
      </c>
      <c r="AB162" s="21">
        <f>EXP(-LN(2)/2)*AB161+(1-EXP(-LN(2)/2))/(LN(2)/2)*V162*Y162*VLOOKUP('Données projet'!$B$9,Paramètres!$A$1:$I$89,3,0)*0.475*44/12</f>
        <v>11.38227290500536</v>
      </c>
      <c r="AC162" s="22">
        <f t="shared" si="163"/>
        <v>216.06963570206003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1.1368683772161603E-13</v>
      </c>
      <c r="AJ162" s="13">
        <f>AI162*VLOOKUP('Données projet'!$B$10,Paramètres!$A$1:$I$89,3,0)*VLOOKUP('Données projet'!$B$10,Paramètres!$A$1:$I$89,5,0)</f>
        <v>6.7984728957526396E-14</v>
      </c>
      <c r="AK162" s="13">
        <f t="shared" si="164"/>
        <v>1.0682447123141398E-12</v>
      </c>
      <c r="AL162" s="20">
        <f t="shared" si="165"/>
        <v>1.978932943548152E-12</v>
      </c>
      <c r="AM162" s="59">
        <f t="shared" si="113"/>
        <v>293.3333333333353</v>
      </c>
      <c r="AN162" s="59">
        <f ca="1">AVERAGE(OFFSET($AM$3,0,0,'Données projet'!$E$10+1,1))-AVERAGE(OFFSET($H$3,0,0,'Données projet'!$E$10+1,1))</f>
        <v>388.12151914648013</v>
      </c>
      <c r="AO162" s="59">
        <f t="shared" si="144"/>
        <v>481.43684454382793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23.151683786983707</v>
      </c>
      <c r="AV162" s="21">
        <f>EXP(-LN(2)/25)*AV161+(1-EXP(-LN(2)/25))/(LN(2)/25)*Calculateur!AQ162*Calculateur!AS162*VLOOKUP('Données projet'!$B$10,Paramètres!$A$1:$I$89,3,0)*0.475*44/12</f>
        <v>3.5466902880473321</v>
      </c>
      <c r="AW162" s="21">
        <f>EXP(-LN(2)/2)*AW161+(1-EXP(-LN(2)/2))/(LN(2)/2)*AQ162*AT162*VLOOKUP('Données projet'!$B$10,Paramètres!$A$1:$I$89,3,0)*0.475*44/12</f>
        <v>2.4274983472188818E-14</v>
      </c>
      <c r="AX162" s="21">
        <f t="shared" si="166"/>
        <v>26.698374075031065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415.24818074059294</v>
      </c>
      <c r="BJ162" s="59">
        <f t="shared" si="146"/>
        <v>404.45811532046872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10.55208452413132</v>
      </c>
      <c r="BQ162" s="21">
        <f>EXP(-LN(2)/25)*BQ161+(1-EXP(-LN(2)/25))/(LN(2)/25)*Calculateur!BL162*Calculateur!BN162*VLOOKUP('Données projet'!$B$11,Paramètres!$A$1:$I$89,3,0)*0.475*44/12</f>
        <v>5.5720603652202625</v>
      </c>
      <c r="BR162" s="21">
        <f>EXP(-LN(2)/2)*BR161+(1-EXP(-LN(2)/2))/(LN(2)/2)*BL162*BO162*VLOOKUP('Données projet'!$B$11,Paramètres!$A$1:$I$89,3,0)*0.475*44/12</f>
        <v>9.6030189716268374E-11</v>
      </c>
      <c r="BS162" s="22">
        <f t="shared" si="169"/>
        <v>16.124144889447614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384.34044781465661</v>
      </c>
      <c r="CE162" s="59">
        <f t="shared" si="148"/>
        <v>374.99493809709708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11.939987368517654</v>
      </c>
      <c r="CL162" s="21">
        <f>EXP(-LN(2)/25)*CL161+(1-EXP(-LN(2)/25))/(LN(2)/25)*Calculateur!CG162*Calculateur!CI162*VLOOKUP('Données projet'!$B$12,Paramètres!$A$1:$I$89,3,0)*0.475*44/12</f>
        <v>6.3049466885145833</v>
      </c>
      <c r="CM162" s="21">
        <f>EXP(-LN(2)/2)*CM161+(1-EXP(-LN(2)/2))/(LN(2)/2)*CG162*CJ162*VLOOKUP('Données projet'!$B$12,Paramètres!$A$1:$I$89,3,0)*0.475*44/12</f>
        <v>8.8158862690344762E-11</v>
      </c>
      <c r="CN162" s="22">
        <f t="shared" si="172"/>
        <v>18.2449340571204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5.6843418860808015E-13</v>
      </c>
      <c r="CU162" s="17">
        <f>CT162*VLOOKUP('Données projet'!$B$13,Paramètres!$A$1:$I$89,3,0)*VLOOKUP('Données projet'!$B$13,Paramètres!$A$1:$I$89,5,0)</f>
        <v>3.177547114319168E-13</v>
      </c>
      <c r="CV162" s="13">
        <f t="shared" si="173"/>
        <v>4.1725404435445377E-12</v>
      </c>
      <c r="CW162" s="20">
        <f t="shared" si="174"/>
        <v>7.820597394917325E-12</v>
      </c>
      <c r="CX162" s="59">
        <f t="shared" si="122"/>
        <v>293.33333333334116</v>
      </c>
      <c r="CY162" s="59">
        <f ca="1">AVERAGE(OFFSET($CX$3,0,0,'Données projet'!$E$13+1,1))-AVERAGE(OFFSET($H$3,0,0,'Données projet'!$E$13+1,1))</f>
        <v>386.66324266750968</v>
      </c>
      <c r="CZ162" s="59">
        <f t="shared" si="150"/>
        <v>356.22149461585769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39.597067294537425</v>
      </c>
      <c r="DG162" s="21">
        <f>EXP(-LN(2)/25)*DG161+(1-EXP(-LN(2)/25))/(LN(2)/25)*Calculateur!DB162*Calculateur!DD162*VLOOKUP('Données projet'!$B$13,Paramètres!$A$1:$I$89,3,0)*0.475*44/12</f>
        <v>6.5080841688501723</v>
      </c>
      <c r="DH162" s="21">
        <f>EXP(-LN(2)/2)*DH161+(1-EXP(-LN(2)/2))/(LN(2)/2)*DB162*DE162*VLOOKUP('Données projet'!$B$13,Paramètres!$A$1:$I$89,3,0)*0.475*44/12</f>
        <v>3.0348967508025317E-12</v>
      </c>
      <c r="DI162" s="22">
        <f t="shared" si="175"/>
        <v>46.105151463390634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>
        <f>DO162*VLOOKUP('Données projet'!$B$14,Paramètres!$A$1:$I$89,3,0)*VLOOKUP('Données projet'!$B$14,Paramètres!$A$1:$I$89,5,0)</f>
        <v>0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347.17417070871716</v>
      </c>
      <c r="DU162" s="59">
        <f t="shared" si="152"/>
        <v>339.56378046986441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8.6492496099437002</v>
      </c>
      <c r="EB162" s="21">
        <f>EXP(-LN(2)/25)*EB161+(1-EXP(-LN(2)/25))/(LN(2)/25)*Calculateur!DW162*Calculateur!DY162*VLOOKUP('Données projet'!$B$14,Paramètres!$A$1:$I$89,3,0)*0.475*44/12</f>
        <v>4.5672625944428367</v>
      </c>
      <c r="EC162" s="21">
        <f>EXP(-LN(2)/2)*EC161+(1-EXP(-LN(2)/2))/(LN(2)/2)*DW162*DZ162*VLOOKUP('Données projet'!$B$14,Paramètres!$A$1:$I$89,3,0)*0.475*44/12</f>
        <v>7.8713270259236536E-11</v>
      </c>
      <c r="ED162" s="22">
        <f t="shared" si="178"/>
        <v>13.21651220446525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>
        <f>EJ162*VLOOKUP('Données projet'!$B$15,Paramètres!$A$1:$I$89,3,0)*VLOOKUP('Données projet'!$B$15,Paramètres!$A$1:$I$89,5,0)</f>
        <v>0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384.34044781465661</v>
      </c>
      <c r="EP162" s="59">
        <f t="shared" si="154"/>
        <v>374.99493809709708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9.6871595631369551</v>
      </c>
      <c r="EW162" s="21">
        <f>EXP(-LN(2)/25)*EW161+(1-EXP(-LN(2)/25))/(LN(2)/25)*Calculateur!ER162*Calculateur!ET162*VLOOKUP('Données projet'!$B$15,Paramètres!$A$1:$I$89,3,0)*0.475*44/12</f>
        <v>5.1153341057759834</v>
      </c>
      <c r="EX162" s="21">
        <f>EXP(-LN(2)/2)*EX161+(1-EXP(-LN(2)/2))/(LN(2)/2)*ER162*EU162*VLOOKUP('Données projet'!$B$15,Paramètres!$A$1:$I$89,3,0)*0.475*44/12</f>
        <v>8.8158862690344762E-11</v>
      </c>
      <c r="EY162" s="22">
        <f t="shared" si="181"/>
        <v>14.802493669001096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>
        <f>FE162*VLOOKUP('Données projet'!$B$16,Paramètres!$A$1:$I$89,3,0)*VLOOKUP('Données projet'!$B$16,Paramètres!$A$1:$I$89,5,0)</f>
        <v>0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359.57284550600366</v>
      </c>
      <c r="FK162" s="59">
        <f t="shared" si="156"/>
        <v>351.38386928091433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8.9952195943414566</v>
      </c>
      <c r="FR162" s="21">
        <f>EXP(-LN(2)/25)*FR161+(1-EXP(-LN(2)/25))/(LN(2)/25)*Calculateur!FM162*Calculateur!FO162*VLOOKUP('Données projet'!$B$16,Paramètres!$A$1:$I$89,3,0)*0.475*44/12</f>
        <v>4.7499530982205478</v>
      </c>
      <c r="FS162" s="21">
        <f>EXP(-LN(2)/2)*FS161+(1-EXP(-LN(2)/2))/(LN(2)/2)*FM162*FP162*VLOOKUP('Données projet'!$B$16,Paramètres!$A$1:$I$89,3,0)*0.475*44/12</f>
        <v>8.1861801069606319E-11</v>
      </c>
      <c r="FT162" s="22">
        <f t="shared" si="184"/>
        <v>13.745172692643866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6">
        <f t="shared" si="110"/>
        <v>256.66666666666669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3.979039320256561E-13</v>
      </c>
      <c r="O163" s="13">
        <f>N163*VLOOKUP('Données projet'!$B$9,Paramètres!$A$1:$I$89,3,0)*VLOOKUP('Données projet'!$B$9,Paramètres!$A$1:$I$89,5,0)</f>
        <v>3.6002347769681362E-13</v>
      </c>
      <c r="P163" s="13">
        <f t="shared" si="141"/>
        <v>4.6593569189922594E-12</v>
      </c>
      <c r="Q163" s="20">
        <f t="shared" si="162"/>
        <v>8.7420875242334695E-12</v>
      </c>
      <c r="R163" s="59">
        <f t="shared" si="109"/>
        <v>293.33333333334207</v>
      </c>
      <c r="S163" s="59">
        <f ca="1">AVERAGE(OFFSET($R$3,0,0,'Données projet'!$E$9+1,1))-AVERAGE(OFFSET($H$3,0,0,'Données projet'!$E$9+1,1))</f>
        <v>695.0879239758051</v>
      </c>
      <c r="T163" s="59">
        <f t="shared" si="142"/>
        <v>226.22150997227476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170.85503874793463</v>
      </c>
      <c r="AA163" s="21">
        <f>EXP(-LN(2)/25)*AA162+(1-EXP(-LN(2)/25))/(LN(2)/25)*Calculateur!V163*Calculateur!X163*VLOOKUP('Données projet'!$B$9,Paramètres!$A$1:$I$89,3,0)*0.475*44/12</f>
        <v>29.583249935821243</v>
      </c>
      <c r="AB163" s="21">
        <f>EXP(-LN(2)/2)*AB162+(1-EXP(-LN(2)/2))/(LN(2)/2)*V163*Y163*VLOOKUP('Données projet'!$B$9,Paramètres!$A$1:$I$89,3,0)*0.475*44/12</f>
        <v>8.0484823564451951</v>
      </c>
      <c r="AC163" s="22">
        <f t="shared" si="163"/>
        <v>208.48677104020106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1.1368683772161603E-13</v>
      </c>
      <c r="AJ163" s="13">
        <f>AI163*VLOOKUP('Données projet'!$B$10,Paramètres!$A$1:$I$89,3,0)*VLOOKUP('Données projet'!$B$10,Paramètres!$A$1:$I$89,5,0)</f>
        <v>6.7984728957526396E-14</v>
      </c>
      <c r="AK163" s="13">
        <f t="shared" si="164"/>
        <v>1.0682447123141398E-12</v>
      </c>
      <c r="AL163" s="20">
        <f t="shared" si="165"/>
        <v>1.978932943548152E-12</v>
      </c>
      <c r="AM163" s="59">
        <f t="shared" si="113"/>
        <v>293.3333333333353</v>
      </c>
      <c r="AN163" s="59">
        <f ca="1">AVERAGE(OFFSET($AM$3,0,0,'Données projet'!$E$10+1,1))-AVERAGE(OFFSET($H$3,0,0,'Données projet'!$E$10+1,1))</f>
        <v>388.12151914648013</v>
      </c>
      <c r="AO163" s="59">
        <f t="shared" si="144"/>
        <v>481.43684454382793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22.697693389053722</v>
      </c>
      <c r="AV163" s="21">
        <f>EXP(-LN(2)/25)*AV162+(1-EXP(-LN(2)/25))/(LN(2)/25)*Calculateur!AQ163*Calculateur!AS163*VLOOKUP('Données projet'!$B$10,Paramètres!$A$1:$I$89,3,0)*0.475*44/12</f>
        <v>3.4497058556083418</v>
      </c>
      <c r="AW163" s="21">
        <f>EXP(-LN(2)/2)*AW162+(1-EXP(-LN(2)/2))/(LN(2)/2)*AQ163*AT163*VLOOKUP('Données projet'!$B$10,Paramètres!$A$1:$I$89,3,0)*0.475*44/12</f>
        <v>1.7165005426376076E-14</v>
      </c>
      <c r="AX163" s="21">
        <f t="shared" si="166"/>
        <v>26.147399244662083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415.24818074059294</v>
      </c>
      <c r="BJ163" s="59">
        <f t="shared" si="146"/>
        <v>404.45811532046872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10.345164582749149</v>
      </c>
      <c r="BQ163" s="21">
        <f>EXP(-LN(2)/25)*BQ162+(1-EXP(-LN(2)/25))/(LN(2)/25)*Calculateur!BL163*Calculateur!BN163*VLOOKUP('Données projet'!$B$11,Paramètres!$A$1:$I$89,3,0)*0.475*44/12</f>
        <v>5.4196920815113954</v>
      </c>
      <c r="BR163" s="21">
        <f>EXP(-LN(2)/2)*BR162+(1-EXP(-LN(2)/2))/(LN(2)/2)*BL163*BO163*VLOOKUP('Données projet'!$B$11,Paramètres!$A$1:$I$89,3,0)*0.475*44/12</f>
        <v>6.7903598347004027E-11</v>
      </c>
      <c r="BS163" s="22">
        <f t="shared" si="169"/>
        <v>15.764856664328448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384.34044781465661</v>
      </c>
      <c r="CE163" s="59">
        <f t="shared" si="148"/>
        <v>374.99493809709708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11.705851498894214</v>
      </c>
      <c r="CL163" s="21">
        <f>EXP(-LN(2)/25)*CL162+(1-EXP(-LN(2)/25))/(LN(2)/25)*Calculateur!CG163*Calculateur!CI163*VLOOKUP('Données projet'!$B$12,Paramètres!$A$1:$I$89,3,0)*0.475*44/12</f>
        <v>6.1325375897544161</v>
      </c>
      <c r="CM163" s="21">
        <f>EXP(-LN(2)/2)*CM162+(1-EXP(-LN(2)/2))/(LN(2)/2)*CG163*CJ163*VLOOKUP('Données projet'!$B$12,Paramètres!$A$1:$I$89,3,0)*0.475*44/12</f>
        <v>6.2337729630036501E-11</v>
      </c>
      <c r="CN163" s="22">
        <f t="shared" si="172"/>
        <v>17.838389088710969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5.6843418860808015E-13</v>
      </c>
      <c r="CU163" s="17">
        <f>CT163*VLOOKUP('Données projet'!$B$13,Paramètres!$A$1:$I$89,3,0)*VLOOKUP('Données projet'!$B$13,Paramètres!$A$1:$I$89,5,0)</f>
        <v>3.177547114319168E-13</v>
      </c>
      <c r="CV163" s="13">
        <f t="shared" si="173"/>
        <v>4.1725404435445377E-12</v>
      </c>
      <c r="CW163" s="20">
        <f t="shared" si="174"/>
        <v>7.820597394917325E-12</v>
      </c>
      <c r="CX163" s="59">
        <f t="shared" si="122"/>
        <v>293.33333333334116</v>
      </c>
      <c r="CY163" s="59">
        <f ca="1">AVERAGE(OFFSET($CX$3,0,0,'Données projet'!$E$13+1,1))-AVERAGE(OFFSET($H$3,0,0,'Données projet'!$E$13+1,1))</f>
        <v>386.66324266750968</v>
      </c>
      <c r="CZ163" s="59">
        <f t="shared" si="150"/>
        <v>356.22149461585769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38.820592956717803</v>
      </c>
      <c r="DG163" s="21">
        <f>EXP(-LN(2)/25)*DG162+(1-EXP(-LN(2)/25))/(LN(2)/25)*Calculateur!DB163*Calculateur!DD163*VLOOKUP('Données projet'!$B$13,Paramètres!$A$1:$I$89,3,0)*0.475*44/12</f>
        <v>6.3301202650076922</v>
      </c>
      <c r="DH163" s="21">
        <f>EXP(-LN(2)/2)*DH162+(1-EXP(-LN(2)/2))/(LN(2)/2)*DB163*DE163*VLOOKUP('Données projet'!$B$13,Paramètres!$A$1:$I$89,3,0)*0.475*44/12</f>
        <v>2.1459960726934898E-12</v>
      </c>
      <c r="DI163" s="22">
        <f t="shared" si="175"/>
        <v>45.150713221727642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>
        <f>DO163*VLOOKUP('Données projet'!$B$14,Paramètres!$A$1:$I$89,3,0)*VLOOKUP('Données projet'!$B$14,Paramètres!$A$1:$I$89,5,0)</f>
        <v>0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347.17417070871716</v>
      </c>
      <c r="DU163" s="59">
        <f t="shared" si="152"/>
        <v>339.56378046986441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8.4796431006140516</v>
      </c>
      <c r="EB163" s="21">
        <f>EXP(-LN(2)/25)*EB162+(1-EXP(-LN(2)/25))/(LN(2)/25)*Calculateur!DW163*Calculateur!DY163*VLOOKUP('Données projet'!$B$14,Paramètres!$A$1:$I$89,3,0)*0.475*44/12</f>
        <v>4.4423705586158961</v>
      </c>
      <c r="EC163" s="21">
        <f>EXP(-LN(2)/2)*EC162+(1-EXP(-LN(2)/2))/(LN(2)/2)*DW163*DZ163*VLOOKUP('Données projet'!$B$14,Paramètres!$A$1:$I$89,3,0)*0.475*44/12</f>
        <v>5.5658687169675549E-11</v>
      </c>
      <c r="ED163" s="22">
        <f t="shared" si="178"/>
        <v>12.922013659285605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>
        <f>EJ163*VLOOKUP('Données projet'!$B$15,Paramètres!$A$1:$I$89,3,0)*VLOOKUP('Données projet'!$B$15,Paramètres!$A$1:$I$89,5,0)</f>
        <v>0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384.34044781465661</v>
      </c>
      <c r="EP163" s="59">
        <f t="shared" si="154"/>
        <v>374.99493809709708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9.4972002726877491</v>
      </c>
      <c r="EW163" s="21">
        <f>EXP(-LN(2)/25)*EW162+(1-EXP(-LN(2)/25))/(LN(2)/25)*Calculateur!ER163*Calculateur!ET163*VLOOKUP('Données projet'!$B$15,Paramètres!$A$1:$I$89,3,0)*0.475*44/12</f>
        <v>4.9754550256498096</v>
      </c>
      <c r="EX163" s="21">
        <f>EXP(-LN(2)/2)*EX162+(1-EXP(-LN(2)/2))/(LN(2)/2)*ER163*EU163*VLOOKUP('Données projet'!$B$15,Paramètres!$A$1:$I$89,3,0)*0.475*44/12</f>
        <v>6.2337729630036501E-11</v>
      </c>
      <c r="EY163" s="22">
        <f t="shared" si="181"/>
        <v>14.472655298399896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>
        <f>FE163*VLOOKUP('Données projet'!$B$16,Paramètres!$A$1:$I$89,3,0)*VLOOKUP('Données projet'!$B$16,Paramètres!$A$1:$I$89,5,0)</f>
        <v>0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359.57284550600366</v>
      </c>
      <c r="FK163" s="59">
        <f t="shared" si="156"/>
        <v>351.38386928091433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8.8188288246386222</v>
      </c>
      <c r="FR163" s="21">
        <f>EXP(-LN(2)/25)*FR162+(1-EXP(-LN(2)/25))/(LN(2)/25)*Calculateur!FM163*Calculateur!FO163*VLOOKUP('Données projet'!$B$16,Paramètres!$A$1:$I$89,3,0)*0.475*44/12</f>
        <v>4.6200653809605292</v>
      </c>
      <c r="FS163" s="21">
        <f>EXP(-LN(2)/2)*FS162+(1-EXP(-LN(2)/2))/(LN(2)/2)*FM163*FP163*VLOOKUP('Données projet'!$B$16,Paramètres!$A$1:$I$89,3,0)*0.475*44/12</f>
        <v>5.7885034656462802E-11</v>
      </c>
      <c r="FT163" s="22">
        <f t="shared" si="184"/>
        <v>13.438894205657036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6">
        <f t="shared" si="110"/>
        <v>256.66666666666669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3.979039320256561E-13</v>
      </c>
      <c r="O164" s="13">
        <f>N164*VLOOKUP('Données projet'!$B$9,Paramètres!$A$1:$I$89,3,0)*VLOOKUP('Données projet'!$B$9,Paramètres!$A$1:$I$89,5,0)</f>
        <v>3.6002347769681362E-13</v>
      </c>
      <c r="P164" s="13">
        <f t="shared" si="141"/>
        <v>4.6593569189922594E-12</v>
      </c>
      <c r="Q164" s="20">
        <f t="shared" si="162"/>
        <v>8.7420875242334695E-12</v>
      </c>
      <c r="R164" s="59">
        <f t="shared" si="109"/>
        <v>293.33333333334207</v>
      </c>
      <c r="S164" s="59">
        <f ca="1">AVERAGE(OFFSET($R$3,0,0,'Données projet'!$E$9+1,1))-AVERAGE(OFFSET($H$3,0,0,'Données projet'!$E$9+1,1))</f>
        <v>695.0879239758051</v>
      </c>
      <c r="T164" s="59">
        <f t="shared" si="142"/>
        <v>226.22150997227476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167.50467564937125</v>
      </c>
      <c r="AA164" s="21">
        <f>EXP(-LN(2)/25)*AA163+(1-EXP(-LN(2)/25))/(LN(2)/25)*Calculateur!V164*Calculateur!X164*VLOOKUP('Données projet'!$B$9,Paramètres!$A$1:$I$89,3,0)*0.475*44/12</f>
        <v>28.774294410610711</v>
      </c>
      <c r="AB164" s="21">
        <f>EXP(-LN(2)/2)*AB163+(1-EXP(-LN(2)/2))/(LN(2)/2)*V164*Y164*VLOOKUP('Données projet'!$B$9,Paramètres!$A$1:$I$89,3,0)*0.475*44/12</f>
        <v>5.6911364525026817</v>
      </c>
      <c r="AC164" s="22">
        <f t="shared" si="163"/>
        <v>201.97010651248465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1.1368683772161603E-13</v>
      </c>
      <c r="AJ164" s="13">
        <f>AI164*VLOOKUP('Données projet'!$B$10,Paramètres!$A$1:$I$89,3,0)*VLOOKUP('Données projet'!$B$10,Paramètres!$A$1:$I$89,5,0)</f>
        <v>6.7984728957526396E-14</v>
      </c>
      <c r="AK164" s="13">
        <f t="shared" si="164"/>
        <v>1.0682447123141398E-12</v>
      </c>
      <c r="AL164" s="20">
        <f t="shared" si="165"/>
        <v>1.978932943548152E-12</v>
      </c>
      <c r="AM164" s="59">
        <f t="shared" si="113"/>
        <v>293.3333333333353</v>
      </c>
      <c r="AN164" s="59">
        <f ca="1">AVERAGE(OFFSET($AM$3,0,0,'Données projet'!$E$10+1,1))-AVERAGE(OFFSET($H$3,0,0,'Données projet'!$E$10+1,1))</f>
        <v>388.12151914648013</v>
      </c>
      <c r="AO164" s="59">
        <f t="shared" si="144"/>
        <v>481.43684454382793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22.252605465920343</v>
      </c>
      <c r="AV164" s="21">
        <f>EXP(-LN(2)/25)*AV163+(1-EXP(-LN(2)/25))/(LN(2)/25)*Calculateur!AQ164*Calculateur!AS164*VLOOKUP('Données projet'!$B$10,Paramètres!$A$1:$I$89,3,0)*0.475*44/12</f>
        <v>3.355373467574585</v>
      </c>
      <c r="AW164" s="21">
        <f>EXP(-LN(2)/2)*AW163+(1-EXP(-LN(2)/2))/(LN(2)/2)*AQ164*AT164*VLOOKUP('Données projet'!$B$10,Paramètres!$A$1:$I$89,3,0)*0.475*44/12</f>
        <v>1.2137491736094409E-14</v>
      </c>
      <c r="AX164" s="21">
        <f t="shared" si="166"/>
        <v>25.607978933494937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415.24818074059294</v>
      </c>
      <c r="BJ164" s="59">
        <f t="shared" si="146"/>
        <v>404.45811532046872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10.14230221520878</v>
      </c>
      <c r="BQ164" s="21">
        <f>EXP(-LN(2)/25)*BQ163+(1-EXP(-LN(2)/25))/(LN(2)/25)*Calculateur!BL164*Calculateur!BN164*VLOOKUP('Données projet'!$B$11,Paramètres!$A$1:$I$89,3,0)*0.475*44/12</f>
        <v>5.2714903165332467</v>
      </c>
      <c r="BR164" s="21">
        <f>EXP(-LN(2)/2)*BR163+(1-EXP(-LN(2)/2))/(LN(2)/2)*BL164*BO164*VLOOKUP('Données projet'!$B$11,Paramètres!$A$1:$I$89,3,0)*0.475*44/12</f>
        <v>4.8015094858134187E-11</v>
      </c>
      <c r="BS164" s="22">
        <f t="shared" si="169"/>
        <v>15.41379253179004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384.34044781465661</v>
      </c>
      <c r="CE164" s="59">
        <f t="shared" si="148"/>
        <v>374.99493809709708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11.47630689086531</v>
      </c>
      <c r="CL164" s="21">
        <f>EXP(-LN(2)/25)*CL163+(1-EXP(-LN(2)/25))/(LN(2)/25)*Calculateur!CG164*Calculateur!CI164*VLOOKUP('Données projet'!$B$12,Paramètres!$A$1:$I$89,3,0)*0.475*44/12</f>
        <v>5.9648430268664461</v>
      </c>
      <c r="CM164" s="21">
        <f>EXP(-LN(2)/2)*CM163+(1-EXP(-LN(2)/2))/(LN(2)/2)*CG164*CJ164*VLOOKUP('Données projet'!$B$12,Paramètres!$A$1:$I$89,3,0)*0.475*44/12</f>
        <v>4.4079431345172381E-11</v>
      </c>
      <c r="CN164" s="22">
        <f t="shared" si="172"/>
        <v>17.441149917775835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5.6843418860808015E-13</v>
      </c>
      <c r="CU164" s="17">
        <f>CT164*VLOOKUP('Données projet'!$B$13,Paramètres!$A$1:$I$89,3,0)*VLOOKUP('Données projet'!$B$13,Paramètres!$A$1:$I$89,5,0)</f>
        <v>3.177547114319168E-13</v>
      </c>
      <c r="CV164" s="13">
        <f t="shared" si="173"/>
        <v>4.1725404435445377E-12</v>
      </c>
      <c r="CW164" s="20">
        <f t="shared" si="174"/>
        <v>7.820597394917325E-12</v>
      </c>
      <c r="CX164" s="59">
        <f t="shared" si="122"/>
        <v>293.33333333334116</v>
      </c>
      <c r="CY164" s="59">
        <f ca="1">AVERAGE(OFFSET($CX$3,0,0,'Données projet'!$E$13+1,1))-AVERAGE(OFFSET($H$3,0,0,'Données projet'!$E$13+1,1))</f>
        <v>386.66324266750968</v>
      </c>
      <c r="CZ164" s="59">
        <f t="shared" si="150"/>
        <v>356.22149461585769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38.059344807060242</v>
      </c>
      <c r="DG164" s="21">
        <f>EXP(-LN(2)/25)*DG163+(1-EXP(-LN(2)/25))/(LN(2)/25)*Calculateur!DB164*Calculateur!DD164*VLOOKUP('Données projet'!$B$13,Paramètres!$A$1:$I$89,3,0)*0.475*44/12</f>
        <v>6.1570227934744999</v>
      </c>
      <c r="DH164" s="21">
        <f>EXP(-LN(2)/2)*DH163+(1-EXP(-LN(2)/2))/(LN(2)/2)*DB164*DE164*VLOOKUP('Données projet'!$B$13,Paramètres!$A$1:$I$89,3,0)*0.475*44/12</f>
        <v>1.5174483754012658E-12</v>
      </c>
      <c r="DI164" s="22">
        <f t="shared" si="175"/>
        <v>44.216367600536259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>
        <f>DO164*VLOOKUP('Données projet'!$B$14,Paramètres!$A$1:$I$89,3,0)*VLOOKUP('Données projet'!$B$14,Paramètres!$A$1:$I$89,5,0)</f>
        <v>0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347.17417070871716</v>
      </c>
      <c r="DU164" s="59">
        <f t="shared" si="152"/>
        <v>339.56378046986441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8.313362471482602</v>
      </c>
      <c r="EB164" s="21">
        <f>EXP(-LN(2)/25)*EB163+(1-EXP(-LN(2)/25))/(LN(2)/25)*Calculateur!DW164*Calculateur!DY164*VLOOKUP('Données projet'!$B$14,Paramètres!$A$1:$I$89,3,0)*0.475*44/12</f>
        <v>4.3208937020764298</v>
      </c>
      <c r="EC164" s="21">
        <f>EXP(-LN(2)/2)*EC163+(1-EXP(-LN(2)/2))/(LN(2)/2)*DW164*DZ164*VLOOKUP('Données projet'!$B$14,Paramètres!$A$1:$I$89,3,0)*0.475*44/12</f>
        <v>3.9356635129618268E-11</v>
      </c>
      <c r="ED164" s="22">
        <f t="shared" si="178"/>
        <v>12.634256173598388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>
        <f>EJ164*VLOOKUP('Données projet'!$B$15,Paramètres!$A$1:$I$89,3,0)*VLOOKUP('Données projet'!$B$15,Paramètres!$A$1:$I$89,5,0)</f>
        <v>0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384.34044781465661</v>
      </c>
      <c r="EP164" s="59">
        <f t="shared" si="154"/>
        <v>374.99493809709708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9.3109659680605255</v>
      </c>
      <c r="EW164" s="21">
        <f>EXP(-LN(2)/25)*EW163+(1-EXP(-LN(2)/25))/(LN(2)/25)*Calculateur!ER164*Calculateur!ET164*VLOOKUP('Données projet'!$B$15,Paramètres!$A$1:$I$89,3,0)*0.475*44/12</f>
        <v>4.8394009463256076</v>
      </c>
      <c r="EX164" s="21">
        <f>EXP(-LN(2)/2)*EX163+(1-EXP(-LN(2)/2))/(LN(2)/2)*ER164*EU164*VLOOKUP('Données projet'!$B$15,Paramètres!$A$1:$I$89,3,0)*0.475*44/12</f>
        <v>4.4079431345172381E-11</v>
      </c>
      <c r="EY164" s="22">
        <f t="shared" si="181"/>
        <v>14.150366914430213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>
        <f>FE164*VLOOKUP('Données projet'!$B$16,Paramètres!$A$1:$I$89,3,0)*VLOOKUP('Données projet'!$B$16,Paramètres!$A$1:$I$89,5,0)</f>
        <v>0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359.57284550600366</v>
      </c>
      <c r="FK164" s="59">
        <f t="shared" si="156"/>
        <v>351.38386928091433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8.645896970341914</v>
      </c>
      <c r="FR164" s="21">
        <f>EXP(-LN(2)/25)*FR163+(1-EXP(-LN(2)/25))/(LN(2)/25)*Calculateur!FM164*Calculateur!FO164*VLOOKUP('Données projet'!$B$16,Paramètres!$A$1:$I$89,3,0)*0.475*44/12</f>
        <v>4.4937294501594849</v>
      </c>
      <c r="FS164" s="21">
        <f>EXP(-LN(2)/2)*FS163+(1-EXP(-LN(2)/2))/(LN(2)/2)*FM164*FP164*VLOOKUP('Données projet'!$B$16,Paramètres!$A$1:$I$89,3,0)*0.475*44/12</f>
        <v>4.0930900534803166E-11</v>
      </c>
      <c r="FT164" s="22">
        <f t="shared" si="184"/>
        <v>13.13962642054233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6">
        <f t="shared" si="110"/>
        <v>256.66666666666669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3.979039320256561E-13</v>
      </c>
      <c r="O165" s="13">
        <f>N165*VLOOKUP('Données projet'!$B$9,Paramètres!$A$1:$I$89,3,0)*VLOOKUP('Données projet'!$B$9,Paramètres!$A$1:$I$89,5,0)</f>
        <v>3.6002347769681362E-13</v>
      </c>
      <c r="P165" s="13">
        <f t="shared" si="141"/>
        <v>4.6593569189922594E-12</v>
      </c>
      <c r="Q165" s="20">
        <f t="shared" si="162"/>
        <v>8.7420875242334695E-12</v>
      </c>
      <c r="R165" s="59">
        <f t="shared" si="109"/>
        <v>293.33333333334207</v>
      </c>
      <c r="S165" s="59">
        <f ca="1">AVERAGE(OFFSET($R$3,0,0,'Données projet'!$E$9+1,1))-AVERAGE(OFFSET($H$3,0,0,'Données projet'!$E$9+1,1))</f>
        <v>695.0879239758051</v>
      </c>
      <c r="T165" s="59">
        <f t="shared" si="142"/>
        <v>226.22150997227476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164.22001112765099</v>
      </c>
      <c r="AA165" s="21">
        <f>EXP(-LN(2)/25)*AA164+(1-EXP(-LN(2)/25))/(LN(2)/25)*Calculateur!V165*Calculateur!X165*VLOOKUP('Données projet'!$B$9,Paramètres!$A$1:$I$89,3,0)*0.475*44/12</f>
        <v>27.987459816778184</v>
      </c>
      <c r="AB165" s="21">
        <f>EXP(-LN(2)/2)*AB164+(1-EXP(-LN(2)/2))/(LN(2)/2)*V165*Y165*VLOOKUP('Données projet'!$B$9,Paramètres!$A$1:$I$89,3,0)*0.475*44/12</f>
        <v>4.0242411782225984</v>
      </c>
      <c r="AC165" s="22">
        <f t="shared" si="163"/>
        <v>196.2317121226518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1.1368683772161603E-13</v>
      </c>
      <c r="AJ165" s="13">
        <f>AI165*VLOOKUP('Données projet'!$B$10,Paramètres!$A$1:$I$89,3,0)*VLOOKUP('Données projet'!$B$10,Paramètres!$A$1:$I$89,5,0)</f>
        <v>6.7984728957526396E-14</v>
      </c>
      <c r="AK165" s="13">
        <f t="shared" si="164"/>
        <v>1.0682447123141398E-12</v>
      </c>
      <c r="AL165" s="20">
        <f t="shared" si="165"/>
        <v>1.978932943548152E-12</v>
      </c>
      <c r="AM165" s="59">
        <f t="shared" si="113"/>
        <v>293.3333333333353</v>
      </c>
      <c r="AN165" s="59">
        <f ca="1">AVERAGE(OFFSET($AM$3,0,0,'Données projet'!$E$10+1,1))-AVERAGE(OFFSET($H$3,0,0,'Données projet'!$E$10+1,1))</f>
        <v>388.12151914648013</v>
      </c>
      <c r="AO165" s="59">
        <f t="shared" si="144"/>
        <v>481.43684454382793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21.816245445482782</v>
      </c>
      <c r="AV165" s="21">
        <f>EXP(-LN(2)/25)*AV164+(1-EXP(-LN(2)/25))/(LN(2)/25)*Calculateur!AQ165*Calculateur!AS165*VLOOKUP('Données projet'!$B$10,Paramètres!$A$1:$I$89,3,0)*0.475*44/12</f>
        <v>3.2636206036523361</v>
      </c>
      <c r="AW165" s="21">
        <f>EXP(-LN(2)/2)*AW164+(1-EXP(-LN(2)/2))/(LN(2)/2)*AQ165*AT165*VLOOKUP('Données projet'!$B$10,Paramètres!$A$1:$I$89,3,0)*0.475*44/12</f>
        <v>8.5825027131880382E-15</v>
      </c>
      <c r="AX165" s="21">
        <f t="shared" si="166"/>
        <v>25.079866049135124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415.24818074059294</v>
      </c>
      <c r="BJ165" s="59">
        <f t="shared" si="146"/>
        <v>404.45811532046872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9.9434178549620515</v>
      </c>
      <c r="BQ165" s="21">
        <f>EXP(-LN(2)/25)*BQ164+(1-EXP(-LN(2)/25))/(LN(2)/25)*Calculateur!BL165*Calculateur!BN165*VLOOKUP('Données projet'!$B$11,Paramètres!$A$1:$I$89,3,0)*0.475*44/12</f>
        <v>5.1273411366120172</v>
      </c>
      <c r="BR165" s="21">
        <f>EXP(-LN(2)/2)*BR164+(1-EXP(-LN(2)/2))/(LN(2)/2)*BL165*BO165*VLOOKUP('Données projet'!$B$11,Paramètres!$A$1:$I$89,3,0)*0.475*44/12</f>
        <v>3.3951799173502013E-11</v>
      </c>
      <c r="BS165" s="22">
        <f t="shared" si="169"/>
        <v>15.07075899160802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384.34044781465661</v>
      </c>
      <c r="CE165" s="59">
        <f t="shared" si="148"/>
        <v>374.99493809709708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11.251263512591466</v>
      </c>
      <c r="CL165" s="21">
        <f>EXP(-LN(2)/25)*CL164+(1-EXP(-LN(2)/25))/(LN(2)/25)*Calculateur!CG165*Calculateur!CI165*VLOOKUP('Données projet'!$B$12,Paramètres!$A$1:$I$89,3,0)*0.475*44/12</f>
        <v>5.8017340806193207</v>
      </c>
      <c r="CM165" s="21">
        <f>EXP(-LN(2)/2)*CM164+(1-EXP(-LN(2)/2))/(LN(2)/2)*CG165*CJ165*VLOOKUP('Données projet'!$B$12,Paramètres!$A$1:$I$89,3,0)*0.475*44/12</f>
        <v>3.116886481501825E-11</v>
      </c>
      <c r="CN165" s="22">
        <f t="shared" si="172"/>
        <v>17.052997593241955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5.6843418860808015E-13</v>
      </c>
      <c r="CU165" s="17">
        <f>CT165*VLOOKUP('Données projet'!$B$13,Paramètres!$A$1:$I$89,3,0)*VLOOKUP('Données projet'!$B$13,Paramètres!$A$1:$I$89,5,0)</f>
        <v>3.177547114319168E-13</v>
      </c>
      <c r="CV165" s="13">
        <f t="shared" si="173"/>
        <v>4.1725404435445377E-12</v>
      </c>
      <c r="CW165" s="20">
        <f t="shared" si="174"/>
        <v>7.820597394917325E-12</v>
      </c>
      <c r="CX165" s="59">
        <f t="shared" si="122"/>
        <v>293.33333333334116</v>
      </c>
      <c r="CY165" s="59">
        <f ca="1">AVERAGE(OFFSET($CX$3,0,0,'Données projet'!$E$13+1,1))-AVERAGE(OFFSET($H$3,0,0,'Données projet'!$E$13+1,1))</f>
        <v>386.66324266750968</v>
      </c>
      <c r="CZ165" s="59">
        <f t="shared" si="150"/>
        <v>356.22149461585769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37.313024269301941</v>
      </c>
      <c r="DG165" s="21">
        <f>EXP(-LN(2)/25)*DG164+(1-EXP(-LN(2)/25))/(LN(2)/25)*Calculateur!DB165*Calculateur!DD165*VLOOKUP('Données projet'!$B$13,Paramètres!$A$1:$I$89,3,0)*0.475*44/12</f>
        <v>5.9886586814031828</v>
      </c>
      <c r="DH165" s="21">
        <f>EXP(-LN(2)/2)*DH164+(1-EXP(-LN(2)/2))/(LN(2)/2)*DB165*DE165*VLOOKUP('Données projet'!$B$13,Paramètres!$A$1:$I$89,3,0)*0.475*44/12</f>
        <v>1.0729980363467449E-12</v>
      </c>
      <c r="DI165" s="22">
        <f t="shared" si="175"/>
        <v>43.301682950706194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>
        <f>DO165*VLOOKUP('Données projet'!$B$14,Paramètres!$A$1:$I$89,3,0)*VLOOKUP('Données projet'!$B$14,Paramètres!$A$1:$I$89,5,0)</f>
        <v>0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347.17417070871716</v>
      </c>
      <c r="DU165" s="59">
        <f t="shared" si="152"/>
        <v>339.56378046986441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8.1503425040672504</v>
      </c>
      <c r="EB165" s="21">
        <f>EXP(-LN(2)/25)*EB164+(1-EXP(-LN(2)/25))/(LN(2)/25)*Calculateur!DW165*Calculateur!DY165*VLOOKUP('Données projet'!$B$14,Paramètres!$A$1:$I$89,3,0)*0.475*44/12</f>
        <v>4.2027386365672257</v>
      </c>
      <c r="EC165" s="21">
        <f>EXP(-LN(2)/2)*EC164+(1-EXP(-LN(2)/2))/(LN(2)/2)*DW165*DZ165*VLOOKUP('Données projet'!$B$14,Paramètres!$A$1:$I$89,3,0)*0.475*44/12</f>
        <v>2.7829343584837774E-11</v>
      </c>
      <c r="ED165" s="22">
        <f t="shared" si="178"/>
        <v>12.353081140662306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>
        <f>EJ165*VLOOKUP('Données projet'!$B$15,Paramètres!$A$1:$I$89,3,0)*VLOOKUP('Données projet'!$B$15,Paramètres!$A$1:$I$89,5,0)</f>
        <v>0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384.34044781465661</v>
      </c>
      <c r="EP165" s="59">
        <f t="shared" si="154"/>
        <v>374.99493809709708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9.1283836045553315</v>
      </c>
      <c r="EW165" s="21">
        <f>EXP(-LN(2)/25)*EW164+(1-EXP(-LN(2)/25))/(LN(2)/25)*Calculateur!ER165*Calculateur!ET165*VLOOKUP('Données projet'!$B$15,Paramètres!$A$1:$I$89,3,0)*0.475*44/12</f>
        <v>4.7070672729552987</v>
      </c>
      <c r="EX165" s="21">
        <f>EXP(-LN(2)/2)*EX164+(1-EXP(-LN(2)/2))/(LN(2)/2)*ER165*EU165*VLOOKUP('Données projet'!$B$15,Paramètres!$A$1:$I$89,3,0)*0.475*44/12</f>
        <v>3.116886481501825E-11</v>
      </c>
      <c r="EY165" s="22">
        <f t="shared" si="181"/>
        <v>13.835450877541801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>
        <f>FE165*VLOOKUP('Données projet'!$B$16,Paramètres!$A$1:$I$89,3,0)*VLOOKUP('Données projet'!$B$16,Paramètres!$A$1:$I$89,5,0)</f>
        <v>0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359.57284550600366</v>
      </c>
      <c r="FK165" s="59">
        <f t="shared" si="156"/>
        <v>351.38386928091433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8.4763562042299476</v>
      </c>
      <c r="FR165" s="21">
        <f>EXP(-LN(2)/25)*FR164+(1-EXP(-LN(2)/25))/(LN(2)/25)*Calculateur!FM165*Calculateur!FO165*VLOOKUP('Données projet'!$B$16,Paramètres!$A$1:$I$89,3,0)*0.475*44/12</f>
        <v>4.3708481820299125</v>
      </c>
      <c r="FS165" s="21">
        <f>EXP(-LN(2)/2)*FS164+(1-EXP(-LN(2)/2))/(LN(2)/2)*FM165*FP165*VLOOKUP('Données projet'!$B$16,Paramètres!$A$1:$I$89,3,0)*0.475*44/12</f>
        <v>2.8942517328231404E-11</v>
      </c>
      <c r="FT165" s="22">
        <f t="shared" si="184"/>
        <v>12.847204386288803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6">
        <f t="shared" si="110"/>
        <v>256.66666666666669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3.979039320256561E-13</v>
      </c>
      <c r="O166" s="13">
        <f>N166*VLOOKUP('Données projet'!$B$9,Paramètres!$A$1:$I$89,3,0)*VLOOKUP('Données projet'!$B$9,Paramètres!$A$1:$I$89,5,0)</f>
        <v>3.6002347769681362E-13</v>
      </c>
      <c r="P166" s="13">
        <f t="shared" si="141"/>
        <v>4.6593569189922594E-12</v>
      </c>
      <c r="Q166" s="20">
        <f t="shared" si="162"/>
        <v>8.7420875242334695E-12</v>
      </c>
      <c r="R166" s="59">
        <f t="shared" si="109"/>
        <v>293.33333333334207</v>
      </c>
      <c r="S166" s="59">
        <f ca="1">AVERAGE(OFFSET($R$3,0,0,'Données projet'!$E$9+1,1))-AVERAGE(OFFSET($H$3,0,0,'Données projet'!$E$9+1,1))</f>
        <v>695.0879239758051</v>
      </c>
      <c r="T166" s="59">
        <f t="shared" si="142"/>
        <v>226.22150997227476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160.99975687375414</v>
      </c>
      <c r="AA166" s="21">
        <f>EXP(-LN(2)/25)*AA165+(1-EXP(-LN(2)/25))/(LN(2)/25)*Calculateur!V166*Calculateur!X166*VLOOKUP('Données projet'!$B$9,Paramètres!$A$1:$I$89,3,0)*0.475*44/12</f>
        <v>27.222141256291838</v>
      </c>
      <c r="AB166" s="21">
        <f>EXP(-LN(2)/2)*AB165+(1-EXP(-LN(2)/2))/(LN(2)/2)*V166*Y166*VLOOKUP('Données projet'!$B$9,Paramètres!$A$1:$I$89,3,0)*0.475*44/12</f>
        <v>2.8455682262513413</v>
      </c>
      <c r="AC166" s="22">
        <f t="shared" si="163"/>
        <v>191.06746635629733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1.1368683772161603E-13</v>
      </c>
      <c r="AJ166" s="13">
        <f>AI166*VLOOKUP('Données projet'!$B$10,Paramètres!$A$1:$I$89,3,0)*VLOOKUP('Données projet'!$B$10,Paramètres!$A$1:$I$89,5,0)</f>
        <v>6.7984728957526396E-14</v>
      </c>
      <c r="AK166" s="13">
        <f t="shared" si="164"/>
        <v>1.0682447123141398E-12</v>
      </c>
      <c r="AL166" s="20">
        <f t="shared" si="165"/>
        <v>1.978932943548152E-12</v>
      </c>
      <c r="AM166" s="59">
        <f t="shared" si="113"/>
        <v>293.3333333333353</v>
      </c>
      <c r="AN166" s="59">
        <f ca="1">AVERAGE(OFFSET($AM$3,0,0,'Données projet'!$E$10+1,1))-AVERAGE(OFFSET($H$3,0,0,'Données projet'!$E$10+1,1))</f>
        <v>388.12151914648013</v>
      </c>
      <c r="AO166" s="59">
        <f t="shared" si="144"/>
        <v>481.43684454382793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21.388442178892667</v>
      </c>
      <c r="AV166" s="21">
        <f>EXP(-LN(2)/25)*AV165+(1-EXP(-LN(2)/25))/(LN(2)/25)*Calculateur!AQ166*Calculateur!AS166*VLOOKUP('Données projet'!$B$10,Paramètres!$A$1:$I$89,3,0)*0.475*44/12</f>
        <v>3.1743767266191143</v>
      </c>
      <c r="AW166" s="21">
        <f>EXP(-LN(2)/2)*AW165+(1-EXP(-LN(2)/2))/(LN(2)/2)*AQ166*AT166*VLOOKUP('Données projet'!$B$10,Paramètres!$A$1:$I$89,3,0)*0.475*44/12</f>
        <v>6.0687458680472046E-15</v>
      </c>
      <c r="AX166" s="21">
        <f t="shared" si="166"/>
        <v>24.56281890551179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415.24818074059294</v>
      </c>
      <c r="BJ166" s="59">
        <f t="shared" si="146"/>
        <v>404.45811532046872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9.7484334957122787</v>
      </c>
      <c r="BQ166" s="21">
        <f>EXP(-LN(2)/25)*BQ165+(1-EXP(-LN(2)/25))/(LN(2)/25)*Calculateur!BL166*Calculateur!BN166*VLOOKUP('Données projet'!$B$11,Paramètres!$A$1:$I$89,3,0)*0.475*44/12</f>
        <v>4.9871337235962097</v>
      </c>
      <c r="BR166" s="21">
        <f>EXP(-LN(2)/2)*BR165+(1-EXP(-LN(2)/2))/(LN(2)/2)*BL166*BO166*VLOOKUP('Données projet'!$B$11,Paramètres!$A$1:$I$89,3,0)*0.475*44/12</f>
        <v>2.4007547429067094E-11</v>
      </c>
      <c r="BS166" s="22">
        <f t="shared" si="169"/>
        <v>14.735567219332497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384.34044781465661</v>
      </c>
      <c r="CE166" s="59">
        <f t="shared" si="148"/>
        <v>374.99493809709708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11.030633097702665</v>
      </c>
      <c r="CL166" s="21">
        <f>EXP(-LN(2)/25)*CL165+(1-EXP(-LN(2)/25))/(LN(2)/25)*Calculateur!CG166*Calculateur!CI166*VLOOKUP('Données projet'!$B$12,Paramètres!$A$1:$I$89,3,0)*0.475*44/12</f>
        <v>5.6430853570848498</v>
      </c>
      <c r="CM166" s="21">
        <f>EXP(-LN(2)/2)*CM165+(1-EXP(-LN(2)/2))/(LN(2)/2)*CG166*CJ166*VLOOKUP('Données projet'!$B$12,Paramètres!$A$1:$I$89,3,0)*0.475*44/12</f>
        <v>2.203971567258619E-11</v>
      </c>
      <c r="CN166" s="22">
        <f t="shared" si="172"/>
        <v>16.673718454809556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5.6843418860808015E-13</v>
      </c>
      <c r="CU166" s="17">
        <f>CT166*VLOOKUP('Données projet'!$B$13,Paramètres!$A$1:$I$89,3,0)*VLOOKUP('Données projet'!$B$13,Paramètres!$A$1:$I$89,5,0)</f>
        <v>3.177547114319168E-13</v>
      </c>
      <c r="CV166" s="13">
        <f t="shared" si="173"/>
        <v>4.1725404435445377E-12</v>
      </c>
      <c r="CW166" s="20">
        <f t="shared" si="174"/>
        <v>7.820597394917325E-12</v>
      </c>
      <c r="CX166" s="59">
        <f t="shared" si="122"/>
        <v>293.33333333334116</v>
      </c>
      <c r="CY166" s="59">
        <f ca="1">AVERAGE(OFFSET($CX$3,0,0,'Données projet'!$E$13+1,1))-AVERAGE(OFFSET($H$3,0,0,'Données projet'!$E$13+1,1))</f>
        <v>386.66324266750968</v>
      </c>
      <c r="CZ166" s="59">
        <f t="shared" si="150"/>
        <v>356.22149461585769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36.581338622078498</v>
      </c>
      <c r="DG166" s="21">
        <f>EXP(-LN(2)/25)*DG165+(1-EXP(-LN(2)/25))/(LN(2)/25)*Calculateur!DB166*Calculateur!DD166*VLOOKUP('Données projet'!$B$13,Paramètres!$A$1:$I$89,3,0)*0.475*44/12</f>
        <v>5.8248984948303404</v>
      </c>
      <c r="DH166" s="21">
        <f>EXP(-LN(2)/2)*DH165+(1-EXP(-LN(2)/2))/(LN(2)/2)*DB166*DE166*VLOOKUP('Données projet'!$B$13,Paramètres!$A$1:$I$89,3,0)*0.475*44/12</f>
        <v>7.5872418770063292E-13</v>
      </c>
      <c r="DI166" s="22">
        <f t="shared" si="175"/>
        <v>42.406237116909601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>
        <f>DO166*VLOOKUP('Données projet'!$B$14,Paramètres!$A$1:$I$89,3,0)*VLOOKUP('Données projet'!$B$14,Paramètres!$A$1:$I$89,5,0)</f>
        <v>0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347.17417070871716</v>
      </c>
      <c r="DU166" s="59">
        <f t="shared" si="152"/>
        <v>339.56378046986441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7.9905192587805525</v>
      </c>
      <c r="EB166" s="21">
        <f>EXP(-LN(2)/25)*EB165+(1-EXP(-LN(2)/25))/(LN(2)/25)*Calculateur!DW166*Calculateur!DY166*VLOOKUP('Données projet'!$B$14,Paramètres!$A$1:$I$89,3,0)*0.475*44/12</f>
        <v>4.0878145275378754</v>
      </c>
      <c r="EC166" s="21">
        <f>EXP(-LN(2)/2)*EC165+(1-EXP(-LN(2)/2))/(LN(2)/2)*DW166*DZ166*VLOOKUP('Données projet'!$B$14,Paramètres!$A$1:$I$89,3,0)*0.475*44/12</f>
        <v>1.9678317564809134E-11</v>
      </c>
      <c r="ED166" s="22">
        <f t="shared" si="178"/>
        <v>12.078333786338106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>
        <f>EJ166*VLOOKUP('Données projet'!$B$15,Paramètres!$A$1:$I$89,3,0)*VLOOKUP('Données projet'!$B$15,Paramètres!$A$1:$I$89,5,0)</f>
        <v>0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384.34044781465661</v>
      </c>
      <c r="EP166" s="59">
        <f t="shared" si="154"/>
        <v>374.99493809709708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8.9493815698342285</v>
      </c>
      <c r="EW166" s="21">
        <f>EXP(-LN(2)/25)*EW165+(1-EXP(-LN(2)/25))/(LN(2)/25)*Calculateur!ER166*Calculateur!ET166*VLOOKUP('Données projet'!$B$15,Paramètres!$A$1:$I$89,3,0)*0.475*44/12</f>
        <v>4.5783522708424265</v>
      </c>
      <c r="EX166" s="21">
        <f>EXP(-LN(2)/2)*EX165+(1-EXP(-LN(2)/2))/(LN(2)/2)*ER166*EU166*VLOOKUP('Données projet'!$B$15,Paramètres!$A$1:$I$89,3,0)*0.475*44/12</f>
        <v>2.203971567258619E-11</v>
      </c>
      <c r="EY166" s="22">
        <f t="shared" si="181"/>
        <v>13.527733840698694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>
        <f>FE166*VLOOKUP('Données projet'!$B$16,Paramètres!$A$1:$I$89,3,0)*VLOOKUP('Données projet'!$B$16,Paramètres!$A$1:$I$89,5,0)</f>
        <v>0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359.57284550600366</v>
      </c>
      <c r="FK166" s="59">
        <f t="shared" si="156"/>
        <v>351.38386928091433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8.310140029131782</v>
      </c>
      <c r="FR166" s="21">
        <f>EXP(-LN(2)/25)*FR165+(1-EXP(-LN(2)/25))/(LN(2)/25)*Calculateur!FM166*Calculateur!FO166*VLOOKUP('Données projet'!$B$16,Paramètres!$A$1:$I$89,3,0)*0.475*44/12</f>
        <v>4.251327108639388</v>
      </c>
      <c r="FS166" s="21">
        <f>EXP(-LN(2)/2)*FS165+(1-EXP(-LN(2)/2))/(LN(2)/2)*FM166*FP166*VLOOKUP('Données projet'!$B$16,Paramètres!$A$1:$I$89,3,0)*0.475*44/12</f>
        <v>2.0465450267401586E-11</v>
      </c>
      <c r="FT166" s="22">
        <f t="shared" si="184"/>
        <v>12.561467137791636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6">
        <f t="shared" si="110"/>
        <v>256.66666666666669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3.979039320256561E-13</v>
      </c>
      <c r="O167" s="13">
        <f>N167*VLOOKUP('Données projet'!$B$9,Paramètres!$A$1:$I$89,3,0)*VLOOKUP('Données projet'!$B$9,Paramètres!$A$1:$I$89,5,0)</f>
        <v>3.6002347769681362E-13</v>
      </c>
      <c r="P167" s="13">
        <f t="shared" si="141"/>
        <v>4.6593569189922594E-12</v>
      </c>
      <c r="Q167" s="20">
        <f t="shared" si="162"/>
        <v>8.7420875242334695E-12</v>
      </c>
      <c r="R167" s="59">
        <f t="shared" si="109"/>
        <v>293.33333333334207</v>
      </c>
      <c r="S167" s="59">
        <f ca="1">AVERAGE(OFFSET($R$3,0,0,'Données projet'!$E$9+1,1))-AVERAGE(OFFSET($H$3,0,0,'Données projet'!$E$9+1,1))</f>
        <v>695.0879239758051</v>
      </c>
      <c r="T167" s="59">
        <f t="shared" si="142"/>
        <v>226.22150997227476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157.84264984161504</v>
      </c>
      <c r="AA167" s="21">
        <f>EXP(-LN(2)/25)*AA166+(1-EXP(-LN(2)/25))/(LN(2)/25)*Calculateur!V167*Calculateur!X167*VLOOKUP('Données projet'!$B$9,Paramètres!$A$1:$I$89,3,0)*0.475*44/12</f>
        <v>26.477750372088344</v>
      </c>
      <c r="AB167" s="21">
        <f>EXP(-LN(2)/2)*AB166+(1-EXP(-LN(2)/2))/(LN(2)/2)*V167*Y167*VLOOKUP('Données projet'!$B$9,Paramètres!$A$1:$I$89,3,0)*0.475*44/12</f>
        <v>2.0121205891112997</v>
      </c>
      <c r="AC167" s="22">
        <f t="shared" si="163"/>
        <v>186.33252080281468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1.1368683772161603E-13</v>
      </c>
      <c r="AJ167" s="13">
        <f>AI167*VLOOKUP('Données projet'!$B$10,Paramètres!$A$1:$I$89,3,0)*VLOOKUP('Données projet'!$B$10,Paramètres!$A$1:$I$89,5,0)</f>
        <v>6.7984728957526396E-14</v>
      </c>
      <c r="AK167" s="13">
        <f t="shared" si="164"/>
        <v>1.0682447123141398E-12</v>
      </c>
      <c r="AL167" s="20">
        <f t="shared" si="165"/>
        <v>1.978932943548152E-12</v>
      </c>
      <c r="AM167" s="59">
        <f t="shared" si="113"/>
        <v>293.3333333333353</v>
      </c>
      <c r="AN167" s="59">
        <f ca="1">AVERAGE(OFFSET($AM$3,0,0,'Données projet'!$E$10+1,1))-AVERAGE(OFFSET($H$3,0,0,'Données projet'!$E$10+1,1))</f>
        <v>388.12151914648013</v>
      </c>
      <c r="AO167" s="59">
        <f t="shared" si="144"/>
        <v>481.43684454382793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20.96902787342616</v>
      </c>
      <c r="AV167" s="21">
        <f>EXP(-LN(2)/25)*AV166+(1-EXP(-LN(2)/25))/(LN(2)/25)*Calculateur!AQ167*Calculateur!AS167*VLOOKUP('Données projet'!$B$10,Paramètres!$A$1:$I$89,3,0)*0.475*44/12</f>
        <v>3.0875732280964976</v>
      </c>
      <c r="AW167" s="21">
        <f>EXP(-LN(2)/2)*AW166+(1-EXP(-LN(2)/2))/(LN(2)/2)*AQ167*AT167*VLOOKUP('Données projet'!$B$10,Paramètres!$A$1:$I$89,3,0)*0.475*44/12</f>
        <v>4.2912513565940191E-15</v>
      </c>
      <c r="AX167" s="21">
        <f t="shared" si="166"/>
        <v>24.056601101522663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415.24818074059294</v>
      </c>
      <c r="BJ167" s="59">
        <f t="shared" si="146"/>
        <v>404.45811532046872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9.5572726608186791</v>
      </c>
      <c r="BQ167" s="21">
        <f>EXP(-LN(2)/25)*BQ166+(1-EXP(-LN(2)/25))/(LN(2)/25)*Calculateur!BL167*Calculateur!BN167*VLOOKUP('Données projet'!$B$11,Paramètres!$A$1:$I$89,3,0)*0.475*44/12</f>
        <v>4.8507602896625066</v>
      </c>
      <c r="BR167" s="21">
        <f>EXP(-LN(2)/2)*BR166+(1-EXP(-LN(2)/2))/(LN(2)/2)*BL167*BO167*VLOOKUP('Données projet'!$B$11,Paramètres!$A$1:$I$89,3,0)*0.475*44/12</f>
        <v>1.6975899586751007E-11</v>
      </c>
      <c r="BS167" s="22">
        <f t="shared" si="169"/>
        <v>14.408032950498162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384.34044781465661</v>
      </c>
      <c r="CE167" s="59">
        <f t="shared" si="148"/>
        <v>374.99493809709708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10.814329110678569</v>
      </c>
      <c r="CL167" s="21">
        <f>EXP(-LN(2)/25)*CL166+(1-EXP(-LN(2)/25))/(LN(2)/25)*Calculateur!CG167*Calculateur!CI167*VLOOKUP('Données projet'!$B$12,Paramètres!$A$1:$I$89,3,0)*0.475*44/12</f>
        <v>5.4887748912384033</v>
      </c>
      <c r="CM167" s="21">
        <f>EXP(-LN(2)/2)*CM166+(1-EXP(-LN(2)/2))/(LN(2)/2)*CG167*CJ167*VLOOKUP('Données projet'!$B$12,Paramètres!$A$1:$I$89,3,0)*0.475*44/12</f>
        <v>1.5584432407509125E-11</v>
      </c>
      <c r="CN167" s="22">
        <f t="shared" si="172"/>
        <v>16.303104001932557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5.6843418860808015E-13</v>
      </c>
      <c r="CU167" s="17">
        <f>CT167*VLOOKUP('Données projet'!$B$13,Paramètres!$A$1:$I$89,3,0)*VLOOKUP('Données projet'!$B$13,Paramètres!$A$1:$I$89,5,0)</f>
        <v>3.177547114319168E-13</v>
      </c>
      <c r="CV167" s="13">
        <f t="shared" si="173"/>
        <v>4.1725404435445377E-12</v>
      </c>
      <c r="CW167" s="20">
        <f t="shared" si="174"/>
        <v>7.820597394917325E-12</v>
      </c>
      <c r="CX167" s="59">
        <f t="shared" si="122"/>
        <v>293.33333333334116</v>
      </c>
      <c r="CY167" s="59">
        <f ca="1">AVERAGE(OFFSET($CX$3,0,0,'Données projet'!$E$13+1,1))-AVERAGE(OFFSET($H$3,0,0,'Données projet'!$E$13+1,1))</f>
        <v>386.66324266750968</v>
      </c>
      <c r="CZ167" s="59">
        <f t="shared" si="150"/>
        <v>356.22149461585769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35.864000884112933</v>
      </c>
      <c r="DG167" s="21">
        <f>EXP(-LN(2)/25)*DG166+(1-EXP(-LN(2)/25))/(LN(2)/25)*Calculateur!DB167*Calculateur!DD167*VLOOKUP('Données projet'!$B$13,Paramètres!$A$1:$I$89,3,0)*0.475*44/12</f>
        <v>5.6656163391711063</v>
      </c>
      <c r="DH167" s="21">
        <f>EXP(-LN(2)/2)*DH166+(1-EXP(-LN(2)/2))/(LN(2)/2)*DB167*DE167*VLOOKUP('Données projet'!$B$13,Paramètres!$A$1:$I$89,3,0)*0.475*44/12</f>
        <v>5.3649901817337244E-13</v>
      </c>
      <c r="DI167" s="22">
        <f t="shared" si="175"/>
        <v>41.529617223284582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>
        <f>DO167*VLOOKUP('Données projet'!$B$14,Paramètres!$A$1:$I$89,3,0)*VLOOKUP('Données projet'!$B$14,Paramètres!$A$1:$I$89,5,0)</f>
        <v>0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347.17417070871716</v>
      </c>
      <c r="DU167" s="59">
        <f t="shared" si="152"/>
        <v>339.56378046986441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7.8338300498513727</v>
      </c>
      <c r="EB167" s="21">
        <f>EXP(-LN(2)/25)*EB166+(1-EXP(-LN(2)/25))/(LN(2)/25)*Calculateur!DW167*Calculateur!DY167*VLOOKUP('Données projet'!$B$14,Paramètres!$A$1:$I$89,3,0)*0.475*44/12</f>
        <v>3.9760330243135291</v>
      </c>
      <c r="EC167" s="21">
        <f>EXP(-LN(2)/2)*EC166+(1-EXP(-LN(2)/2))/(LN(2)/2)*DW167*DZ167*VLOOKUP('Données projet'!$B$14,Paramètres!$A$1:$I$89,3,0)*0.475*44/12</f>
        <v>1.3914671792418887E-11</v>
      </c>
      <c r="ED167" s="22">
        <f t="shared" si="178"/>
        <v>11.809863074178816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>
        <f>EJ167*VLOOKUP('Données projet'!$B$15,Paramètres!$A$1:$I$89,3,0)*VLOOKUP('Données projet'!$B$15,Paramètres!$A$1:$I$89,5,0)</f>
        <v>0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384.34044781465661</v>
      </c>
      <c r="EP167" s="59">
        <f t="shared" si="154"/>
        <v>374.99493809709708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8.7738896558335462</v>
      </c>
      <c r="EW167" s="21">
        <f>EXP(-LN(2)/25)*EW166+(1-EXP(-LN(2)/25))/(LN(2)/25)*Calculateur!ER167*Calculateur!ET167*VLOOKUP('Données projet'!$B$15,Paramètres!$A$1:$I$89,3,0)*0.475*44/12</f>
        <v>4.453156987231158</v>
      </c>
      <c r="EX167" s="21">
        <f>EXP(-LN(2)/2)*EX166+(1-EXP(-LN(2)/2))/(LN(2)/2)*ER167*EU167*VLOOKUP('Données projet'!$B$15,Paramètres!$A$1:$I$89,3,0)*0.475*44/12</f>
        <v>1.5584432407509125E-11</v>
      </c>
      <c r="EY167" s="22">
        <f t="shared" si="181"/>
        <v>13.227046643080287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>
        <f>FE167*VLOOKUP('Données projet'!$B$16,Paramètres!$A$1:$I$89,3,0)*VLOOKUP('Données projet'!$B$16,Paramètres!$A$1:$I$89,5,0)</f>
        <v>0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359.57284550600366</v>
      </c>
      <c r="FK167" s="59">
        <f t="shared" si="156"/>
        <v>351.38386928091433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8.1471832518454352</v>
      </c>
      <c r="FR167" s="21">
        <f>EXP(-LN(2)/25)*FR166+(1-EXP(-LN(2)/25))/(LN(2)/25)*Calculateur!FM167*Calculateur!FO167*VLOOKUP('Données projet'!$B$16,Paramètres!$A$1:$I$89,3,0)*0.475*44/12</f>
        <v>4.1350743452860677</v>
      </c>
      <c r="FS167" s="21">
        <f>EXP(-LN(2)/2)*FS166+(1-EXP(-LN(2)/2))/(LN(2)/2)*FM167*FP167*VLOOKUP('Données projet'!$B$16,Paramètres!$A$1:$I$89,3,0)*0.475*44/12</f>
        <v>1.4471258664115705E-11</v>
      </c>
      <c r="FT167" s="22">
        <f t="shared" si="184"/>
        <v>12.282257597145975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6">
        <f t="shared" si="110"/>
        <v>256.66666666666669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3.979039320256561E-13</v>
      </c>
      <c r="O168" s="13">
        <f>N168*VLOOKUP('Données projet'!$B$9,Paramètres!$A$1:$I$89,3,0)*VLOOKUP('Données projet'!$B$9,Paramètres!$A$1:$I$89,5,0)</f>
        <v>3.6002347769681362E-13</v>
      </c>
      <c r="P168" s="13">
        <f t="shared" si="141"/>
        <v>4.6593569189922594E-12</v>
      </c>
      <c r="Q168" s="20">
        <f t="shared" si="162"/>
        <v>8.7420875242334695E-12</v>
      </c>
      <c r="R168" s="59">
        <f t="shared" si="109"/>
        <v>293.33333333334207</v>
      </c>
      <c r="S168" s="59">
        <f ca="1">AVERAGE(OFFSET($R$3,0,0,'Données projet'!$E$9+1,1))-AVERAGE(OFFSET($H$3,0,0,'Données projet'!$E$9+1,1))</f>
        <v>695.0879239758051</v>
      </c>
      <c r="T168" s="59">
        <f t="shared" si="142"/>
        <v>226.22150997227476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154.74745175273105</v>
      </c>
      <c r="AA168" s="21">
        <f>EXP(-LN(2)/25)*AA167+(1-EXP(-LN(2)/25))/(LN(2)/25)*Calculateur!V168*Calculateur!X168*VLOOKUP('Données projet'!$B$9,Paramètres!$A$1:$I$89,3,0)*0.475*44/12</f>
        <v>25.753714895759213</v>
      </c>
      <c r="AB168" s="21">
        <f>EXP(-LN(2)/2)*AB167+(1-EXP(-LN(2)/2))/(LN(2)/2)*V168*Y168*VLOOKUP('Données projet'!$B$9,Paramètres!$A$1:$I$89,3,0)*0.475*44/12</f>
        <v>1.4227841131256709</v>
      </c>
      <c r="AC168" s="22">
        <f t="shared" si="163"/>
        <v>181.92395076161591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1.1368683772161603E-13</v>
      </c>
      <c r="AJ168" s="13">
        <f>AI168*VLOOKUP('Données projet'!$B$10,Paramètres!$A$1:$I$89,3,0)*VLOOKUP('Données projet'!$B$10,Paramètres!$A$1:$I$89,5,0)</f>
        <v>6.7984728957526396E-14</v>
      </c>
      <c r="AK168" s="13">
        <f t="shared" si="164"/>
        <v>1.0682447123141398E-12</v>
      </c>
      <c r="AL168" s="20">
        <f t="shared" si="165"/>
        <v>1.978932943548152E-12</v>
      </c>
      <c r="AM168" s="59">
        <f t="shared" si="113"/>
        <v>293.3333333333353</v>
      </c>
      <c r="AN168" s="59">
        <f ca="1">AVERAGE(OFFSET($AM$3,0,0,'Données projet'!$E$10+1,1))-AVERAGE(OFFSET($H$3,0,0,'Données projet'!$E$10+1,1))</f>
        <v>388.12151914648013</v>
      </c>
      <c r="AO168" s="59">
        <f t="shared" si="144"/>
        <v>481.43684454382793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20.557838026672385</v>
      </c>
      <c r="AV168" s="21">
        <f>EXP(-LN(2)/25)*AV167+(1-EXP(-LN(2)/25))/(LN(2)/25)*Calculateur!AQ168*Calculateur!AS168*VLOOKUP('Données projet'!$B$10,Paramètres!$A$1:$I$89,3,0)*0.475*44/12</f>
        <v>3.0031433758057795</v>
      </c>
      <c r="AW168" s="21">
        <f>EXP(-LN(2)/2)*AW167+(1-EXP(-LN(2)/2))/(LN(2)/2)*AQ168*AT168*VLOOKUP('Données projet'!$B$10,Paramètres!$A$1:$I$89,3,0)*0.475*44/12</f>
        <v>3.0343729340236023E-15</v>
      </c>
      <c r="AX168" s="21">
        <f t="shared" si="166"/>
        <v>23.56098140247817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415.24818074059294</v>
      </c>
      <c r="BJ168" s="59">
        <f t="shared" si="146"/>
        <v>404.45811532046872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9.3698603733007459</v>
      </c>
      <c r="BQ168" s="21">
        <f>EXP(-LN(2)/25)*BQ167+(1-EXP(-LN(2)/25))/(LN(2)/25)*Calculateur!BL168*Calculateur!BN168*VLOOKUP('Données projet'!$B$11,Paramètres!$A$1:$I$89,3,0)*0.475*44/12</f>
        <v>4.7181159944512885</v>
      </c>
      <c r="BR168" s="21">
        <f>EXP(-LN(2)/2)*BR167+(1-EXP(-LN(2)/2))/(LN(2)/2)*BL168*BO168*VLOOKUP('Données projet'!$B$11,Paramètres!$A$1:$I$89,3,0)*0.475*44/12</f>
        <v>1.2003773714533547E-11</v>
      </c>
      <c r="BS168" s="22">
        <f t="shared" si="169"/>
        <v>14.087976367764039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384.34044781465661</v>
      </c>
      <c r="CE168" s="59">
        <f t="shared" si="148"/>
        <v>374.99493809709708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10.60226671290761</v>
      </c>
      <c r="CL168" s="21">
        <f>EXP(-LN(2)/25)*CL167+(1-EXP(-LN(2)/25))/(LN(2)/25)*Calculateur!CG168*Calculateur!CI168*VLOOKUP('Données projet'!$B$12,Paramètres!$A$1:$I$89,3,0)*0.475*44/12</f>
        <v>5.3386840531953625</v>
      </c>
      <c r="CM168" s="21">
        <f>EXP(-LN(2)/2)*CM167+(1-EXP(-LN(2)/2))/(LN(2)/2)*CG168*CJ168*VLOOKUP('Données projet'!$B$12,Paramètres!$A$1:$I$89,3,0)*0.475*44/12</f>
        <v>1.1019857836293095E-11</v>
      </c>
      <c r="CN168" s="22">
        <f t="shared" si="172"/>
        <v>15.940950766113993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5.6843418860808015E-13</v>
      </c>
      <c r="CU168" s="17">
        <f>CT168*VLOOKUP('Données projet'!$B$13,Paramètres!$A$1:$I$89,3,0)*VLOOKUP('Données projet'!$B$13,Paramètres!$A$1:$I$89,5,0)</f>
        <v>3.177547114319168E-13</v>
      </c>
      <c r="CV168" s="13">
        <f t="shared" si="173"/>
        <v>4.1725404435445377E-12</v>
      </c>
      <c r="CW168" s="20">
        <f t="shared" si="174"/>
        <v>7.820597394917325E-12</v>
      </c>
      <c r="CX168" s="59">
        <f t="shared" si="122"/>
        <v>293.33333333334116</v>
      </c>
      <c r="CY168" s="59">
        <f ca="1">AVERAGE(OFFSET($CX$3,0,0,'Données projet'!$E$13+1,1))-AVERAGE(OFFSET($H$3,0,0,'Données projet'!$E$13+1,1))</f>
        <v>386.66324266750968</v>
      </c>
      <c r="CZ168" s="59">
        <f t="shared" si="150"/>
        <v>356.22149461585769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35.160729701656052</v>
      </c>
      <c r="DG168" s="21">
        <f>EXP(-LN(2)/25)*DG167+(1-EXP(-LN(2)/25))/(LN(2)/25)*Calculateur!DB168*Calculateur!DD168*VLOOKUP('Données projet'!$B$13,Paramètres!$A$1:$I$89,3,0)*0.475*44/12</f>
        <v>5.5106897624346578</v>
      </c>
      <c r="DH168" s="21">
        <f>EXP(-LN(2)/2)*DH167+(1-EXP(-LN(2)/2))/(LN(2)/2)*DB168*DE168*VLOOKUP('Données projet'!$B$13,Paramètres!$A$1:$I$89,3,0)*0.475*44/12</f>
        <v>3.7936209385031646E-13</v>
      </c>
      <c r="DI168" s="22">
        <f t="shared" si="175"/>
        <v>40.671419464091088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>
        <f>DO168*VLOOKUP('Données projet'!$B$14,Paramètres!$A$1:$I$89,3,0)*VLOOKUP('Données projet'!$B$14,Paramètres!$A$1:$I$89,5,0)</f>
        <v>0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347.17417070871716</v>
      </c>
      <c r="DU168" s="59">
        <f t="shared" si="152"/>
        <v>339.56378046986441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7.6802134207383128</v>
      </c>
      <c r="EB168" s="21">
        <f>EXP(-LN(2)/25)*EB167+(1-EXP(-LN(2)/25))/(LN(2)/25)*Calculateur!DW168*Calculateur!DY168*VLOOKUP('Données projet'!$B$14,Paramètres!$A$1:$I$89,3,0)*0.475*44/12</f>
        <v>3.8673081921731862</v>
      </c>
      <c r="EC168" s="21">
        <f>EXP(-LN(2)/2)*EC167+(1-EXP(-LN(2)/2))/(LN(2)/2)*DW168*DZ168*VLOOKUP('Données projet'!$B$14,Paramètres!$A$1:$I$89,3,0)*0.475*44/12</f>
        <v>9.839158782404567E-12</v>
      </c>
      <c r="ED168" s="22">
        <f t="shared" si="178"/>
        <v>11.547521612921338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>
        <f>EJ168*VLOOKUP('Données projet'!$B$15,Paramètres!$A$1:$I$89,3,0)*VLOOKUP('Données projet'!$B$15,Paramètres!$A$1:$I$89,5,0)</f>
        <v>0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384.34044781465661</v>
      </c>
      <c r="EP168" s="59">
        <f t="shared" si="154"/>
        <v>374.99493809709708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8.6018390312269197</v>
      </c>
      <c r="EW168" s="21">
        <f>EXP(-LN(2)/25)*EW167+(1-EXP(-LN(2)/25))/(LN(2)/25)*Calculateur!ER168*Calculateur!ET168*VLOOKUP('Données projet'!$B$15,Paramètres!$A$1:$I$89,3,0)*0.475*44/12</f>
        <v>4.331385175233974</v>
      </c>
      <c r="EX168" s="21">
        <f>EXP(-LN(2)/2)*EX167+(1-EXP(-LN(2)/2))/(LN(2)/2)*ER168*EU168*VLOOKUP('Données projet'!$B$15,Paramètres!$A$1:$I$89,3,0)*0.475*44/12</f>
        <v>1.1019857836293095E-11</v>
      </c>
      <c r="EY168" s="22">
        <f t="shared" si="181"/>
        <v>12.933224206471914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>
        <f>FE168*VLOOKUP('Données projet'!$B$16,Paramètres!$A$1:$I$89,3,0)*VLOOKUP('Données projet'!$B$16,Paramètres!$A$1:$I$89,5,0)</f>
        <v>0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359.57284550600366</v>
      </c>
      <c r="FK168" s="59">
        <f t="shared" si="156"/>
        <v>351.38386928091433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7.9874219575678529</v>
      </c>
      <c r="FR168" s="21">
        <f>EXP(-LN(2)/25)*FR167+(1-EXP(-LN(2)/25))/(LN(2)/25)*Calculateur!FM168*Calculateur!FO168*VLOOKUP('Données projet'!$B$16,Paramètres!$A$1:$I$89,3,0)*0.475*44/12</f>
        <v>4.0220005198601108</v>
      </c>
      <c r="FS168" s="21">
        <f>EXP(-LN(2)/2)*FS167+(1-EXP(-LN(2)/2))/(LN(2)/2)*FM168*FP168*VLOOKUP('Données projet'!$B$16,Paramètres!$A$1:$I$89,3,0)*0.475*44/12</f>
        <v>1.0232725133700795E-11</v>
      </c>
      <c r="FT168" s="22">
        <f t="shared" si="184"/>
        <v>12.009422477438198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6">
        <f t="shared" si="110"/>
        <v>256.66666666666669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3.979039320256561E-13</v>
      </c>
      <c r="O169" s="13">
        <f>N169*VLOOKUP('Données projet'!$B$9,Paramètres!$A$1:$I$89,3,0)*VLOOKUP('Données projet'!$B$9,Paramètres!$A$1:$I$89,5,0)</f>
        <v>3.6002347769681362E-13</v>
      </c>
      <c r="P169" s="13">
        <f t="shared" si="141"/>
        <v>4.6593569189922594E-12</v>
      </c>
      <c r="Q169" s="20">
        <f t="shared" si="162"/>
        <v>8.7420875242334695E-12</v>
      </c>
      <c r="R169" s="59">
        <f t="shared" si="109"/>
        <v>293.33333333334207</v>
      </c>
      <c r="S169" s="59">
        <f ca="1">AVERAGE(OFFSET($R$3,0,0,'Données projet'!$E$9+1,1))-AVERAGE(OFFSET($H$3,0,0,'Données projet'!$E$9+1,1))</f>
        <v>695.0879239758051</v>
      </c>
      <c r="T169" s="59">
        <f t="shared" si="142"/>
        <v>226.22150997227476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151.71294861048565</v>
      </c>
      <c r="AA169" s="21">
        <f>EXP(-LN(2)/25)*AA168+(1-EXP(-LN(2)/25))/(LN(2)/25)*Calculateur!V169*Calculateur!X169*VLOOKUP('Données projet'!$B$9,Paramètres!$A$1:$I$89,3,0)*0.475*44/12</f>
        <v>25.04947820760567</v>
      </c>
      <c r="AB169" s="21">
        <f>EXP(-LN(2)/2)*AB168+(1-EXP(-LN(2)/2))/(LN(2)/2)*V169*Y169*VLOOKUP('Données projet'!$B$9,Paramètres!$A$1:$I$89,3,0)*0.475*44/12</f>
        <v>1.0060602945556498</v>
      </c>
      <c r="AC169" s="22">
        <f t="shared" si="163"/>
        <v>177.76848711264697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1.1368683772161603E-13</v>
      </c>
      <c r="AJ169" s="13">
        <f>AI169*VLOOKUP('Données projet'!$B$10,Paramètres!$A$1:$I$89,3,0)*VLOOKUP('Données projet'!$B$10,Paramètres!$A$1:$I$89,5,0)</f>
        <v>6.7984728957526396E-14</v>
      </c>
      <c r="AK169" s="13">
        <f t="shared" si="164"/>
        <v>1.0682447123141398E-12</v>
      </c>
      <c r="AL169" s="20">
        <f t="shared" si="165"/>
        <v>1.978932943548152E-12</v>
      </c>
      <c r="AM169" s="59">
        <f t="shared" si="113"/>
        <v>293.3333333333353</v>
      </c>
      <c r="AN169" s="59">
        <f ca="1">AVERAGE(OFFSET($AM$3,0,0,'Données projet'!$E$10+1,1))-AVERAGE(OFFSET($H$3,0,0,'Données projet'!$E$10+1,1))</f>
        <v>388.12151914648013</v>
      </c>
      <c r="AO169" s="59">
        <f t="shared" si="144"/>
        <v>481.43684454382793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20.15471136201241</v>
      </c>
      <c r="AV169" s="21">
        <f>EXP(-LN(2)/25)*AV168+(1-EXP(-LN(2)/25))/(LN(2)/25)*Calculateur!AQ169*Calculateur!AS169*VLOOKUP('Données projet'!$B$10,Paramètres!$A$1:$I$89,3,0)*0.475*44/12</f>
        <v>2.9210222622659243</v>
      </c>
      <c r="AW169" s="21">
        <f>EXP(-LN(2)/2)*AW168+(1-EXP(-LN(2)/2))/(LN(2)/2)*AQ169*AT169*VLOOKUP('Données projet'!$B$10,Paramètres!$A$1:$I$89,3,0)*0.475*44/12</f>
        <v>2.1456256782970096E-15</v>
      </c>
      <c r="AX169" s="21">
        <f t="shared" si="166"/>
        <v>23.075733624278339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415.24818074059294</v>
      </c>
      <c r="BJ169" s="59">
        <f t="shared" si="146"/>
        <v>404.45811532046872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9.1861231264308323</v>
      </c>
      <c r="BQ169" s="21">
        <f>EXP(-LN(2)/25)*BQ168+(1-EXP(-LN(2)/25))/(LN(2)/25)*Calculateur!BL169*Calculateur!BN169*VLOOKUP('Données projet'!$B$11,Paramètres!$A$1:$I$89,3,0)*0.475*44/12</f>
        <v>4.589098864468081</v>
      </c>
      <c r="BR169" s="21">
        <f>EXP(-LN(2)/2)*BR168+(1-EXP(-LN(2)/2))/(LN(2)/2)*BL169*BO169*VLOOKUP('Données projet'!$B$11,Paramètres!$A$1:$I$89,3,0)*0.475*44/12</f>
        <v>8.4879497933755033E-12</v>
      </c>
      <c r="BS169" s="22">
        <f t="shared" si="169"/>
        <v>13.775221990907401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384.34044781465661</v>
      </c>
      <c r="CE169" s="59">
        <f t="shared" si="148"/>
        <v>374.99493809709708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10.394362729411649</v>
      </c>
      <c r="CL169" s="21">
        <f>EXP(-LN(2)/25)*CL168+(1-EXP(-LN(2)/25))/(LN(2)/25)*Calculateur!CG169*Calculateur!CI169*VLOOKUP('Données projet'!$B$12,Paramètres!$A$1:$I$89,3,0)*0.475*44/12</f>
        <v>5.1926974570115423</v>
      </c>
      <c r="CM169" s="21">
        <f>EXP(-LN(2)/2)*CM168+(1-EXP(-LN(2)/2))/(LN(2)/2)*CG169*CJ169*VLOOKUP('Données projet'!$B$12,Paramètres!$A$1:$I$89,3,0)*0.475*44/12</f>
        <v>7.7922162037545626E-12</v>
      </c>
      <c r="CN169" s="22">
        <f t="shared" si="172"/>
        <v>15.587060186430984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5.6843418860808015E-13</v>
      </c>
      <c r="CU169" s="17">
        <f>CT169*VLOOKUP('Données projet'!$B$13,Paramètres!$A$1:$I$89,3,0)*VLOOKUP('Données projet'!$B$13,Paramètres!$A$1:$I$89,5,0)</f>
        <v>3.177547114319168E-13</v>
      </c>
      <c r="CV169" s="13">
        <f t="shared" si="173"/>
        <v>4.1725404435445377E-12</v>
      </c>
      <c r="CW169" s="20">
        <f t="shared" si="174"/>
        <v>7.820597394917325E-12</v>
      </c>
      <c r="CX169" s="59">
        <f t="shared" si="122"/>
        <v>293.33333333334116</v>
      </c>
      <c r="CY169" s="59">
        <f ca="1">AVERAGE(OFFSET($CX$3,0,0,'Données projet'!$E$13+1,1))-AVERAGE(OFFSET($H$3,0,0,'Données projet'!$E$13+1,1))</f>
        <v>386.66324266750968</v>
      </c>
      <c r="CZ169" s="59">
        <f t="shared" si="150"/>
        <v>356.22149461585769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34.471249238134085</v>
      </c>
      <c r="DG169" s="21">
        <f>EXP(-LN(2)/25)*DG168+(1-EXP(-LN(2)/25))/(LN(2)/25)*Calculateur!DB169*Calculateur!DD169*VLOOKUP('Données projet'!$B$13,Paramètres!$A$1:$I$89,3,0)*0.475*44/12</f>
        <v>5.3599996610863023</v>
      </c>
      <c r="DH169" s="21">
        <f>EXP(-LN(2)/2)*DH168+(1-EXP(-LN(2)/2))/(LN(2)/2)*DB169*DE169*VLOOKUP('Données projet'!$B$13,Paramètres!$A$1:$I$89,3,0)*0.475*44/12</f>
        <v>2.6824950908668622E-13</v>
      </c>
      <c r="DI169" s="22">
        <f t="shared" si="175"/>
        <v>39.831248899220654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>
        <f>DO169*VLOOKUP('Données projet'!$B$14,Paramètres!$A$1:$I$89,3,0)*VLOOKUP('Données projet'!$B$14,Paramètres!$A$1:$I$89,5,0)</f>
        <v>0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347.17417070871716</v>
      </c>
      <c r="DU169" s="59">
        <f t="shared" si="152"/>
        <v>339.56378046986441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7.5296091200252686</v>
      </c>
      <c r="EB169" s="21">
        <f>EXP(-LN(2)/25)*EB168+(1-EXP(-LN(2)/25))/(LN(2)/25)*Calculateur!DW169*Calculateur!DY169*VLOOKUP('Données projet'!$B$14,Paramètres!$A$1:$I$89,3,0)*0.475*44/12</f>
        <v>3.7615564462853115</v>
      </c>
      <c r="EC169" s="21">
        <f>EXP(-LN(2)/2)*EC168+(1-EXP(-LN(2)/2))/(LN(2)/2)*DW169*DZ169*VLOOKUP('Données projet'!$B$14,Paramètres!$A$1:$I$89,3,0)*0.475*44/12</f>
        <v>6.9573358962094436E-12</v>
      </c>
      <c r="ED169" s="22">
        <f t="shared" si="178"/>
        <v>11.291165566317538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>
        <f>EJ169*VLOOKUP('Données projet'!$B$15,Paramètres!$A$1:$I$89,3,0)*VLOOKUP('Données projet'!$B$15,Paramètres!$A$1:$I$89,5,0)</f>
        <v>0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384.34044781465661</v>
      </c>
      <c r="EP169" s="59">
        <f t="shared" si="154"/>
        <v>374.99493809709708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8.4331622144283092</v>
      </c>
      <c r="EW169" s="21">
        <f>EXP(-LN(2)/25)*EW168+(1-EXP(-LN(2)/25))/(LN(2)/25)*Calculateur!ER169*Calculateur!ET169*VLOOKUP('Données projet'!$B$15,Paramètres!$A$1:$I$89,3,0)*0.475*44/12</f>
        <v>4.2129432198395538</v>
      </c>
      <c r="EX169" s="21">
        <f>EXP(-LN(2)/2)*EX168+(1-EXP(-LN(2)/2))/(LN(2)/2)*ER169*EU169*VLOOKUP('Données projet'!$B$15,Paramètres!$A$1:$I$89,3,0)*0.475*44/12</f>
        <v>7.7922162037545626E-12</v>
      </c>
      <c r="EY169" s="22">
        <f t="shared" si="181"/>
        <v>12.646105434275656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>
        <f>FE169*VLOOKUP('Données projet'!$B$16,Paramètres!$A$1:$I$89,3,0)*VLOOKUP('Données projet'!$B$16,Paramètres!$A$1:$I$89,5,0)</f>
        <v>0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359.57284550600366</v>
      </c>
      <c r="FK169" s="59">
        <f t="shared" si="156"/>
        <v>351.38386928091433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7.8307934848262866</v>
      </c>
      <c r="FR169" s="21">
        <f>EXP(-LN(2)/25)*FR168+(1-EXP(-LN(2)/25))/(LN(2)/25)*Calculateur!FM169*Calculateur!FO169*VLOOKUP('Données projet'!$B$16,Paramètres!$A$1:$I$89,3,0)*0.475*44/12</f>
        <v>3.9120187041367211</v>
      </c>
      <c r="FS169" s="21">
        <f>EXP(-LN(2)/2)*FS168+(1-EXP(-LN(2)/2))/(LN(2)/2)*FM169*FP169*VLOOKUP('Données projet'!$B$16,Paramètres!$A$1:$I$89,3,0)*0.475*44/12</f>
        <v>7.2356293320578535E-12</v>
      </c>
      <c r="FT169" s="22">
        <f t="shared" si="184"/>
        <v>11.742812188970243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6">
        <f t="shared" si="110"/>
        <v>256.66666666666669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3.979039320256561E-13</v>
      </c>
      <c r="O170" s="13">
        <f>N170*VLOOKUP('Données projet'!$B$9,Paramètres!$A$1:$I$89,3,0)*VLOOKUP('Données projet'!$B$9,Paramètres!$A$1:$I$89,5,0)</f>
        <v>3.6002347769681362E-13</v>
      </c>
      <c r="P170" s="13">
        <f t="shared" si="141"/>
        <v>4.6593569189922594E-12</v>
      </c>
      <c r="Q170" s="20">
        <f t="shared" si="162"/>
        <v>8.7420875242334695E-12</v>
      </c>
      <c r="R170" s="59">
        <f t="shared" si="109"/>
        <v>293.33333333334207</v>
      </c>
      <c r="S170" s="59">
        <f ca="1">AVERAGE(OFFSET($R$3,0,0,'Données projet'!$E$9+1,1))-AVERAGE(OFFSET($H$3,0,0,'Données projet'!$E$9+1,1))</f>
        <v>695.0879239758051</v>
      </c>
      <c r="T170" s="59">
        <f t="shared" si="142"/>
        <v>226.22150997227476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148.73795022399554</v>
      </c>
      <c r="AA170" s="21">
        <f>EXP(-LN(2)/25)*AA169+(1-EXP(-LN(2)/25))/(LN(2)/25)*Calculateur!V170*Calculateur!X170*VLOOKUP('Données projet'!$B$9,Paramètres!$A$1:$I$89,3,0)*0.475*44/12</f>
        <v>24.364498908723885</v>
      </c>
      <c r="AB170" s="21">
        <f>EXP(-LN(2)/2)*AB169+(1-EXP(-LN(2)/2))/(LN(2)/2)*V170*Y170*VLOOKUP('Données projet'!$B$9,Paramètres!$A$1:$I$89,3,0)*0.475*44/12</f>
        <v>0.71139205656283544</v>
      </c>
      <c r="AC170" s="22">
        <f t="shared" si="163"/>
        <v>173.81384118928224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1.1368683772161603E-13</v>
      </c>
      <c r="AJ170" s="13">
        <f>AI170*VLOOKUP('Données projet'!$B$10,Paramètres!$A$1:$I$89,3,0)*VLOOKUP('Données projet'!$B$10,Paramètres!$A$1:$I$89,5,0)</f>
        <v>6.7984728957526396E-14</v>
      </c>
      <c r="AK170" s="13">
        <f t="shared" si="164"/>
        <v>1.0682447123141398E-12</v>
      </c>
      <c r="AL170" s="20">
        <f t="shared" si="165"/>
        <v>1.978932943548152E-12</v>
      </c>
      <c r="AM170" s="59">
        <f t="shared" si="113"/>
        <v>293.3333333333353</v>
      </c>
      <c r="AN170" s="59">
        <f ca="1">AVERAGE(OFFSET($AM$3,0,0,'Données projet'!$E$10+1,1))-AVERAGE(OFFSET($H$3,0,0,'Données projet'!$E$10+1,1))</f>
        <v>388.12151914648013</v>
      </c>
      <c r="AO170" s="59">
        <f t="shared" si="144"/>
        <v>481.43684454382793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19.75948976536343</v>
      </c>
      <c r="AV170" s="21">
        <f>EXP(-LN(2)/25)*AV169+(1-EXP(-LN(2)/25))/(LN(2)/25)*Calculateur!AQ170*Calculateur!AS170*VLOOKUP('Données projet'!$B$10,Paramètres!$A$1:$I$89,3,0)*0.475*44/12</f>
        <v>2.8411467548943778</v>
      </c>
      <c r="AW170" s="21">
        <f>EXP(-LN(2)/2)*AW169+(1-EXP(-LN(2)/2))/(LN(2)/2)*AQ170*AT170*VLOOKUP('Données projet'!$B$10,Paramètres!$A$1:$I$89,3,0)*0.475*44/12</f>
        <v>1.5171864670118012E-15</v>
      </c>
      <c r="AX170" s="21">
        <f t="shared" si="166"/>
        <v>22.600636520257808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415.24818074059294</v>
      </c>
      <c r="BJ170" s="59">
        <f t="shared" si="146"/>
        <v>404.45811532046872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9.0059888549033822</v>
      </c>
      <c r="BQ170" s="21">
        <f>EXP(-LN(2)/25)*BQ169+(1-EXP(-LN(2)/25))/(LN(2)/25)*Calculateur!BL170*Calculateur!BN170*VLOOKUP('Données projet'!$B$11,Paramètres!$A$1:$I$89,3,0)*0.475*44/12</f>
        <v>4.4636097146889808</v>
      </c>
      <c r="BR170" s="21">
        <f>EXP(-LN(2)/2)*BR169+(1-EXP(-LN(2)/2))/(LN(2)/2)*BL170*BO170*VLOOKUP('Données projet'!$B$11,Paramètres!$A$1:$I$89,3,0)*0.475*44/12</f>
        <v>6.0018868572667734E-12</v>
      </c>
      <c r="BS170" s="22">
        <f t="shared" si="169"/>
        <v>13.469598569598366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384.34044781465661</v>
      </c>
      <c r="CE170" s="59">
        <f t="shared" si="148"/>
        <v>374.99493809709708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10.190535616223135</v>
      </c>
      <c r="CL170" s="21">
        <f>EXP(-LN(2)/25)*CL169+(1-EXP(-LN(2)/25))/(LN(2)/25)*Calculateur!CG170*Calculateur!CI170*VLOOKUP('Données projet'!$B$12,Paramètres!$A$1:$I$89,3,0)*0.475*44/12</f>
        <v>5.05070287197747</v>
      </c>
      <c r="CM170" s="21">
        <f>EXP(-LN(2)/2)*CM169+(1-EXP(-LN(2)/2))/(LN(2)/2)*CG170*CJ170*VLOOKUP('Données projet'!$B$12,Paramètres!$A$1:$I$89,3,0)*0.475*44/12</f>
        <v>5.5099289181465476E-12</v>
      </c>
      <c r="CN170" s="22">
        <f t="shared" si="172"/>
        <v>15.241238488206115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5.6843418860808015E-13</v>
      </c>
      <c r="CU170" s="17">
        <f>CT170*VLOOKUP('Données projet'!$B$13,Paramètres!$A$1:$I$89,3,0)*VLOOKUP('Données projet'!$B$13,Paramètres!$A$1:$I$89,5,0)</f>
        <v>3.177547114319168E-13</v>
      </c>
      <c r="CV170" s="13">
        <f t="shared" si="173"/>
        <v>4.1725404435445377E-12</v>
      </c>
      <c r="CW170" s="20">
        <f t="shared" si="174"/>
        <v>7.820597394917325E-12</v>
      </c>
      <c r="CX170" s="59">
        <f t="shared" si="122"/>
        <v>293.33333333334116</v>
      </c>
      <c r="CY170" s="59">
        <f ca="1">AVERAGE(OFFSET($CX$3,0,0,'Données projet'!$E$13+1,1))-AVERAGE(OFFSET($H$3,0,0,'Données projet'!$E$13+1,1))</f>
        <v>386.66324266750968</v>
      </c>
      <c r="CZ170" s="59">
        <f t="shared" si="150"/>
        <v>356.22149461585769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33.795289065960226</v>
      </c>
      <c r="DG170" s="21">
        <f>EXP(-LN(2)/25)*DG169+(1-EXP(-LN(2)/25))/(LN(2)/25)*Calculateur!DB170*Calculateur!DD170*VLOOKUP('Données projet'!$B$13,Paramètres!$A$1:$I$89,3,0)*0.475*44/12</f>
        <v>5.2134301884837653</v>
      </c>
      <c r="DH170" s="21">
        <f>EXP(-LN(2)/2)*DH169+(1-EXP(-LN(2)/2))/(LN(2)/2)*DB170*DE170*VLOOKUP('Données projet'!$B$13,Paramètres!$A$1:$I$89,3,0)*0.475*44/12</f>
        <v>1.8968104692515823E-13</v>
      </c>
      <c r="DI170" s="22">
        <f t="shared" si="175"/>
        <v>39.008719254444181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>
        <f>DO170*VLOOKUP('Données projet'!$B$14,Paramètres!$A$1:$I$89,3,0)*VLOOKUP('Données projet'!$B$14,Paramètres!$A$1:$I$89,5,0)</f>
        <v>0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347.17417070871716</v>
      </c>
      <c r="DU170" s="59">
        <f t="shared" si="152"/>
        <v>339.56378046986441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7.3819580777896538</v>
      </c>
      <c r="EB170" s="21">
        <f>EXP(-LN(2)/25)*EB169+(1-EXP(-LN(2)/25))/(LN(2)/25)*Calculateur!DW170*Calculateur!DY170*VLOOKUP('Données projet'!$B$14,Paramètres!$A$1:$I$89,3,0)*0.475*44/12</f>
        <v>3.6586964874499834</v>
      </c>
      <c r="EC170" s="21">
        <f>EXP(-LN(2)/2)*EC169+(1-EXP(-LN(2)/2))/(LN(2)/2)*DW170*DZ170*VLOOKUP('Données projet'!$B$14,Paramètres!$A$1:$I$89,3,0)*0.475*44/12</f>
        <v>4.9195793912022835E-12</v>
      </c>
      <c r="ED170" s="22">
        <f t="shared" si="178"/>
        <v>11.040654565244557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>
        <f>EJ170*VLOOKUP('Données projet'!$B$15,Paramètres!$A$1:$I$89,3,0)*VLOOKUP('Données projet'!$B$15,Paramètres!$A$1:$I$89,5,0)</f>
        <v>0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384.34044781465661</v>
      </c>
      <c r="EP170" s="59">
        <f t="shared" si="154"/>
        <v>374.99493809709708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8.267793047124421</v>
      </c>
      <c r="EW170" s="21">
        <f>EXP(-LN(2)/25)*EW169+(1-EXP(-LN(2)/25))/(LN(2)/25)*Calculateur!ER170*Calculateur!ET170*VLOOKUP('Données projet'!$B$15,Paramètres!$A$1:$I$89,3,0)*0.475*44/12</f>
        <v>4.0977400659439862</v>
      </c>
      <c r="EX170" s="21">
        <f>EXP(-LN(2)/2)*EX169+(1-EXP(-LN(2)/2))/(LN(2)/2)*ER170*EU170*VLOOKUP('Données projet'!$B$15,Paramètres!$A$1:$I$89,3,0)*0.475*44/12</f>
        <v>5.5099289181465476E-12</v>
      </c>
      <c r="EY170" s="22">
        <f t="shared" si="181"/>
        <v>12.365533113073917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>
        <f>FE170*VLOOKUP('Données projet'!$B$16,Paramètres!$A$1:$I$89,3,0)*VLOOKUP('Données projet'!$B$16,Paramètres!$A$1:$I$89,5,0)</f>
        <v>0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359.57284550600366</v>
      </c>
      <c r="FK170" s="59">
        <f t="shared" si="156"/>
        <v>351.38386928091433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7.677236400901247</v>
      </c>
      <c r="FR170" s="21">
        <f>EXP(-LN(2)/25)*FR169+(1-EXP(-LN(2)/25))/(LN(2)/25)*Calculateur!FM170*Calculateur!FO170*VLOOKUP('Données projet'!$B$16,Paramètres!$A$1:$I$89,3,0)*0.475*44/12</f>
        <v>3.8050443469479798</v>
      </c>
      <c r="FS170" s="21">
        <f>EXP(-LN(2)/2)*FS169+(1-EXP(-LN(2)/2))/(LN(2)/2)*FM170*FP170*VLOOKUP('Données projet'!$B$16,Paramètres!$A$1:$I$89,3,0)*0.475*44/12</f>
        <v>5.1163625668503982E-12</v>
      </c>
      <c r="FT170" s="22">
        <f t="shared" si="184"/>
        <v>11.482280747854343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6">
        <f t="shared" si="110"/>
        <v>256.66666666666669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3.979039320256561E-13</v>
      </c>
      <c r="O171" s="13">
        <f>N171*VLOOKUP('Données projet'!$B$9,Paramètres!$A$1:$I$89,3,0)*VLOOKUP('Données projet'!$B$9,Paramètres!$A$1:$I$89,5,0)</f>
        <v>3.6002347769681362E-13</v>
      </c>
      <c r="P171" s="13">
        <f t="shared" si="141"/>
        <v>4.6593569189922594E-12</v>
      </c>
      <c r="Q171" s="20">
        <f t="shared" si="162"/>
        <v>8.7420875242334695E-12</v>
      </c>
      <c r="R171" s="59">
        <f t="shared" si="109"/>
        <v>293.33333333334207</v>
      </c>
      <c r="S171" s="59">
        <f ca="1">AVERAGE(OFFSET($R$3,0,0,'Données projet'!$E$9+1,1))-AVERAGE(OFFSET($H$3,0,0,'Données projet'!$E$9+1,1))</f>
        <v>695.0879239758051</v>
      </c>
      <c r="T171" s="59">
        <f t="shared" si="142"/>
        <v>226.22150997227476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145.82128974129466</v>
      </c>
      <c r="AA171" s="21">
        <f>EXP(-LN(2)/25)*AA170+(1-EXP(-LN(2)/25))/(LN(2)/25)*Calculateur!V171*Calculateur!X171*VLOOKUP('Données projet'!$B$9,Paramètres!$A$1:$I$89,3,0)*0.475*44/12</f>
        <v>23.698250404791519</v>
      </c>
      <c r="AB171" s="21">
        <f>EXP(-LN(2)/2)*AB170+(1-EXP(-LN(2)/2))/(LN(2)/2)*V171*Y171*VLOOKUP('Données projet'!$B$9,Paramètres!$A$1:$I$89,3,0)*0.475*44/12</f>
        <v>0.50303014727782491</v>
      </c>
      <c r="AC171" s="22">
        <f t="shared" si="163"/>
        <v>170.022570293364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1.1368683772161603E-13</v>
      </c>
      <c r="AJ171" s="13">
        <f>AI171*VLOOKUP('Données projet'!$B$10,Paramètres!$A$1:$I$89,3,0)*VLOOKUP('Données projet'!$B$10,Paramètres!$A$1:$I$89,5,0)</f>
        <v>6.7984728957526396E-14</v>
      </c>
      <c r="AK171" s="13">
        <f t="shared" si="164"/>
        <v>1.0682447123141398E-12</v>
      </c>
      <c r="AL171" s="20">
        <f t="shared" si="165"/>
        <v>1.978932943548152E-12</v>
      </c>
      <c r="AM171" s="59">
        <f t="shared" si="113"/>
        <v>293.3333333333353</v>
      </c>
      <c r="AN171" s="59">
        <f ca="1">AVERAGE(OFFSET($AM$3,0,0,'Données projet'!$E$10+1,1))-AVERAGE(OFFSET($H$3,0,0,'Données projet'!$E$10+1,1))</f>
        <v>388.12151914648013</v>
      </c>
      <c r="AO171" s="59">
        <f t="shared" si="144"/>
        <v>481.43684454382793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19.372018223163362</v>
      </c>
      <c r="AV171" s="21">
        <f>EXP(-LN(2)/25)*AV170+(1-EXP(-LN(2)/25))/(LN(2)/25)*Calculateur!AQ171*Calculateur!AS171*VLOOKUP('Données projet'!$B$10,Paramètres!$A$1:$I$89,3,0)*0.475*44/12</f>
        <v>2.7634554474723769</v>
      </c>
      <c r="AW171" s="21">
        <f>EXP(-LN(2)/2)*AW170+(1-EXP(-LN(2)/2))/(LN(2)/2)*AQ171*AT171*VLOOKUP('Données projet'!$B$10,Paramètres!$A$1:$I$89,3,0)*0.475*44/12</f>
        <v>1.0728128391485048E-15</v>
      </c>
      <c r="AX171" s="21">
        <f t="shared" si="166"/>
        <v>22.13547367063574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415.24818074059294</v>
      </c>
      <c r="BJ171" s="59">
        <f t="shared" si="146"/>
        <v>404.45811532046872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8.8293869065695283</v>
      </c>
      <c r="BQ171" s="21">
        <f>EXP(-LN(2)/25)*BQ170+(1-EXP(-LN(2)/25))/(LN(2)/25)*Calculateur!BL171*Calculateur!BN171*VLOOKUP('Données projet'!$B$11,Paramètres!$A$1:$I$89,3,0)*0.475*44/12</f>
        <v>4.3415520723097778</v>
      </c>
      <c r="BR171" s="21">
        <f>EXP(-LN(2)/2)*BR170+(1-EXP(-LN(2)/2))/(LN(2)/2)*BL171*BO171*VLOOKUP('Données projet'!$B$11,Paramètres!$A$1:$I$89,3,0)*0.475*44/12</f>
        <v>4.2439748966877517E-12</v>
      </c>
      <c r="BS171" s="22">
        <f t="shared" si="169"/>
        <v>13.17093897888355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384.34044781465661</v>
      </c>
      <c r="CE171" s="59">
        <f t="shared" si="148"/>
        <v>374.99493809709708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9.9907054284019843</v>
      </c>
      <c r="CL171" s="21">
        <f>EXP(-LN(2)/25)*CL170+(1-EXP(-LN(2)/25))/(LN(2)/25)*Calculateur!CG171*Calculateur!CI171*VLOOKUP('Données projet'!$B$12,Paramètres!$A$1:$I$89,3,0)*0.475*44/12</f>
        <v>4.9125911363383254</v>
      </c>
      <c r="CM171" s="21">
        <f>EXP(-LN(2)/2)*CM170+(1-EXP(-LN(2)/2))/(LN(2)/2)*CG171*CJ171*VLOOKUP('Données projet'!$B$12,Paramètres!$A$1:$I$89,3,0)*0.475*44/12</f>
        <v>3.8961081018772813E-12</v>
      </c>
      <c r="CN171" s="22">
        <f t="shared" si="172"/>
        <v>14.903296564744204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5.6843418860808015E-13</v>
      </c>
      <c r="CU171" s="17">
        <f>CT171*VLOOKUP('Données projet'!$B$13,Paramètres!$A$1:$I$89,3,0)*VLOOKUP('Données projet'!$B$13,Paramètres!$A$1:$I$89,5,0)</f>
        <v>3.177547114319168E-13</v>
      </c>
      <c r="CV171" s="13">
        <f t="shared" si="173"/>
        <v>4.1725404435445377E-12</v>
      </c>
      <c r="CW171" s="20">
        <f t="shared" si="174"/>
        <v>7.820597394917325E-12</v>
      </c>
      <c r="CX171" s="59">
        <f t="shared" si="122"/>
        <v>293.33333333334116</v>
      </c>
      <c r="CY171" s="59">
        <f ca="1">AVERAGE(OFFSET($CX$3,0,0,'Données projet'!$E$13+1,1))-AVERAGE(OFFSET($H$3,0,0,'Données projet'!$E$13+1,1))</f>
        <v>386.66324266750968</v>
      </c>
      <c r="CZ171" s="59">
        <f t="shared" si="150"/>
        <v>356.22149461585769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33.1325840604677</v>
      </c>
      <c r="DG171" s="21">
        <f>EXP(-LN(2)/25)*DG170+(1-EXP(-LN(2)/25))/(LN(2)/25)*Calculateur!DB171*Calculateur!DD171*VLOOKUP('Données projet'!$B$13,Paramètres!$A$1:$I$89,3,0)*0.475*44/12</f>
        <v>5.0708686658172981</v>
      </c>
      <c r="DH171" s="21">
        <f>EXP(-LN(2)/2)*DH170+(1-EXP(-LN(2)/2))/(LN(2)/2)*DB171*DE171*VLOOKUP('Données projet'!$B$13,Paramètres!$A$1:$I$89,3,0)*0.475*44/12</f>
        <v>1.3412475454334311E-13</v>
      </c>
      <c r="DI171" s="22">
        <f t="shared" si="175"/>
        <v>38.203452726285136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>
        <f>DO171*VLOOKUP('Données projet'!$B$14,Paramètres!$A$1:$I$89,3,0)*VLOOKUP('Données projet'!$B$14,Paramètres!$A$1:$I$89,5,0)</f>
        <v>0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347.17417070871716</v>
      </c>
      <c r="DU171" s="59">
        <f t="shared" si="152"/>
        <v>339.56378046986441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7.2372023824340364</v>
      </c>
      <c r="EB171" s="21">
        <f>EXP(-LN(2)/25)*EB170+(1-EXP(-LN(2)/25))/(LN(2)/25)*Calculateur!DW171*Calculateur!DY171*VLOOKUP('Données projet'!$B$14,Paramètres!$A$1:$I$89,3,0)*0.475*44/12</f>
        <v>3.5586492395981772</v>
      </c>
      <c r="EC171" s="21">
        <f>EXP(-LN(2)/2)*EC170+(1-EXP(-LN(2)/2))/(LN(2)/2)*DW171*DZ171*VLOOKUP('Données projet'!$B$14,Paramètres!$A$1:$I$89,3,0)*0.475*44/12</f>
        <v>3.4786679481047218E-12</v>
      </c>
      <c r="ED171" s="22">
        <f t="shared" si="178"/>
        <v>10.795851622035691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>
        <f>EJ171*VLOOKUP('Données projet'!$B$15,Paramètres!$A$1:$I$89,3,0)*VLOOKUP('Données projet'!$B$15,Paramètres!$A$1:$I$89,5,0)</f>
        <v>0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384.34044781465661</v>
      </c>
      <c r="EP171" s="59">
        <f t="shared" si="154"/>
        <v>374.99493809709708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8.1056666683261298</v>
      </c>
      <c r="EW171" s="21">
        <f>EXP(-LN(2)/25)*EW170+(1-EXP(-LN(2)/25))/(LN(2)/25)*Calculateur!ER171*Calculateur!ET171*VLOOKUP('Données projet'!$B$15,Paramètres!$A$1:$I$89,3,0)*0.475*44/12</f>
        <v>3.9856871483499634</v>
      </c>
      <c r="EX171" s="21">
        <f>EXP(-LN(2)/2)*EX170+(1-EXP(-LN(2)/2))/(LN(2)/2)*ER171*EU171*VLOOKUP('Données projet'!$B$15,Paramètres!$A$1:$I$89,3,0)*0.475*44/12</f>
        <v>3.8961081018772813E-12</v>
      </c>
      <c r="EY171" s="22">
        <f t="shared" si="181"/>
        <v>12.091353816679989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>
        <f>FE171*VLOOKUP('Données projet'!$B$16,Paramètres!$A$1:$I$89,3,0)*VLOOKUP('Données projet'!$B$16,Paramètres!$A$1:$I$89,5,0)</f>
        <v>0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359.57284550600366</v>
      </c>
      <c r="FK171" s="59">
        <f t="shared" si="156"/>
        <v>351.38386928091433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7.526690477731405</v>
      </c>
      <c r="FR171" s="21">
        <f>EXP(-LN(2)/25)*FR170+(1-EXP(-LN(2)/25))/(LN(2)/25)*Calculateur!FM171*Calculateur!FO171*VLOOKUP('Données projet'!$B$16,Paramètres!$A$1:$I$89,3,0)*0.475*44/12</f>
        <v>3.7009952091821017</v>
      </c>
      <c r="FS171" s="21">
        <f>EXP(-LN(2)/2)*FS170+(1-EXP(-LN(2)/2))/(LN(2)/2)*FM171*FP171*VLOOKUP('Données projet'!$B$16,Paramètres!$A$1:$I$89,3,0)*0.475*44/12</f>
        <v>3.6178146660289276E-12</v>
      </c>
      <c r="FT171" s="22">
        <f t="shared" si="184"/>
        <v>11.227685686917125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6">
        <f t="shared" si="110"/>
        <v>256.66666666666669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3.979039320256561E-13</v>
      </c>
      <c r="O172" s="13">
        <f>N172*VLOOKUP('Données projet'!$B$9,Paramètres!$A$1:$I$89,3,0)*VLOOKUP('Données projet'!$B$9,Paramètres!$A$1:$I$89,5,0)</f>
        <v>3.6002347769681362E-13</v>
      </c>
      <c r="P172" s="13">
        <f t="shared" si="141"/>
        <v>4.6593569189922594E-12</v>
      </c>
      <c r="Q172" s="20">
        <f t="shared" si="162"/>
        <v>8.7420875242334695E-12</v>
      </c>
      <c r="R172" s="59">
        <f t="shared" si="109"/>
        <v>293.33333333334207</v>
      </c>
      <c r="S172" s="59">
        <f ca="1">AVERAGE(OFFSET($R$3,0,0,'Données projet'!$E$9+1,1))-AVERAGE(OFFSET($H$3,0,0,'Données projet'!$E$9+1,1))</f>
        <v>695.0879239758051</v>
      </c>
      <c r="T172" s="59">
        <f t="shared" si="142"/>
        <v>226.22150997227476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142.96182319167229</v>
      </c>
      <c r="AA172" s="21">
        <f>EXP(-LN(2)/25)*AA171+(1-EXP(-LN(2)/25))/(LN(2)/25)*Calculateur!V172*Calculateur!X172*VLOOKUP('Données projet'!$B$9,Paramètres!$A$1:$I$89,3,0)*0.475*44/12</f>
        <v>23.050220501235671</v>
      </c>
      <c r="AB172" s="21">
        <f>EXP(-LN(2)/2)*AB171+(1-EXP(-LN(2)/2))/(LN(2)/2)*V172*Y172*VLOOKUP('Données projet'!$B$9,Paramètres!$A$1:$I$89,3,0)*0.475*44/12</f>
        <v>0.35569602828141772</v>
      </c>
      <c r="AC172" s="22">
        <f t="shared" si="163"/>
        <v>166.36773972118939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1.1368683772161603E-13</v>
      </c>
      <c r="AJ172" s="13">
        <f>AI172*VLOOKUP('Données projet'!$B$10,Paramètres!$A$1:$I$89,3,0)*VLOOKUP('Données projet'!$B$10,Paramètres!$A$1:$I$89,5,0)</f>
        <v>6.7984728957526396E-14</v>
      </c>
      <c r="AK172" s="13">
        <f t="shared" si="164"/>
        <v>1.0682447123141398E-12</v>
      </c>
      <c r="AL172" s="20">
        <f t="shared" si="165"/>
        <v>1.978932943548152E-12</v>
      </c>
      <c r="AM172" s="59">
        <f t="shared" si="113"/>
        <v>293.3333333333353</v>
      </c>
      <c r="AN172" s="59">
        <f ca="1">AVERAGE(OFFSET($AM$3,0,0,'Données projet'!$E$10+1,1))-AVERAGE(OFFSET($H$3,0,0,'Données projet'!$E$10+1,1))</f>
        <v>388.12151914648013</v>
      </c>
      <c r="AO172" s="59">
        <f t="shared" si="144"/>
        <v>481.43684454382793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18.992144761571534</v>
      </c>
      <c r="AV172" s="21">
        <f>EXP(-LN(2)/25)*AV171+(1-EXP(-LN(2)/25))/(LN(2)/25)*Calculateur!AQ172*Calculateur!AS172*VLOOKUP('Données projet'!$B$10,Paramètres!$A$1:$I$89,3,0)*0.475*44/12</f>
        <v>2.6878886129374386</v>
      </c>
      <c r="AW172" s="21">
        <f>EXP(-LN(2)/2)*AW171+(1-EXP(-LN(2)/2))/(LN(2)/2)*AQ172*AT172*VLOOKUP('Données projet'!$B$10,Paramètres!$A$1:$I$89,3,0)*0.475*44/12</f>
        <v>7.5859323350590058E-16</v>
      </c>
      <c r="AX172" s="21">
        <f t="shared" si="166"/>
        <v>21.680033374508973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415.24818074059294</v>
      </c>
      <c r="BJ172" s="59">
        <f t="shared" si="146"/>
        <v>404.45811532046872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8.65624801472595</v>
      </c>
      <c r="BQ172" s="21">
        <f>EXP(-LN(2)/25)*BQ171+(1-EXP(-LN(2)/25))/(LN(2)/25)*Calculateur!BL172*Calculateur!BN172*VLOOKUP('Données projet'!$B$11,Paramètres!$A$1:$I$89,3,0)*0.475*44/12</f>
        <v>4.2228321025801661</v>
      </c>
      <c r="BR172" s="21">
        <f>EXP(-LN(2)/2)*BR171+(1-EXP(-LN(2)/2))/(LN(2)/2)*BL172*BO172*VLOOKUP('Données projet'!$B$11,Paramètres!$A$1:$I$89,3,0)*0.475*44/12</f>
        <v>3.0009434286333867E-12</v>
      </c>
      <c r="BS172" s="22">
        <f t="shared" si="169"/>
        <v>12.879080117309117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384.34044781465661</v>
      </c>
      <c r="CE172" s="59">
        <f t="shared" si="148"/>
        <v>374.99493809709708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9.7947937886796268</v>
      </c>
      <c r="CL172" s="21">
        <f>EXP(-LN(2)/25)*CL171+(1-EXP(-LN(2)/25))/(LN(2)/25)*Calculateur!CG172*Calculateur!CI172*VLOOKUP('Données projet'!$B$12,Paramètres!$A$1:$I$89,3,0)*0.475*44/12</f>
        <v>4.778256073373214</v>
      </c>
      <c r="CM172" s="21">
        <f>EXP(-LN(2)/2)*CM171+(1-EXP(-LN(2)/2))/(LN(2)/2)*CG172*CJ172*VLOOKUP('Données projet'!$B$12,Paramètres!$A$1:$I$89,3,0)*0.475*44/12</f>
        <v>2.7549644590732738E-12</v>
      </c>
      <c r="CN172" s="22">
        <f t="shared" si="172"/>
        <v>14.573049862055596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5.6843418860808015E-13</v>
      </c>
      <c r="CU172" s="17">
        <f>CT172*VLOOKUP('Données projet'!$B$13,Paramètres!$A$1:$I$89,3,0)*VLOOKUP('Données projet'!$B$13,Paramètres!$A$1:$I$89,5,0)</f>
        <v>3.177547114319168E-13</v>
      </c>
      <c r="CV172" s="13">
        <f t="shared" si="173"/>
        <v>4.1725404435445377E-12</v>
      </c>
      <c r="CW172" s="20">
        <f t="shared" si="174"/>
        <v>7.820597394917325E-12</v>
      </c>
      <c r="CX172" s="59">
        <f t="shared" si="122"/>
        <v>293.33333333334116</v>
      </c>
      <c r="CY172" s="59">
        <f ca="1">AVERAGE(OFFSET($CX$3,0,0,'Données projet'!$E$13+1,1))-AVERAGE(OFFSET($H$3,0,0,'Données projet'!$E$13+1,1))</f>
        <v>386.66324266750968</v>
      </c>
      <c r="CZ172" s="59">
        <f t="shared" si="150"/>
        <v>356.22149461585769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32.482874295922741</v>
      </c>
      <c r="DG172" s="21">
        <f>EXP(-LN(2)/25)*DG171+(1-EXP(-LN(2)/25))/(LN(2)/25)*Calculateur!DB172*Calculateur!DD172*VLOOKUP('Données projet'!$B$13,Paramètres!$A$1:$I$89,3,0)*0.475*44/12</f>
        <v>4.9322054954851309</v>
      </c>
      <c r="DH172" s="21">
        <f>EXP(-LN(2)/2)*DH171+(1-EXP(-LN(2)/2))/(LN(2)/2)*DB172*DE172*VLOOKUP('Données projet'!$B$13,Paramètres!$A$1:$I$89,3,0)*0.475*44/12</f>
        <v>9.4840523462579115E-14</v>
      </c>
      <c r="DI172" s="22">
        <f t="shared" si="175"/>
        <v>37.415079791407962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>
        <f>DO172*VLOOKUP('Données projet'!$B$14,Paramètres!$A$1:$I$89,3,0)*VLOOKUP('Données projet'!$B$14,Paramètres!$A$1:$I$89,5,0)</f>
        <v>0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347.17417070871716</v>
      </c>
      <c r="DU172" s="59">
        <f t="shared" si="152"/>
        <v>339.56378046986441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7.0952852579720869</v>
      </c>
      <c r="EB172" s="21">
        <f>EXP(-LN(2)/25)*EB171+(1-EXP(-LN(2)/25))/(LN(2)/25)*Calculateur!DW172*Calculateur!DY172*VLOOKUP('Données projet'!$B$14,Paramètres!$A$1:$I$89,3,0)*0.475*44/12</f>
        <v>3.4613377890001349</v>
      </c>
      <c r="EC172" s="21">
        <f>EXP(-LN(2)/2)*EC171+(1-EXP(-LN(2)/2))/(LN(2)/2)*DW172*DZ172*VLOOKUP('Données projet'!$B$14,Paramètres!$A$1:$I$89,3,0)*0.475*44/12</f>
        <v>2.4597896956011417E-12</v>
      </c>
      <c r="ED172" s="22">
        <f t="shared" si="178"/>
        <v>10.556623046974682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>
        <f>EJ172*VLOOKUP('Données projet'!$B$15,Paramètres!$A$1:$I$89,3,0)*VLOOKUP('Données projet'!$B$15,Paramètres!$A$1:$I$89,5,0)</f>
        <v>0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384.34044781465661</v>
      </c>
      <c r="EP172" s="59">
        <f t="shared" si="154"/>
        <v>374.99493809709708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7.9467194889287454</v>
      </c>
      <c r="EW172" s="21">
        <f>EXP(-LN(2)/25)*EW171+(1-EXP(-LN(2)/25))/(LN(2)/25)*Calculateur!ER172*Calculateur!ET172*VLOOKUP('Données projet'!$B$15,Paramètres!$A$1:$I$89,3,0)*0.475*44/12</f>
        <v>3.8766983236801558</v>
      </c>
      <c r="EX172" s="21">
        <f>EXP(-LN(2)/2)*EX171+(1-EXP(-LN(2)/2))/(LN(2)/2)*ER172*EU172*VLOOKUP('Données projet'!$B$15,Paramètres!$A$1:$I$89,3,0)*0.475*44/12</f>
        <v>2.7549644590732738E-12</v>
      </c>
      <c r="EY172" s="22">
        <f t="shared" si="181"/>
        <v>11.823417812611657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>
        <f>FE172*VLOOKUP('Données projet'!$B$16,Paramètres!$A$1:$I$89,3,0)*VLOOKUP('Données projet'!$B$16,Paramètres!$A$1:$I$89,5,0)</f>
        <v>0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359.57284550600366</v>
      </c>
      <c r="FK172" s="59">
        <f t="shared" si="156"/>
        <v>351.38386928091433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7.3790966682909769</v>
      </c>
      <c r="FR172" s="21">
        <f>EXP(-LN(2)/25)*FR171+(1-EXP(-LN(2)/25))/(LN(2)/25)*Calculateur!FM172*Calculateur!FO172*VLOOKUP('Données projet'!$B$16,Paramètres!$A$1:$I$89,3,0)*0.475*44/12</f>
        <v>3.5997913005601379</v>
      </c>
      <c r="FS172" s="21">
        <f>EXP(-LN(2)/2)*FS171+(1-EXP(-LN(2)/2))/(LN(2)/2)*FM172*FP172*VLOOKUP('Données projet'!$B$16,Paramètres!$A$1:$I$89,3,0)*0.475*44/12</f>
        <v>2.5581812834251995E-12</v>
      </c>
      <c r="FT172" s="22">
        <f t="shared" si="184"/>
        <v>10.978887968853673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6">
        <f t="shared" si="110"/>
        <v>256.66666666666669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3.979039320256561E-13</v>
      </c>
      <c r="O173" s="13">
        <f>N173*VLOOKUP('Données projet'!$B$9,Paramètres!$A$1:$I$89,3,0)*VLOOKUP('Données projet'!$B$9,Paramètres!$A$1:$I$89,5,0)</f>
        <v>3.6002347769681362E-13</v>
      </c>
      <c r="P173" s="13">
        <f t="shared" si="141"/>
        <v>4.6593569189922594E-12</v>
      </c>
      <c r="Q173" s="20">
        <f t="shared" si="162"/>
        <v>8.7420875242334695E-12</v>
      </c>
      <c r="R173" s="59">
        <f t="shared" si="109"/>
        <v>293.33333333334207</v>
      </c>
      <c r="S173" s="59">
        <f ca="1">AVERAGE(OFFSET($R$3,0,0,'Données projet'!$E$9+1,1))-AVERAGE(OFFSET($H$3,0,0,'Données projet'!$E$9+1,1))</f>
        <v>695.0879239758051</v>
      </c>
      <c r="T173" s="59">
        <f t="shared" si="142"/>
        <v>226.22150997227476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140.15842903698564</v>
      </c>
      <c r="AA173" s="21">
        <f>EXP(-LN(2)/25)*AA172+(1-EXP(-LN(2)/25))/(LN(2)/25)*Calculateur!V173*Calculateur!X173*VLOOKUP('Données projet'!$B$9,Paramètres!$A$1:$I$89,3,0)*0.475*44/12</f>
        <v>22.419911009470969</v>
      </c>
      <c r="AB173" s="21">
        <f>EXP(-LN(2)/2)*AB172+(1-EXP(-LN(2)/2))/(LN(2)/2)*V173*Y173*VLOOKUP('Données projet'!$B$9,Paramètres!$A$1:$I$89,3,0)*0.475*44/12</f>
        <v>0.25151507363891246</v>
      </c>
      <c r="AC173" s="22">
        <f t="shared" si="163"/>
        <v>162.82985512009552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1.1368683772161603E-13</v>
      </c>
      <c r="AJ173" s="13">
        <f>AI173*VLOOKUP('Données projet'!$B$10,Paramètres!$A$1:$I$89,3,0)*VLOOKUP('Données projet'!$B$10,Paramètres!$A$1:$I$89,5,0)</f>
        <v>6.7984728957526396E-14</v>
      </c>
      <c r="AK173" s="13">
        <f t="shared" si="164"/>
        <v>1.0682447123141398E-12</v>
      </c>
      <c r="AL173" s="20">
        <f t="shared" si="165"/>
        <v>1.978932943548152E-12</v>
      </c>
      <c r="AM173" s="59">
        <f t="shared" si="113"/>
        <v>293.3333333333353</v>
      </c>
      <c r="AN173" s="59">
        <f ca="1">AVERAGE(OFFSET($AM$3,0,0,'Données projet'!$E$10+1,1))-AVERAGE(OFFSET($H$3,0,0,'Données projet'!$E$10+1,1))</f>
        <v>388.12151914648013</v>
      </c>
      <c r="AO173" s="59">
        <f t="shared" si="144"/>
        <v>481.43684454382793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18.619720386861591</v>
      </c>
      <c r="AV173" s="21">
        <f>EXP(-LN(2)/25)*AV172+(1-EXP(-LN(2)/25))/(LN(2)/25)*Calculateur!AQ173*Calculateur!AS173*VLOOKUP('Données projet'!$B$10,Paramètres!$A$1:$I$89,3,0)*0.475*44/12</f>
        <v>2.6143881574667454</v>
      </c>
      <c r="AW173" s="21">
        <f>EXP(-LN(2)/2)*AW172+(1-EXP(-LN(2)/2))/(LN(2)/2)*AQ173*AT173*VLOOKUP('Données projet'!$B$10,Paramètres!$A$1:$I$89,3,0)*0.475*44/12</f>
        <v>5.3640641957425239E-16</v>
      </c>
      <c r="AX173" s="21">
        <f t="shared" si="166"/>
        <v>21.234108544328336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415.24818074059294</v>
      </c>
      <c r="BJ173" s="59">
        <f t="shared" si="146"/>
        <v>404.45811532046872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8.4865042709471279</v>
      </c>
      <c r="BQ173" s="21">
        <f>EXP(-LN(2)/25)*BQ172+(1-EXP(-LN(2)/25))/(LN(2)/25)*Calculateur!BL173*Calculateur!BN173*VLOOKUP('Données projet'!$B$11,Paramètres!$A$1:$I$89,3,0)*0.475*44/12</f>
        <v>4.1073585366660224</v>
      </c>
      <c r="BR173" s="21">
        <f>EXP(-LN(2)/2)*BR172+(1-EXP(-LN(2)/2))/(LN(2)/2)*BL173*BO173*VLOOKUP('Données projet'!$B$11,Paramètres!$A$1:$I$89,3,0)*0.475*44/12</f>
        <v>2.1219874483438758E-12</v>
      </c>
      <c r="BS173" s="22">
        <f t="shared" si="169"/>
        <v>12.593862807615272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384.34044781465661</v>
      </c>
      <c r="CE173" s="59">
        <f t="shared" si="148"/>
        <v>374.99493809709708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9.6027238567179243</v>
      </c>
      <c r="CL173" s="21">
        <f>EXP(-LN(2)/25)*CL172+(1-EXP(-LN(2)/25))/(LN(2)/25)*Calculateur!CG173*Calculateur!CI173*VLOOKUP('Données projet'!$B$12,Paramètres!$A$1:$I$89,3,0)*0.475*44/12</f>
        <v>4.6475944097692574</v>
      </c>
      <c r="CM173" s="21">
        <f>EXP(-LN(2)/2)*CM172+(1-EXP(-LN(2)/2))/(LN(2)/2)*CG173*CJ173*VLOOKUP('Données projet'!$B$12,Paramètres!$A$1:$I$89,3,0)*0.475*44/12</f>
        <v>1.9480540509386407E-12</v>
      </c>
      <c r="CN173" s="22">
        <f t="shared" si="172"/>
        <v>14.250318266489129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5.6843418860808015E-13</v>
      </c>
      <c r="CU173" s="17">
        <f>CT173*VLOOKUP('Données projet'!$B$13,Paramètres!$A$1:$I$89,3,0)*VLOOKUP('Données projet'!$B$13,Paramètres!$A$1:$I$89,5,0)</f>
        <v>3.177547114319168E-13</v>
      </c>
      <c r="CV173" s="13">
        <f t="shared" si="173"/>
        <v>4.1725404435445377E-12</v>
      </c>
      <c r="CW173" s="20">
        <f t="shared" si="174"/>
        <v>7.820597394917325E-12</v>
      </c>
      <c r="CX173" s="59">
        <f t="shared" si="122"/>
        <v>293.33333333334116</v>
      </c>
      <c r="CY173" s="59">
        <f ca="1">AVERAGE(OFFSET($CX$3,0,0,'Données projet'!$E$13+1,1))-AVERAGE(OFFSET($H$3,0,0,'Données projet'!$E$13+1,1))</f>
        <v>386.66324266750968</v>
      </c>
      <c r="CZ173" s="59">
        <f t="shared" si="150"/>
        <v>356.22149461585769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31.845904943576684</v>
      </c>
      <c r="DG173" s="21">
        <f>EXP(-LN(2)/25)*DG172+(1-EXP(-LN(2)/25))/(LN(2)/25)*Calculateur!DB173*Calculateur!DD173*VLOOKUP('Données projet'!$B$13,Paramètres!$A$1:$I$89,3,0)*0.475*44/12</f>
        <v>4.797334076837676</v>
      </c>
      <c r="DH173" s="21">
        <f>EXP(-LN(2)/2)*DH172+(1-EXP(-LN(2)/2))/(LN(2)/2)*DB173*DE173*VLOOKUP('Données projet'!$B$13,Paramètres!$A$1:$I$89,3,0)*0.475*44/12</f>
        <v>6.7062377271671555E-14</v>
      </c>
      <c r="DI173" s="22">
        <f t="shared" si="175"/>
        <v>36.643239020414427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>
        <f>DO173*VLOOKUP('Données projet'!$B$14,Paramètres!$A$1:$I$89,3,0)*VLOOKUP('Données projet'!$B$14,Paramètres!$A$1:$I$89,5,0)</f>
        <v>0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347.17417070871716</v>
      </c>
      <c r="DU173" s="59">
        <f t="shared" si="152"/>
        <v>339.56378046986441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6.956151041759937</v>
      </c>
      <c r="EB173" s="21">
        <f>EXP(-LN(2)/25)*EB172+(1-EXP(-LN(2)/25))/(LN(2)/25)*Calculateur!DW173*Calculateur!DY173*VLOOKUP('Données projet'!$B$14,Paramètres!$A$1:$I$89,3,0)*0.475*44/12</f>
        <v>3.3666873251360827</v>
      </c>
      <c r="EC173" s="21">
        <f>EXP(-LN(2)/2)*EC172+(1-EXP(-LN(2)/2))/(LN(2)/2)*DW173*DZ173*VLOOKUP('Données projet'!$B$14,Paramètres!$A$1:$I$89,3,0)*0.475*44/12</f>
        <v>1.7393339740523609E-12</v>
      </c>
      <c r="ED173" s="22">
        <f t="shared" si="178"/>
        <v>10.322838366897759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>
        <f>EJ173*VLOOKUP('Données projet'!$B$15,Paramètres!$A$1:$I$89,3,0)*VLOOKUP('Données projet'!$B$15,Paramètres!$A$1:$I$89,5,0)</f>
        <v>0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384.34044781465661</v>
      </c>
      <c r="EP173" s="59">
        <f t="shared" si="154"/>
        <v>374.99493809709708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7.7908891667711373</v>
      </c>
      <c r="EW173" s="21">
        <f>EXP(-LN(2)/25)*EW172+(1-EXP(-LN(2)/25))/(LN(2)/25)*Calculateur!ER173*Calculateur!ET173*VLOOKUP('Données projet'!$B$15,Paramètres!$A$1:$I$89,3,0)*0.475*44/12</f>
        <v>3.7706898041524175</v>
      </c>
      <c r="EX173" s="21">
        <f>EXP(-LN(2)/2)*EX172+(1-EXP(-LN(2)/2))/(LN(2)/2)*ER173*EU173*VLOOKUP('Données projet'!$B$15,Paramètres!$A$1:$I$89,3,0)*0.475*44/12</f>
        <v>1.9480540509386407E-12</v>
      </c>
      <c r="EY173" s="22">
        <f t="shared" si="181"/>
        <v>11.561578970925504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>
        <f>FE173*VLOOKUP('Données projet'!$B$16,Paramètres!$A$1:$I$89,3,0)*VLOOKUP('Données projet'!$B$16,Paramètres!$A$1:$I$89,5,0)</f>
        <v>0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359.57284550600366</v>
      </c>
      <c r="FK173" s="59">
        <f t="shared" si="156"/>
        <v>351.38386928091433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7.2343970834303413</v>
      </c>
      <c r="FR173" s="21">
        <f>EXP(-LN(2)/25)*FR172+(1-EXP(-LN(2)/25))/(LN(2)/25)*Calculateur!FM173*Calculateur!FO173*VLOOKUP('Données projet'!$B$16,Paramètres!$A$1:$I$89,3,0)*0.475*44/12</f>
        <v>3.5013548181415239</v>
      </c>
      <c r="FS173" s="21">
        <f>EXP(-LN(2)/2)*FS172+(1-EXP(-LN(2)/2))/(LN(2)/2)*FM173*FP173*VLOOKUP('Données projet'!$B$16,Paramètres!$A$1:$I$89,3,0)*0.475*44/12</f>
        <v>1.808907333014464E-12</v>
      </c>
      <c r="FT173" s="22">
        <f t="shared" si="184"/>
        <v>10.735751901573673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6">
        <f t="shared" si="110"/>
        <v>256.66666666666669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3.979039320256561E-13</v>
      </c>
      <c r="O174" s="13">
        <f>N174*VLOOKUP('Données projet'!$B$9,Paramètres!$A$1:$I$89,3,0)*VLOOKUP('Données projet'!$B$9,Paramètres!$A$1:$I$89,5,0)</f>
        <v>3.6002347769681362E-13</v>
      </c>
      <c r="P174" s="13">
        <f t="shared" si="141"/>
        <v>4.6593569189922594E-12</v>
      </c>
      <c r="Q174" s="20">
        <f t="shared" si="162"/>
        <v>8.7420875242334695E-12</v>
      </c>
      <c r="R174" s="59">
        <f t="shared" si="109"/>
        <v>293.33333333334207</v>
      </c>
      <c r="S174" s="59">
        <f ca="1">AVERAGE(OFFSET($R$3,0,0,'Données projet'!$E$9+1,1))-AVERAGE(OFFSET($H$3,0,0,'Données projet'!$E$9+1,1))</f>
        <v>695.0879239758051</v>
      </c>
      <c r="T174" s="59">
        <f t="shared" si="142"/>
        <v>226.22150997227476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137.4100077317708</v>
      </c>
      <c r="AA174" s="21">
        <f>EXP(-LN(2)/25)*AA173+(1-EXP(-LN(2)/25))/(LN(2)/25)*Calculateur!V174*Calculateur!X174*VLOOKUP('Données projet'!$B$9,Paramètres!$A$1:$I$89,3,0)*0.475*44/12</f>
        <v>21.806837363905107</v>
      </c>
      <c r="AB174" s="21">
        <f>EXP(-LN(2)/2)*AB173+(1-EXP(-LN(2)/2))/(LN(2)/2)*V174*Y174*VLOOKUP('Données projet'!$B$9,Paramètres!$A$1:$I$89,3,0)*0.475*44/12</f>
        <v>0.17784801414070886</v>
      </c>
      <c r="AC174" s="22">
        <f t="shared" si="163"/>
        <v>159.39469310981664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1.1368683772161603E-13</v>
      </c>
      <c r="AJ174" s="13">
        <f>AI174*VLOOKUP('Données projet'!$B$10,Paramètres!$A$1:$I$89,3,0)*VLOOKUP('Données projet'!$B$10,Paramètres!$A$1:$I$89,5,0)</f>
        <v>6.7984728957526396E-14</v>
      </c>
      <c r="AK174" s="13">
        <f t="shared" si="164"/>
        <v>1.0682447123141398E-12</v>
      </c>
      <c r="AL174" s="20">
        <f t="shared" si="165"/>
        <v>1.978932943548152E-12</v>
      </c>
      <c r="AM174" s="59">
        <f t="shared" si="113"/>
        <v>293.3333333333353</v>
      </c>
      <c r="AN174" s="59">
        <f ca="1">AVERAGE(OFFSET($AM$3,0,0,'Données projet'!$E$10+1,1))-AVERAGE(OFFSET($H$3,0,0,'Données projet'!$E$10+1,1))</f>
        <v>388.12151914648013</v>
      </c>
      <c r="AO174" s="59">
        <f t="shared" si="144"/>
        <v>481.43684454382793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18.254599026983268</v>
      </c>
      <c r="AV174" s="21">
        <f>EXP(-LN(2)/25)*AV173+(1-EXP(-LN(2)/25))/(LN(2)/25)*Calculateur!AQ174*Calculateur!AS174*VLOOKUP('Données projet'!$B$10,Paramètres!$A$1:$I$89,3,0)*0.475*44/12</f>
        <v>2.5428975758161192</v>
      </c>
      <c r="AW174" s="21">
        <f>EXP(-LN(2)/2)*AW173+(1-EXP(-LN(2)/2))/(LN(2)/2)*AQ174*AT174*VLOOKUP('Données projet'!$B$10,Paramètres!$A$1:$I$89,3,0)*0.475*44/12</f>
        <v>3.7929661675295029E-16</v>
      </c>
      <c r="AX174" s="21">
        <f t="shared" si="166"/>
        <v>20.797496602799388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415.24818074059294</v>
      </c>
      <c r="BJ174" s="59">
        <f t="shared" si="146"/>
        <v>404.45811532046872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8.3200890984503477</v>
      </c>
      <c r="BQ174" s="21">
        <f>EXP(-LN(2)/25)*BQ173+(1-EXP(-LN(2)/25))/(LN(2)/25)*Calculateur!BL174*Calculateur!BN174*VLOOKUP('Données projet'!$B$11,Paramètres!$A$1:$I$89,3,0)*0.475*44/12</f>
        <v>3.9950426014842919</v>
      </c>
      <c r="BR174" s="21">
        <f>EXP(-LN(2)/2)*BR173+(1-EXP(-LN(2)/2))/(LN(2)/2)*BL174*BO174*VLOOKUP('Données projet'!$B$11,Paramètres!$A$1:$I$89,3,0)*0.475*44/12</f>
        <v>1.5004717143166933E-12</v>
      </c>
      <c r="BS174" s="22">
        <f t="shared" si="169"/>
        <v>12.31513169993614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384.34044781465661</v>
      </c>
      <c r="CE174" s="59">
        <f t="shared" si="148"/>
        <v>374.99493809709708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9.4144202989708994</v>
      </c>
      <c r="CL174" s="21">
        <f>EXP(-LN(2)/25)*CL173+(1-EXP(-LN(2)/25))/(LN(2)/25)*Calculateur!CG174*Calculateur!CI174*VLOOKUP('Données projet'!$B$12,Paramètres!$A$1:$I$89,3,0)*0.475*44/12</f>
        <v>4.5205056962277492</v>
      </c>
      <c r="CM174" s="21">
        <f>EXP(-LN(2)/2)*CM173+(1-EXP(-LN(2)/2))/(LN(2)/2)*CG174*CJ174*VLOOKUP('Données projet'!$B$12,Paramètres!$A$1:$I$89,3,0)*0.475*44/12</f>
        <v>1.3774822295366369E-12</v>
      </c>
      <c r="CN174" s="22">
        <f t="shared" si="172"/>
        <v>13.934925995200025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5.6843418860808015E-13</v>
      </c>
      <c r="CU174" s="17">
        <f>CT174*VLOOKUP('Données projet'!$B$13,Paramètres!$A$1:$I$89,3,0)*VLOOKUP('Données projet'!$B$13,Paramètres!$A$1:$I$89,5,0)</f>
        <v>3.177547114319168E-13</v>
      </c>
      <c r="CV174" s="13">
        <f t="shared" si="173"/>
        <v>4.1725404435445377E-12</v>
      </c>
      <c r="CW174" s="20">
        <f t="shared" si="174"/>
        <v>7.820597394917325E-12</v>
      </c>
      <c r="CX174" s="59">
        <f t="shared" si="122"/>
        <v>293.33333333334116</v>
      </c>
      <c r="CY174" s="59">
        <f ca="1">AVERAGE(OFFSET($CX$3,0,0,'Données projet'!$E$13+1,1))-AVERAGE(OFFSET($H$3,0,0,'Données projet'!$E$13+1,1))</f>
        <v>386.66324266750968</v>
      </c>
      <c r="CZ174" s="59">
        <f t="shared" si="150"/>
        <v>356.22149461585769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31.221426171717191</v>
      </c>
      <c r="DG174" s="21">
        <f>EXP(-LN(2)/25)*DG173+(1-EXP(-LN(2)/25))/(LN(2)/25)*Calculateur!DB174*Calculateur!DD174*VLOOKUP('Données projet'!$B$13,Paramètres!$A$1:$I$89,3,0)*0.475*44/12</f>
        <v>4.666150724225715</v>
      </c>
      <c r="DH174" s="21">
        <f>EXP(-LN(2)/2)*DH173+(1-EXP(-LN(2)/2))/(LN(2)/2)*DB174*DE174*VLOOKUP('Données projet'!$B$13,Paramètres!$A$1:$I$89,3,0)*0.475*44/12</f>
        <v>4.7420261731289557E-14</v>
      </c>
      <c r="DI174" s="22">
        <f t="shared" si="175"/>
        <v>35.887576895942956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>
        <f>DO174*VLOOKUP('Données projet'!$B$14,Paramètres!$A$1:$I$89,3,0)*VLOOKUP('Données projet'!$B$14,Paramètres!$A$1:$I$89,5,0)</f>
        <v>0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347.17417070871716</v>
      </c>
      <c r="DU174" s="59">
        <f t="shared" si="152"/>
        <v>339.56378046986441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6.8197451626642156</v>
      </c>
      <c r="EB174" s="21">
        <f>EXP(-LN(2)/25)*EB173+(1-EXP(-LN(2)/25))/(LN(2)/25)*Calculateur!DW174*Calculateur!DY174*VLOOKUP('Données projet'!$B$14,Paramètres!$A$1:$I$89,3,0)*0.475*44/12</f>
        <v>3.2746250831838446</v>
      </c>
      <c r="EC174" s="21">
        <f>EXP(-LN(2)/2)*EC173+(1-EXP(-LN(2)/2))/(LN(2)/2)*DW174*DZ174*VLOOKUP('Données projet'!$B$14,Paramètres!$A$1:$I$89,3,0)*0.475*44/12</f>
        <v>1.2298948478005709E-12</v>
      </c>
      <c r="ED174" s="22">
        <f t="shared" si="178"/>
        <v>10.094370245849289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>
        <f>EJ174*VLOOKUP('Données projet'!$B$15,Paramètres!$A$1:$I$89,3,0)*VLOOKUP('Données projet'!$B$15,Paramètres!$A$1:$I$89,5,0)</f>
        <v>0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384.34044781465661</v>
      </c>
      <c r="EP174" s="59">
        <f t="shared" si="154"/>
        <v>374.99493809709708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7.6381145821839285</v>
      </c>
      <c r="EW174" s="21">
        <f>EXP(-LN(2)/25)*EW173+(1-EXP(-LN(2)/25))/(LN(2)/25)*Calculateur!ER174*Calculateur!ET174*VLOOKUP('Données projet'!$B$15,Paramètres!$A$1:$I$89,3,0)*0.475*44/12</f>
        <v>3.667580093165911</v>
      </c>
      <c r="EX174" s="21">
        <f>EXP(-LN(2)/2)*EX173+(1-EXP(-LN(2)/2))/(LN(2)/2)*ER174*EU174*VLOOKUP('Données projet'!$B$15,Paramètres!$A$1:$I$89,3,0)*0.475*44/12</f>
        <v>1.3774822295366369E-12</v>
      </c>
      <c r="EY174" s="22">
        <f t="shared" si="181"/>
        <v>11.305694675351216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>
        <f>FE174*VLOOKUP('Données projet'!$B$16,Paramètres!$A$1:$I$89,3,0)*VLOOKUP('Données projet'!$B$16,Paramètres!$A$1:$I$89,5,0)</f>
        <v>0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359.57284550600366</v>
      </c>
      <c r="FK174" s="59">
        <f t="shared" si="156"/>
        <v>351.38386928091433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7.0925349691707904</v>
      </c>
      <c r="FR174" s="21">
        <f>EXP(-LN(2)/25)*FR173+(1-EXP(-LN(2)/25))/(LN(2)/25)*Calculateur!FM174*Calculateur!FO174*VLOOKUP('Données projet'!$B$16,Paramètres!$A$1:$I$89,3,0)*0.475*44/12</f>
        <v>3.4056100865111967</v>
      </c>
      <c r="FS174" s="21">
        <f>EXP(-LN(2)/2)*FS173+(1-EXP(-LN(2)/2))/(LN(2)/2)*FM174*FP174*VLOOKUP('Données projet'!$B$16,Paramètres!$A$1:$I$89,3,0)*0.475*44/12</f>
        <v>1.2790906417126E-12</v>
      </c>
      <c r="FT174" s="22">
        <f t="shared" si="184"/>
        <v>10.498145055683267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6">
        <f t="shared" si="110"/>
        <v>256.66666666666669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3.979039320256561E-13</v>
      </c>
      <c r="O175" s="13">
        <f>N175*VLOOKUP('Données projet'!$B$9,Paramètres!$A$1:$I$89,3,0)*VLOOKUP('Données projet'!$B$9,Paramètres!$A$1:$I$89,5,0)</f>
        <v>3.6002347769681362E-13</v>
      </c>
      <c r="P175" s="13">
        <f t="shared" si="141"/>
        <v>4.6593569189922594E-12</v>
      </c>
      <c r="Q175" s="20">
        <f t="shared" si="162"/>
        <v>8.7420875242334695E-12</v>
      </c>
      <c r="R175" s="59">
        <f t="shared" si="109"/>
        <v>293.33333333334207</v>
      </c>
      <c r="S175" s="59">
        <f ca="1">AVERAGE(OFFSET($R$3,0,0,'Données projet'!$E$9+1,1))-AVERAGE(OFFSET($H$3,0,0,'Données projet'!$E$9+1,1))</f>
        <v>695.0879239758051</v>
      </c>
      <c r="T175" s="59">
        <f t="shared" si="142"/>
        <v>226.22150997227476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134.71548129197976</v>
      </c>
      <c r="AA175" s="21">
        <f>EXP(-LN(2)/25)*AA174+(1-EXP(-LN(2)/25))/(LN(2)/25)*Calculateur!V175*Calculateur!X175*VLOOKUP('Données projet'!$B$9,Paramètres!$A$1:$I$89,3,0)*0.475*44/12</f>
        <v>21.210528249417386</v>
      </c>
      <c r="AB175" s="21">
        <f>EXP(-LN(2)/2)*AB174+(1-EXP(-LN(2)/2))/(LN(2)/2)*V175*Y175*VLOOKUP('Données projet'!$B$9,Paramètres!$A$1:$I$89,3,0)*0.475*44/12</f>
        <v>0.12575753681945623</v>
      </c>
      <c r="AC175" s="22">
        <f t="shared" si="163"/>
        <v>156.05176707821661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1.1368683772161603E-13</v>
      </c>
      <c r="AJ175" s="13">
        <f>AI175*VLOOKUP('Données projet'!$B$10,Paramètres!$A$1:$I$89,3,0)*VLOOKUP('Données projet'!$B$10,Paramètres!$A$1:$I$89,5,0)</f>
        <v>6.7984728957526396E-14</v>
      </c>
      <c r="AK175" s="13">
        <f t="shared" si="164"/>
        <v>1.0682447123141398E-12</v>
      </c>
      <c r="AL175" s="20">
        <f t="shared" si="165"/>
        <v>1.978932943548152E-12</v>
      </c>
      <c r="AM175" s="59">
        <f t="shared" si="113"/>
        <v>293.3333333333353</v>
      </c>
      <c r="AN175" s="59">
        <f ca="1">AVERAGE(OFFSET($AM$3,0,0,'Données projet'!$E$10+1,1))-AVERAGE(OFFSET($H$3,0,0,'Données projet'!$E$10+1,1))</f>
        <v>388.12151914648013</v>
      </c>
      <c r="AO175" s="59">
        <f t="shared" si="144"/>
        <v>481.43684454382793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17.896637474270122</v>
      </c>
      <c r="AV175" s="21">
        <f>EXP(-LN(2)/25)*AV174+(1-EXP(-LN(2)/25))/(LN(2)/25)*Calculateur!AQ175*Calculateur!AS175*VLOOKUP('Données projet'!$B$10,Paramètres!$A$1:$I$89,3,0)*0.475*44/12</f>
        <v>2.4733619078802556</v>
      </c>
      <c r="AW175" s="21">
        <f>EXP(-LN(2)/2)*AW174+(1-EXP(-LN(2)/2))/(LN(2)/2)*AQ175*AT175*VLOOKUP('Données projet'!$B$10,Paramètres!$A$1:$I$89,3,0)*0.475*44/12</f>
        <v>2.6820320978712619E-16</v>
      </c>
      <c r="AX175" s="21">
        <f t="shared" si="166"/>
        <v>20.369999382150379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415.24818074059294</v>
      </c>
      <c r="BJ175" s="59">
        <f t="shared" si="146"/>
        <v>404.45811532046872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8.1569372259829969</v>
      </c>
      <c r="BQ175" s="21">
        <f>EXP(-LN(2)/25)*BQ174+(1-EXP(-LN(2)/25))/(LN(2)/25)*Calculateur!BL175*Calculateur!BN175*VLOOKUP('Données projet'!$B$11,Paramètres!$A$1:$I$89,3,0)*0.475*44/12</f>
        <v>3.8857979514565444</v>
      </c>
      <c r="BR175" s="21">
        <f>EXP(-LN(2)/2)*BR174+(1-EXP(-LN(2)/2))/(LN(2)/2)*BL175*BO175*VLOOKUP('Données projet'!$B$11,Paramètres!$A$1:$I$89,3,0)*0.475*44/12</f>
        <v>1.0609937241719379E-12</v>
      </c>
      <c r="BS175" s="22">
        <f t="shared" si="169"/>
        <v>12.042735177440601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384.34044781465661</v>
      </c>
      <c r="CE175" s="59">
        <f t="shared" si="148"/>
        <v>374.99493809709708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9.2298092591374647</v>
      </c>
      <c r="CL175" s="21">
        <f>EXP(-LN(2)/25)*CL174+(1-EXP(-LN(2)/25))/(LN(2)/25)*Calculateur!CG175*Calculateur!CI175*VLOOKUP('Données projet'!$B$12,Paramètres!$A$1:$I$89,3,0)*0.475*44/12</f>
        <v>4.3968922302413382</v>
      </c>
      <c r="CM175" s="21">
        <f>EXP(-LN(2)/2)*CM174+(1-EXP(-LN(2)/2))/(LN(2)/2)*CG175*CJ175*VLOOKUP('Données projet'!$B$12,Paramètres!$A$1:$I$89,3,0)*0.475*44/12</f>
        <v>9.7402702546932033E-13</v>
      </c>
      <c r="CN175" s="22">
        <f t="shared" si="172"/>
        <v>13.626701489379776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5.6843418860808015E-13</v>
      </c>
      <c r="CU175" s="17">
        <f>CT175*VLOOKUP('Données projet'!$B$13,Paramètres!$A$1:$I$89,3,0)*VLOOKUP('Données projet'!$B$13,Paramètres!$A$1:$I$89,5,0)</f>
        <v>3.177547114319168E-13</v>
      </c>
      <c r="CV175" s="13">
        <f t="shared" si="173"/>
        <v>4.1725404435445377E-12</v>
      </c>
      <c r="CW175" s="20">
        <f t="shared" si="174"/>
        <v>7.820597394917325E-12</v>
      </c>
      <c r="CX175" s="59">
        <f t="shared" si="122"/>
        <v>293.33333333334116</v>
      </c>
      <c r="CY175" s="59">
        <f ca="1">AVERAGE(OFFSET($CX$3,0,0,'Données projet'!$E$13+1,1))-AVERAGE(OFFSET($H$3,0,0,'Données projet'!$E$13+1,1))</f>
        <v>386.66324266750968</v>
      </c>
      <c r="CZ175" s="59">
        <f t="shared" si="150"/>
        <v>356.22149461585769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30.609193047679423</v>
      </c>
      <c r="DG175" s="21">
        <f>EXP(-LN(2)/25)*DG174+(1-EXP(-LN(2)/25))/(LN(2)/25)*Calculateur!DB175*Calculateur!DD175*VLOOKUP('Données projet'!$B$13,Paramètres!$A$1:$I$89,3,0)*0.475*44/12</f>
        <v>4.5385545872895605</v>
      </c>
      <c r="DH175" s="21">
        <f>EXP(-LN(2)/2)*DH174+(1-EXP(-LN(2)/2))/(LN(2)/2)*DB175*DE175*VLOOKUP('Données projet'!$B$13,Paramètres!$A$1:$I$89,3,0)*0.475*44/12</f>
        <v>3.3531188635835778E-14</v>
      </c>
      <c r="DI175" s="22">
        <f t="shared" si="175"/>
        <v>35.147747634969015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>
        <f>DO175*VLOOKUP('Données projet'!$B$14,Paramètres!$A$1:$I$89,3,0)*VLOOKUP('Données projet'!$B$14,Paramètres!$A$1:$I$89,5,0)</f>
        <v>0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347.17417070871716</v>
      </c>
      <c r="DU175" s="59">
        <f t="shared" si="152"/>
        <v>339.56378046986441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6.6860141196581901</v>
      </c>
      <c r="EB175" s="21">
        <f>EXP(-LN(2)/25)*EB174+(1-EXP(-LN(2)/25))/(LN(2)/25)*Calculateur!DW175*Calculateur!DY175*VLOOKUP('Données projet'!$B$14,Paramètres!$A$1:$I$89,3,0)*0.475*44/12</f>
        <v>3.1850802880791336</v>
      </c>
      <c r="EC175" s="21">
        <f>EXP(-LN(2)/2)*EC174+(1-EXP(-LN(2)/2))/(LN(2)/2)*DW175*DZ175*VLOOKUP('Données projet'!$B$14,Paramètres!$A$1:$I$89,3,0)*0.475*44/12</f>
        <v>8.6966698702618045E-13</v>
      </c>
      <c r="ED175" s="22">
        <f t="shared" si="178"/>
        <v>9.8710944077381946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>
        <f>EJ175*VLOOKUP('Données projet'!$B$15,Paramètres!$A$1:$I$89,3,0)*VLOOKUP('Données projet'!$B$15,Paramètres!$A$1:$I$89,5,0)</f>
        <v>0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384.34044781465661</v>
      </c>
      <c r="EP175" s="59">
        <f t="shared" si="154"/>
        <v>374.99493809709708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7.4883358140171792</v>
      </c>
      <c r="EW175" s="21">
        <f>EXP(-LN(2)/25)*EW174+(1-EXP(-LN(2)/25))/(LN(2)/25)*Calculateur!ER175*Calculateur!ET175*VLOOKUP('Données projet'!$B$15,Paramètres!$A$1:$I$89,3,0)*0.475*44/12</f>
        <v>3.5672899226486345</v>
      </c>
      <c r="EX175" s="21">
        <f>EXP(-LN(2)/2)*EX174+(1-EXP(-LN(2)/2))/(LN(2)/2)*ER175*EU175*VLOOKUP('Données projet'!$B$15,Paramètres!$A$1:$I$89,3,0)*0.475*44/12</f>
        <v>9.7402702546932033E-13</v>
      </c>
      <c r="EY175" s="22">
        <f t="shared" si="181"/>
        <v>11.055625736666787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>
        <f>FE175*VLOOKUP('Données projet'!$B$16,Paramètres!$A$1:$I$89,3,0)*VLOOKUP('Données projet'!$B$16,Paramètres!$A$1:$I$89,5,0)</f>
        <v>0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359.57284550600366</v>
      </c>
      <c r="FK175" s="59">
        <f t="shared" si="156"/>
        <v>351.38386928091433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6.9534546844445231</v>
      </c>
      <c r="FR175" s="21">
        <f>EXP(-LN(2)/25)*FR174+(1-EXP(-LN(2)/25))/(LN(2)/25)*Calculateur!FM175*Calculateur!FO175*VLOOKUP('Données projet'!$B$16,Paramètres!$A$1:$I$89,3,0)*0.475*44/12</f>
        <v>3.3124834996022972</v>
      </c>
      <c r="FS175" s="21">
        <f>EXP(-LN(2)/2)*FS174+(1-EXP(-LN(2)/2))/(LN(2)/2)*FM175*FP175*VLOOKUP('Données projet'!$B$16,Paramètres!$A$1:$I$89,3,0)*0.475*44/12</f>
        <v>9.0445366650723209E-13</v>
      </c>
      <c r="FT175" s="22">
        <f t="shared" si="184"/>
        <v>10.265938184047725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6">
        <f t="shared" si="110"/>
        <v>256.66666666666669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3.979039320256561E-13</v>
      </c>
      <c r="O176" s="13">
        <f>N176*VLOOKUP('Données projet'!$B$9,Paramètres!$A$1:$I$89,3,0)*VLOOKUP('Données projet'!$B$9,Paramètres!$A$1:$I$89,5,0)</f>
        <v>3.6002347769681362E-13</v>
      </c>
      <c r="P176" s="13">
        <f t="shared" si="141"/>
        <v>4.6593569189922594E-12</v>
      </c>
      <c r="Q176" s="20">
        <f t="shared" si="162"/>
        <v>8.7420875242334695E-12</v>
      </c>
      <c r="R176" s="59">
        <f t="shared" si="109"/>
        <v>293.33333333334207</v>
      </c>
      <c r="S176" s="59">
        <f ca="1">AVERAGE(OFFSET($R$3,0,0,'Données projet'!$E$9+1,1))-AVERAGE(OFFSET($H$3,0,0,'Données projet'!$E$9+1,1))</f>
        <v>695.0879239758051</v>
      </c>
      <c r="T176" s="59">
        <f t="shared" si="142"/>
        <v>226.22150997227476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132.07379287217418</v>
      </c>
      <c r="AA176" s="21">
        <f>EXP(-LN(2)/25)*AA175+(1-EXP(-LN(2)/25))/(LN(2)/25)*Calculateur!V176*Calculateur!X176*VLOOKUP('Données projet'!$B$9,Paramètres!$A$1:$I$89,3,0)*0.475*44/12</f>
        <v>20.630525239023864</v>
      </c>
      <c r="AB176" s="21">
        <f>EXP(-LN(2)/2)*AB175+(1-EXP(-LN(2)/2))/(LN(2)/2)*V176*Y176*VLOOKUP('Données projet'!$B$9,Paramètres!$A$1:$I$89,3,0)*0.475*44/12</f>
        <v>8.892400707035443E-2</v>
      </c>
      <c r="AC176" s="22">
        <f t="shared" si="163"/>
        <v>152.79324211826838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1.1368683772161603E-13</v>
      </c>
      <c r="AJ176" s="13">
        <f>AI176*VLOOKUP('Données projet'!$B$10,Paramètres!$A$1:$I$89,3,0)*VLOOKUP('Données projet'!$B$10,Paramètres!$A$1:$I$89,5,0)</f>
        <v>6.7984728957526396E-14</v>
      </c>
      <c r="AK176" s="13">
        <f t="shared" si="164"/>
        <v>1.0682447123141398E-12</v>
      </c>
      <c r="AL176" s="20">
        <f t="shared" si="165"/>
        <v>1.978932943548152E-12</v>
      </c>
      <c r="AM176" s="59">
        <f t="shared" si="113"/>
        <v>293.3333333333353</v>
      </c>
      <c r="AN176" s="59">
        <f ca="1">AVERAGE(OFFSET($AM$3,0,0,'Données projet'!$E$10+1,1))-AVERAGE(OFFSET($H$3,0,0,'Données projet'!$E$10+1,1))</f>
        <v>388.12151914648013</v>
      </c>
      <c r="AO176" s="59">
        <f t="shared" si="144"/>
        <v>481.43684454382793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17.545695329270693</v>
      </c>
      <c r="AV176" s="21">
        <f>EXP(-LN(2)/25)*AV175+(1-EXP(-LN(2)/25))/(LN(2)/25)*Calculateur!AQ176*Calculateur!AS176*VLOOKUP('Données projet'!$B$10,Paramètres!$A$1:$I$89,3,0)*0.475*44/12</f>
        <v>2.4057276964408203</v>
      </c>
      <c r="AW176" s="21">
        <f>EXP(-LN(2)/2)*AW175+(1-EXP(-LN(2)/2))/(LN(2)/2)*AQ176*AT176*VLOOKUP('Données projet'!$B$10,Paramètres!$A$1:$I$89,3,0)*0.475*44/12</f>
        <v>1.8964830837647514E-16</v>
      </c>
      <c r="AX176" s="21">
        <f t="shared" si="166"/>
        <v>19.951423025711513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415.24818074059294</v>
      </c>
      <c r="BJ176" s="59">
        <f t="shared" si="146"/>
        <v>404.45811532046872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7.9969846622219141</v>
      </c>
      <c r="BQ176" s="21">
        <f>EXP(-LN(2)/25)*BQ175+(1-EXP(-LN(2)/25))/(LN(2)/25)*Calculateur!BL176*Calculateur!BN176*VLOOKUP('Données projet'!$B$11,Paramètres!$A$1:$I$89,3,0)*0.475*44/12</f>
        <v>3.7795406021287321</v>
      </c>
      <c r="BR176" s="21">
        <f>EXP(-LN(2)/2)*BR175+(1-EXP(-LN(2)/2))/(LN(2)/2)*BL176*BO176*VLOOKUP('Données projet'!$B$11,Paramètres!$A$1:$I$89,3,0)*0.475*44/12</f>
        <v>7.5023585715834667E-13</v>
      </c>
      <c r="BS176" s="22">
        <f t="shared" si="169"/>
        <v>11.776525264351395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384.34044781465661</v>
      </c>
      <c r="CE176" s="59">
        <f t="shared" si="148"/>
        <v>374.99493809709708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9.0488183291935478</v>
      </c>
      <c r="CL176" s="21">
        <f>EXP(-LN(2)/25)*CL175+(1-EXP(-LN(2)/25))/(LN(2)/25)*Calculateur!CG176*Calculateur!CI176*VLOOKUP('Données projet'!$B$12,Paramètres!$A$1:$I$89,3,0)*0.475*44/12</f>
        <v>4.2766589809828757</v>
      </c>
      <c r="CM176" s="21">
        <f>EXP(-LN(2)/2)*CM175+(1-EXP(-LN(2)/2))/(LN(2)/2)*CG176*CJ176*VLOOKUP('Données projet'!$B$12,Paramètres!$A$1:$I$89,3,0)*0.475*44/12</f>
        <v>6.8874111476831845E-13</v>
      </c>
      <c r="CN176" s="22">
        <f t="shared" si="172"/>
        <v>13.325477310177114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5.6843418860808015E-13</v>
      </c>
      <c r="CU176" s="17">
        <f>CT176*VLOOKUP('Données projet'!$B$13,Paramètres!$A$1:$I$89,3,0)*VLOOKUP('Données projet'!$B$13,Paramètres!$A$1:$I$89,5,0)</f>
        <v>3.177547114319168E-13</v>
      </c>
      <c r="CV176" s="13">
        <f t="shared" si="173"/>
        <v>4.1725404435445377E-12</v>
      </c>
      <c r="CW176" s="20">
        <f t="shared" si="174"/>
        <v>7.820597394917325E-12</v>
      </c>
      <c r="CX176" s="59">
        <f t="shared" si="122"/>
        <v>293.33333333334116</v>
      </c>
      <c r="CY176" s="59">
        <f ca="1">AVERAGE(OFFSET($CX$3,0,0,'Données projet'!$E$13+1,1))-AVERAGE(OFFSET($H$3,0,0,'Données projet'!$E$13+1,1))</f>
        <v>386.66324266750968</v>
      </c>
      <c r="CZ176" s="59">
        <f t="shared" si="150"/>
        <v>356.22149461585769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30.008965441778702</v>
      </c>
      <c r="DG176" s="21">
        <f>EXP(-LN(2)/25)*DG175+(1-EXP(-LN(2)/25))/(LN(2)/25)*Calculateur!DB176*Calculateur!DD176*VLOOKUP('Données projet'!$B$13,Paramètres!$A$1:$I$89,3,0)*0.475*44/12</f>
        <v>4.4144475734279149</v>
      </c>
      <c r="DH176" s="21">
        <f>EXP(-LN(2)/2)*DH175+(1-EXP(-LN(2)/2))/(LN(2)/2)*DB176*DE176*VLOOKUP('Données projet'!$B$13,Paramètres!$A$1:$I$89,3,0)*0.475*44/12</f>
        <v>2.3710130865644779E-14</v>
      </c>
      <c r="DI176" s="22">
        <f t="shared" si="175"/>
        <v>34.423413015206641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>
        <f>DO176*VLOOKUP('Données projet'!$B$14,Paramètres!$A$1:$I$89,3,0)*VLOOKUP('Données projet'!$B$14,Paramètres!$A$1:$I$89,5,0)</f>
        <v>0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347.17417070871716</v>
      </c>
      <c r="DU176" s="59">
        <f t="shared" si="152"/>
        <v>339.56378046986441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6.55490546083763</v>
      </c>
      <c r="EB176" s="21">
        <f>EXP(-LN(2)/25)*EB175+(1-EXP(-LN(2)/25))/(LN(2)/25)*Calculateur!DW176*Calculateur!DY176*VLOOKUP('Données projet'!$B$14,Paramètres!$A$1:$I$89,3,0)*0.475*44/12</f>
        <v>3.0979841001055171</v>
      </c>
      <c r="EC176" s="21">
        <f>EXP(-LN(2)/2)*EC175+(1-EXP(-LN(2)/2))/(LN(2)/2)*DW176*DZ176*VLOOKUP('Données projet'!$B$14,Paramètres!$A$1:$I$89,3,0)*0.475*44/12</f>
        <v>6.1494742390028544E-13</v>
      </c>
      <c r="ED176" s="22">
        <f t="shared" si="178"/>
        <v>9.6528895609437626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>
        <f>EJ176*VLOOKUP('Données projet'!$B$15,Paramètres!$A$1:$I$89,3,0)*VLOOKUP('Données projet'!$B$15,Paramètres!$A$1:$I$89,5,0)</f>
        <v>0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384.34044781465661</v>
      </c>
      <c r="EP176" s="59">
        <f t="shared" si="154"/>
        <v>374.99493809709708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7.3414941161381524</v>
      </c>
      <c r="EW176" s="21">
        <f>EXP(-LN(2)/25)*EW175+(1-EXP(-LN(2)/25))/(LN(2)/25)*Calculateur!ER176*Calculateur!ET176*VLOOKUP('Données projet'!$B$15,Paramètres!$A$1:$I$89,3,0)*0.475*44/12</f>
        <v>3.4697421921181837</v>
      </c>
      <c r="EX176" s="21">
        <f>EXP(-LN(2)/2)*EX175+(1-EXP(-LN(2)/2))/(LN(2)/2)*ER176*EU176*VLOOKUP('Données projet'!$B$15,Paramètres!$A$1:$I$89,3,0)*0.475*44/12</f>
        <v>6.8874111476831845E-13</v>
      </c>
      <c r="EY176" s="22">
        <f t="shared" si="181"/>
        <v>10.811236308257026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>
        <f>FE176*VLOOKUP('Données projet'!$B$16,Paramètres!$A$1:$I$89,3,0)*VLOOKUP('Données projet'!$B$16,Paramètres!$A$1:$I$89,5,0)</f>
        <v>0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359.57284550600366</v>
      </c>
      <c r="FK176" s="59">
        <f t="shared" si="156"/>
        <v>351.38386928091433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6.8171016792711407</v>
      </c>
      <c r="FR176" s="21">
        <f>EXP(-LN(2)/25)*FR175+(1-EXP(-LN(2)/25))/(LN(2)/25)*Calculateur!FM176*Calculateur!FO176*VLOOKUP('Données projet'!$B$16,Paramètres!$A$1:$I$89,3,0)*0.475*44/12</f>
        <v>3.2219034641097357</v>
      </c>
      <c r="FS176" s="21">
        <f>EXP(-LN(2)/2)*FS175+(1-EXP(-LN(2)/2))/(LN(2)/2)*FM176*FP176*VLOOKUP('Données projet'!$B$16,Paramètres!$A$1:$I$89,3,0)*0.475*44/12</f>
        <v>6.3954532085630008E-13</v>
      </c>
      <c r="FT176" s="22">
        <f t="shared" si="184"/>
        <v>10.039005143381516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6">
        <f t="shared" si="110"/>
        <v>256.66666666666669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3.979039320256561E-13</v>
      </c>
      <c r="O177" s="13">
        <f>N177*VLOOKUP('Données projet'!$B$9,Paramètres!$A$1:$I$89,3,0)*VLOOKUP('Données projet'!$B$9,Paramètres!$A$1:$I$89,5,0)</f>
        <v>3.6002347769681362E-13</v>
      </c>
      <c r="P177" s="13">
        <f t="shared" si="141"/>
        <v>4.6593569189922594E-12</v>
      </c>
      <c r="Q177" s="20">
        <f t="shared" si="162"/>
        <v>8.7420875242334695E-12</v>
      </c>
      <c r="R177" s="59">
        <f t="shared" si="109"/>
        <v>293.33333333334207</v>
      </c>
      <c r="S177" s="59">
        <f ca="1">AVERAGE(OFFSET($R$3,0,0,'Données projet'!$E$9+1,1))-AVERAGE(OFFSET($H$3,0,0,'Données projet'!$E$9+1,1))</f>
        <v>695.0879239758051</v>
      </c>
      <c r="T177" s="59">
        <f t="shared" si="142"/>
        <v>226.22150997227476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129.48390635101015</v>
      </c>
      <c r="AA177" s="21">
        <f>EXP(-LN(2)/25)*AA176+(1-EXP(-LN(2)/25))/(LN(2)/25)*Calculateur!V177*Calculateur!X177*VLOOKUP('Données projet'!$B$9,Paramètres!$A$1:$I$89,3,0)*0.475*44/12</f>
        <v>20.066382441450585</v>
      </c>
      <c r="AB177" s="21">
        <f>EXP(-LN(2)/2)*AB176+(1-EXP(-LN(2)/2))/(LN(2)/2)*V177*Y177*VLOOKUP('Données projet'!$B$9,Paramètres!$A$1:$I$89,3,0)*0.475*44/12</f>
        <v>6.2878768409728114E-2</v>
      </c>
      <c r="AC177" s="22">
        <f t="shared" si="163"/>
        <v>149.61316756087044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1.1368683772161603E-13</v>
      </c>
      <c r="AJ177" s="13">
        <f>AI177*VLOOKUP('Données projet'!$B$10,Paramètres!$A$1:$I$89,3,0)*VLOOKUP('Données projet'!$B$10,Paramètres!$A$1:$I$89,5,0)</f>
        <v>6.7984728957526396E-14</v>
      </c>
      <c r="AK177" s="13">
        <f t="shared" si="164"/>
        <v>1.0682447123141398E-12</v>
      </c>
      <c r="AL177" s="20">
        <f t="shared" si="165"/>
        <v>1.978932943548152E-12</v>
      </c>
      <c r="AM177" s="59">
        <f t="shared" si="113"/>
        <v>293.3333333333353</v>
      </c>
      <c r="AN177" s="59">
        <f ca="1">AVERAGE(OFFSET($AM$3,0,0,'Données projet'!$E$10+1,1))-AVERAGE(OFFSET($H$3,0,0,'Données projet'!$E$10+1,1))</f>
        <v>388.12151914648013</v>
      </c>
      <c r="AO177" s="59">
        <f t="shared" si="144"/>
        <v>481.43684454382793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17.201634945681128</v>
      </c>
      <c r="AV177" s="21">
        <f>EXP(-LN(2)/25)*AV176+(1-EXP(-LN(2)/25))/(LN(2)/25)*Calculateur!AQ177*Calculateur!AS177*VLOOKUP('Données projet'!$B$10,Paramètres!$A$1:$I$89,3,0)*0.475*44/12</f>
        <v>2.3399429460699248</v>
      </c>
      <c r="AW177" s="21">
        <f>EXP(-LN(2)/2)*AW176+(1-EXP(-LN(2)/2))/(LN(2)/2)*AQ177*AT177*VLOOKUP('Données projet'!$B$10,Paramètres!$A$1:$I$89,3,0)*0.475*44/12</f>
        <v>1.341016048935631E-16</v>
      </c>
      <c r="AX177" s="21">
        <f t="shared" si="166"/>
        <v>19.541577891751054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415.24818074059294</v>
      </c>
      <c r="BJ177" s="59">
        <f t="shared" si="146"/>
        <v>404.45811532046872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7.8401686706747551</v>
      </c>
      <c r="BQ177" s="21">
        <f>EXP(-LN(2)/25)*BQ176+(1-EXP(-LN(2)/25))/(LN(2)/25)*Calculateur!BL177*Calculateur!BN177*VLOOKUP('Données projet'!$B$11,Paramètres!$A$1:$I$89,3,0)*0.475*44/12</f>
        <v>3.6761888656061199</v>
      </c>
      <c r="BR177" s="21">
        <f>EXP(-LN(2)/2)*BR176+(1-EXP(-LN(2)/2))/(LN(2)/2)*BL177*BO177*VLOOKUP('Données projet'!$B$11,Paramètres!$A$1:$I$89,3,0)*0.475*44/12</f>
        <v>5.3049686208596896E-13</v>
      </c>
      <c r="BS177" s="22">
        <f t="shared" si="169"/>
        <v>11.516357536281406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384.34044781465661</v>
      </c>
      <c r="CE177" s="59">
        <f t="shared" si="148"/>
        <v>374.99493809709708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8.8713765209922641</v>
      </c>
      <c r="CL177" s="21">
        <f>EXP(-LN(2)/25)*CL176+(1-EXP(-LN(2)/25))/(LN(2)/25)*Calculateur!CG177*Calculateur!CI177*VLOOKUP('Données projet'!$B$12,Paramètres!$A$1:$I$89,3,0)*0.475*44/12</f>
        <v>4.1597135162481775</v>
      </c>
      <c r="CM177" s="21">
        <f>EXP(-LN(2)/2)*CM176+(1-EXP(-LN(2)/2))/(LN(2)/2)*CG177*CJ177*VLOOKUP('Données projet'!$B$12,Paramètres!$A$1:$I$89,3,0)*0.475*44/12</f>
        <v>4.8701351273466016E-13</v>
      </c>
      <c r="CN177" s="22">
        <f t="shared" si="172"/>
        <v>13.031090037240929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5.6843418860808015E-13</v>
      </c>
      <c r="CU177" s="17">
        <f>CT177*VLOOKUP('Données projet'!$B$13,Paramètres!$A$1:$I$89,3,0)*VLOOKUP('Données projet'!$B$13,Paramètres!$A$1:$I$89,5,0)</f>
        <v>3.177547114319168E-13</v>
      </c>
      <c r="CV177" s="13">
        <f t="shared" si="173"/>
        <v>4.1725404435445377E-12</v>
      </c>
      <c r="CW177" s="20">
        <f t="shared" si="174"/>
        <v>7.820597394917325E-12</v>
      </c>
      <c r="CX177" s="59">
        <f t="shared" si="122"/>
        <v>293.33333333334116</v>
      </c>
      <c r="CY177" s="59">
        <f ca="1">AVERAGE(OFFSET($CX$3,0,0,'Données projet'!$E$13+1,1))-AVERAGE(OFFSET($H$3,0,0,'Données projet'!$E$13+1,1))</f>
        <v>386.66324266750968</v>
      </c>
      <c r="CZ177" s="59">
        <f t="shared" si="150"/>
        <v>356.22149461585769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29.420507933127006</v>
      </c>
      <c r="DG177" s="21">
        <f>EXP(-LN(2)/25)*DG176+(1-EXP(-LN(2)/25))/(LN(2)/25)*Calculateur!DB177*Calculateur!DD177*VLOOKUP('Données projet'!$B$13,Paramètres!$A$1:$I$89,3,0)*0.475*44/12</f>
        <v>4.2937342723868204</v>
      </c>
      <c r="DH177" s="21">
        <f>EXP(-LN(2)/2)*DH176+(1-EXP(-LN(2)/2))/(LN(2)/2)*DB177*DE177*VLOOKUP('Données projet'!$B$13,Paramètres!$A$1:$I$89,3,0)*0.475*44/12</f>
        <v>1.6765594317917889E-14</v>
      </c>
      <c r="DI177" s="22">
        <f t="shared" si="175"/>
        <v>33.714242205513841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>
        <f>DO177*VLOOKUP('Données projet'!$B$14,Paramètres!$A$1:$I$89,3,0)*VLOOKUP('Données projet'!$B$14,Paramètres!$A$1:$I$89,5,0)</f>
        <v>0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347.17417070871716</v>
      </c>
      <c r="DU177" s="59">
        <f t="shared" si="152"/>
        <v>339.56378046986441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6.4263677628481561</v>
      </c>
      <c r="EB177" s="21">
        <f>EXP(-LN(2)/25)*EB176+(1-EXP(-LN(2)/25))/(LN(2)/25)*Calculateur!DW177*Calculateur!DY177*VLOOKUP('Données projet'!$B$14,Paramètres!$A$1:$I$89,3,0)*0.475*44/12</f>
        <v>3.0132695619722285</v>
      </c>
      <c r="EC177" s="21">
        <f>EXP(-LN(2)/2)*EC176+(1-EXP(-LN(2)/2))/(LN(2)/2)*DW177*DZ177*VLOOKUP('Données projet'!$B$14,Paramètres!$A$1:$I$89,3,0)*0.475*44/12</f>
        <v>4.3483349351309023E-13</v>
      </c>
      <c r="ED177" s="22">
        <f t="shared" si="178"/>
        <v>9.4396373248208203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>
        <f>EJ177*VLOOKUP('Données projet'!$B$15,Paramètres!$A$1:$I$89,3,0)*VLOOKUP('Données projet'!$B$15,Paramètres!$A$1:$I$89,5,0)</f>
        <v>0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384.34044781465661</v>
      </c>
      <c r="EP177" s="59">
        <f t="shared" si="154"/>
        <v>374.99493809709708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7.1975318943899413</v>
      </c>
      <c r="EW177" s="21">
        <f>EXP(-LN(2)/25)*EW176+(1-EXP(-LN(2)/25))/(LN(2)/25)*Calculateur!ER177*Calculateur!ET177*VLOOKUP('Données projet'!$B$15,Paramètres!$A$1:$I$89,3,0)*0.475*44/12</f>
        <v>3.3748619094089003</v>
      </c>
      <c r="EX177" s="21">
        <f>EXP(-LN(2)/2)*EX176+(1-EXP(-LN(2)/2))/(LN(2)/2)*ER177*EU177*VLOOKUP('Données projet'!$B$15,Paramètres!$A$1:$I$89,3,0)*0.475*44/12</f>
        <v>4.8701351273466016E-13</v>
      </c>
      <c r="EY177" s="22">
        <f t="shared" si="181"/>
        <v>10.572393803799329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>
        <f>FE177*VLOOKUP('Données projet'!$B$16,Paramètres!$A$1:$I$89,3,0)*VLOOKUP('Données projet'!$B$16,Paramètres!$A$1:$I$89,5,0)</f>
        <v>0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359.57284550600366</v>
      </c>
      <c r="FK177" s="59">
        <f t="shared" si="156"/>
        <v>351.38386928091433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6.6834224733620875</v>
      </c>
      <c r="FR177" s="21">
        <f>EXP(-LN(2)/25)*FR176+(1-EXP(-LN(2)/25))/(LN(2)/25)*Calculateur!FM177*Calculateur!FO177*VLOOKUP('Données projet'!$B$16,Paramètres!$A$1:$I$89,3,0)*0.475*44/12</f>
        <v>3.1338003444511155</v>
      </c>
      <c r="FS177" s="21">
        <f>EXP(-LN(2)/2)*FS176+(1-EXP(-LN(2)/2))/(LN(2)/2)*FM177*FP177*VLOOKUP('Données projet'!$B$16,Paramètres!$A$1:$I$89,3,0)*0.475*44/12</f>
        <v>4.5222683325361615E-13</v>
      </c>
      <c r="FT177" s="22">
        <f t="shared" si="184"/>
        <v>9.817222817813656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6">
        <f t="shared" si="110"/>
        <v>256.66666666666669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3.979039320256561E-13</v>
      </c>
      <c r="O178" s="13">
        <f>N178*VLOOKUP('Données projet'!$B$9,Paramètres!$A$1:$I$89,3,0)*VLOOKUP('Données projet'!$B$9,Paramètres!$A$1:$I$89,5,0)</f>
        <v>3.6002347769681362E-13</v>
      </c>
      <c r="P178" s="13">
        <f t="shared" si="141"/>
        <v>4.6593569189922594E-12</v>
      </c>
      <c r="Q178" s="20">
        <f t="shared" si="162"/>
        <v>8.7420875242334695E-12</v>
      </c>
      <c r="R178" s="59">
        <f t="shared" si="109"/>
        <v>293.33333333334207</v>
      </c>
      <c r="S178" s="59">
        <f ca="1">AVERAGE(OFFSET($R$3,0,0,'Données projet'!$E$9+1,1))-AVERAGE(OFFSET($H$3,0,0,'Données projet'!$E$9+1,1))</f>
        <v>695.0879239758051</v>
      </c>
      <c r="T178" s="59">
        <f t="shared" si="142"/>
        <v>226.22150997227476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126.94480592485134</v>
      </c>
      <c r="AA178" s="21">
        <f>EXP(-LN(2)/25)*AA177+(1-EXP(-LN(2)/25))/(LN(2)/25)*Calculateur!V178*Calculateur!X178*VLOOKUP('Données projet'!$B$9,Paramètres!$A$1:$I$89,3,0)*0.475*44/12</f>
        <v>19.517666158343928</v>
      </c>
      <c r="AB178" s="21">
        <f>EXP(-LN(2)/2)*AB177+(1-EXP(-LN(2)/2))/(LN(2)/2)*V178*Y178*VLOOKUP('Données projet'!$B$9,Paramètres!$A$1:$I$89,3,0)*0.475*44/12</f>
        <v>4.4462003535177215E-2</v>
      </c>
      <c r="AC178" s="22">
        <f t="shared" si="163"/>
        <v>146.50693408673047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1.1368683772161603E-13</v>
      </c>
      <c r="AJ178" s="13">
        <f>AI178*VLOOKUP('Données projet'!$B$10,Paramètres!$A$1:$I$89,3,0)*VLOOKUP('Données projet'!$B$10,Paramètres!$A$1:$I$89,5,0)</f>
        <v>6.7984728957526396E-14</v>
      </c>
      <c r="AK178" s="13">
        <f t="shared" si="164"/>
        <v>1.0682447123141398E-12</v>
      </c>
      <c r="AL178" s="20">
        <f t="shared" si="165"/>
        <v>1.978932943548152E-12</v>
      </c>
      <c r="AM178" s="59">
        <f t="shared" si="113"/>
        <v>293.3333333333353</v>
      </c>
      <c r="AN178" s="59">
        <f ca="1">AVERAGE(OFFSET($AM$3,0,0,'Données projet'!$E$10+1,1))-AVERAGE(OFFSET($H$3,0,0,'Données projet'!$E$10+1,1))</f>
        <v>388.12151914648013</v>
      </c>
      <c r="AO178" s="59">
        <f t="shared" si="144"/>
        <v>481.43684454382793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16.864321376357644</v>
      </c>
      <c r="AV178" s="21">
        <f>EXP(-LN(2)/25)*AV177+(1-EXP(-LN(2)/25))/(LN(2)/25)*Calculateur!AQ178*Calculateur!AS178*VLOOKUP('Données projet'!$B$10,Paramètres!$A$1:$I$89,3,0)*0.475*44/12</f>
        <v>2.2759570831573912</v>
      </c>
      <c r="AW178" s="21">
        <f>EXP(-LN(2)/2)*AW177+(1-EXP(-LN(2)/2))/(LN(2)/2)*AQ178*AT178*VLOOKUP('Données projet'!$B$10,Paramètres!$A$1:$I$89,3,0)*0.475*44/12</f>
        <v>9.4824154188237572E-17</v>
      </c>
      <c r="AX178" s="21">
        <f t="shared" si="166"/>
        <v>19.140278459515034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415.24818074059294</v>
      </c>
      <c r="BJ178" s="59">
        <f t="shared" si="146"/>
        <v>404.45811532046872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7.6864277450735257</v>
      </c>
      <c r="BQ178" s="21">
        <f>EXP(-LN(2)/25)*BQ177+(1-EXP(-LN(2)/25))/(LN(2)/25)*Calculateur!BL178*Calculateur!BN178*VLOOKUP('Données projet'!$B$11,Paramètres!$A$1:$I$89,3,0)*0.475*44/12</f>
        <v>3.5756632877537502</v>
      </c>
      <c r="BR178" s="21">
        <f>EXP(-LN(2)/2)*BR177+(1-EXP(-LN(2)/2))/(LN(2)/2)*BL178*BO178*VLOOKUP('Données projet'!$B$11,Paramètres!$A$1:$I$89,3,0)*0.475*44/12</f>
        <v>3.7511792857917334E-13</v>
      </c>
      <c r="BS178" s="22">
        <f t="shared" si="169"/>
        <v>11.26209103282765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384.34044781465661</v>
      </c>
      <c r="CE178" s="59">
        <f t="shared" si="148"/>
        <v>374.99493809709708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8.6974142384209916</v>
      </c>
      <c r="CL178" s="21">
        <f>EXP(-LN(2)/25)*CL177+(1-EXP(-LN(2)/25))/(LN(2)/25)*Calculateur!CG178*Calculateur!CI178*VLOOKUP('Données projet'!$B$12,Paramètres!$A$1:$I$89,3,0)*0.475*44/12</f>
        <v>4.0459659313965446</v>
      </c>
      <c r="CM178" s="21">
        <f>EXP(-LN(2)/2)*CM177+(1-EXP(-LN(2)/2))/(LN(2)/2)*CG178*CJ178*VLOOKUP('Données projet'!$B$12,Paramètres!$A$1:$I$89,3,0)*0.475*44/12</f>
        <v>3.4437055738415923E-13</v>
      </c>
      <c r="CN178" s="22">
        <f t="shared" si="172"/>
        <v>12.743380169817881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5.6843418860808015E-13</v>
      </c>
      <c r="CU178" s="17">
        <f>CT178*VLOOKUP('Données projet'!$B$13,Paramètres!$A$1:$I$89,3,0)*VLOOKUP('Données projet'!$B$13,Paramètres!$A$1:$I$89,5,0)</f>
        <v>3.177547114319168E-13</v>
      </c>
      <c r="CV178" s="13">
        <f t="shared" si="173"/>
        <v>4.1725404435445377E-12</v>
      </c>
      <c r="CW178" s="20">
        <f t="shared" si="174"/>
        <v>7.820597394917325E-12</v>
      </c>
      <c r="CX178" s="59">
        <f t="shared" si="122"/>
        <v>293.33333333334116</v>
      </c>
      <c r="CY178" s="59">
        <f ca="1">AVERAGE(OFFSET($CX$3,0,0,'Données projet'!$E$13+1,1))-AVERAGE(OFFSET($H$3,0,0,'Données projet'!$E$13+1,1))</f>
        <v>386.66324266750968</v>
      </c>
      <c r="CZ178" s="59">
        <f t="shared" si="150"/>
        <v>356.22149461585769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28.843589717296329</v>
      </c>
      <c r="DG178" s="21">
        <f>EXP(-LN(2)/25)*DG177+(1-EXP(-LN(2)/25))/(LN(2)/25)*Calculateur!DB178*Calculateur!DD178*VLOOKUP('Données projet'!$B$13,Paramètres!$A$1:$I$89,3,0)*0.475*44/12</f>
        <v>4.1763218829107309</v>
      </c>
      <c r="DH178" s="21">
        <f>EXP(-LN(2)/2)*DH177+(1-EXP(-LN(2)/2))/(LN(2)/2)*DB178*DE178*VLOOKUP('Données projet'!$B$13,Paramètres!$A$1:$I$89,3,0)*0.475*44/12</f>
        <v>1.1855065432822389E-14</v>
      </c>
      <c r="DI178" s="22">
        <f t="shared" si="175"/>
        <v>33.019911600207074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>
        <f>DO178*VLOOKUP('Données projet'!$B$14,Paramètres!$A$1:$I$89,3,0)*VLOOKUP('Données projet'!$B$14,Paramètres!$A$1:$I$89,5,0)</f>
        <v>0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347.17417070871716</v>
      </c>
      <c r="DU178" s="59">
        <f t="shared" si="152"/>
        <v>339.56378046986441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6.3003506107160012</v>
      </c>
      <c r="EB178" s="21">
        <f>EXP(-LN(2)/25)*EB177+(1-EXP(-LN(2)/25))/(LN(2)/25)*Calculateur!DW178*Calculateur!DY178*VLOOKUP('Données projet'!$B$14,Paramètres!$A$1:$I$89,3,0)*0.475*44/12</f>
        <v>2.9308715473391387</v>
      </c>
      <c r="EC178" s="21">
        <f>EXP(-LN(2)/2)*EC177+(1-EXP(-LN(2)/2))/(LN(2)/2)*DW178*DZ178*VLOOKUP('Données projet'!$B$14,Paramètres!$A$1:$I$89,3,0)*0.475*44/12</f>
        <v>3.0747371195014272E-13</v>
      </c>
      <c r="ED178" s="22">
        <f t="shared" si="178"/>
        <v>9.2312221580554468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>
        <f>EJ178*VLOOKUP('Données projet'!$B$15,Paramètres!$A$1:$I$89,3,0)*VLOOKUP('Données projet'!$B$15,Paramètres!$A$1:$I$89,5,0)</f>
        <v>0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384.34044781465661</v>
      </c>
      <c r="EP178" s="59">
        <f t="shared" si="154"/>
        <v>374.99493809709708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7.0563926840019278</v>
      </c>
      <c r="EW178" s="21">
        <f>EXP(-LN(2)/25)*EW177+(1-EXP(-LN(2)/25))/(LN(2)/25)*Calculateur!ER178*Calculateur!ET178*VLOOKUP('Données projet'!$B$15,Paramètres!$A$1:$I$89,3,0)*0.475*44/12</f>
        <v>3.2825761330198393</v>
      </c>
      <c r="EX178" s="21">
        <f>EXP(-LN(2)/2)*EX177+(1-EXP(-LN(2)/2))/(LN(2)/2)*ER178*EU178*VLOOKUP('Données projet'!$B$15,Paramètres!$A$1:$I$89,3,0)*0.475*44/12</f>
        <v>3.4437055738415923E-13</v>
      </c>
      <c r="EY178" s="22">
        <f t="shared" si="181"/>
        <v>10.338968817022112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>
        <f>FE178*VLOOKUP('Données projet'!$B$16,Paramètres!$A$1:$I$89,3,0)*VLOOKUP('Données projet'!$B$16,Paramètres!$A$1:$I$89,5,0)</f>
        <v>0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359.57284550600366</v>
      </c>
      <c r="FK178" s="59">
        <f t="shared" si="156"/>
        <v>351.38386928091433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6.5523646351446461</v>
      </c>
      <c r="FR178" s="21">
        <f>EXP(-LN(2)/25)*FR177+(1-EXP(-LN(2)/25))/(LN(2)/25)*Calculateur!FM178*Calculateur!FO178*VLOOKUP('Données projet'!$B$16,Paramètres!$A$1:$I$89,3,0)*0.475*44/12</f>
        <v>3.0481064092327022</v>
      </c>
      <c r="FS178" s="21">
        <f>EXP(-LN(2)/2)*FS177+(1-EXP(-LN(2)/2))/(LN(2)/2)*FM178*FP178*VLOOKUP('Données projet'!$B$16,Paramètres!$A$1:$I$89,3,0)*0.475*44/12</f>
        <v>3.1977266042815009E-13</v>
      </c>
      <c r="FT178" s="22">
        <f t="shared" si="184"/>
        <v>9.6004710443776684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6">
        <f t="shared" si="110"/>
        <v>256.66666666666669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3.979039320256561E-13</v>
      </c>
      <c r="O179" s="13">
        <f>N179*VLOOKUP('Données projet'!$B$9,Paramètres!$A$1:$I$89,3,0)*VLOOKUP('Données projet'!$B$9,Paramètres!$A$1:$I$89,5,0)</f>
        <v>3.6002347769681362E-13</v>
      </c>
      <c r="P179" s="13">
        <f t="shared" si="141"/>
        <v>4.6593569189922594E-12</v>
      </c>
      <c r="Q179" s="20">
        <f t="shared" si="162"/>
        <v>8.7420875242334695E-12</v>
      </c>
      <c r="R179" s="59">
        <f t="shared" si="109"/>
        <v>293.33333333334207</v>
      </c>
      <c r="S179" s="59">
        <f ca="1">AVERAGE(OFFSET($R$3,0,0,'Données projet'!$E$9+1,1))-AVERAGE(OFFSET($H$3,0,0,'Données projet'!$E$9+1,1))</f>
        <v>695.0879239758051</v>
      </c>
      <c r="T179" s="59">
        <f t="shared" si="142"/>
        <v>226.22150997227476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124.45549570935117</v>
      </c>
      <c r="AA179" s="21">
        <f>EXP(-LN(2)/25)*AA178+(1-EXP(-LN(2)/25))/(LN(2)/25)*Calculateur!V179*Calculateur!X179*VLOOKUP('Données projet'!$B$9,Paramètres!$A$1:$I$89,3,0)*0.475*44/12</f>
        <v>18.983954550854559</v>
      </c>
      <c r="AB179" s="21">
        <f>EXP(-LN(2)/2)*AB178+(1-EXP(-LN(2)/2))/(LN(2)/2)*V179*Y179*VLOOKUP('Données projet'!$B$9,Paramètres!$A$1:$I$89,3,0)*0.475*44/12</f>
        <v>3.1439384204864057E-2</v>
      </c>
      <c r="AC179" s="22">
        <f t="shared" si="163"/>
        <v>143.47088964441059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1.1368683772161603E-13</v>
      </c>
      <c r="AJ179" s="13">
        <f>AI179*VLOOKUP('Données projet'!$B$10,Paramètres!$A$1:$I$89,3,0)*VLOOKUP('Données projet'!$B$10,Paramètres!$A$1:$I$89,5,0)</f>
        <v>6.7984728957526396E-14</v>
      </c>
      <c r="AK179" s="13">
        <f t="shared" si="164"/>
        <v>1.0682447123141398E-12</v>
      </c>
      <c r="AL179" s="20">
        <f t="shared" si="165"/>
        <v>1.978932943548152E-12</v>
      </c>
      <c r="AM179" s="59">
        <f t="shared" si="113"/>
        <v>293.3333333333353</v>
      </c>
      <c r="AN179" s="59">
        <f ca="1">AVERAGE(OFFSET($AM$3,0,0,'Données projet'!$E$10+1,1))-AVERAGE(OFFSET($H$3,0,0,'Données projet'!$E$10+1,1))</f>
        <v>388.12151914648013</v>
      </c>
      <c r="AO179" s="59">
        <f t="shared" si="144"/>
        <v>481.43684454382793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16.533622320387629</v>
      </c>
      <c r="AV179" s="21">
        <f>EXP(-LN(2)/25)*AV178+(1-EXP(-LN(2)/25))/(LN(2)/25)*Calculateur!AQ179*Calculateur!AS179*VLOOKUP('Données projet'!$B$10,Paramètres!$A$1:$I$89,3,0)*0.475*44/12</f>
        <v>2.213720917031071</v>
      </c>
      <c r="AW179" s="21">
        <f>EXP(-LN(2)/2)*AW178+(1-EXP(-LN(2)/2))/(LN(2)/2)*AQ179*AT179*VLOOKUP('Données projet'!$B$10,Paramètres!$A$1:$I$89,3,0)*0.475*44/12</f>
        <v>6.7050802446781548E-17</v>
      </c>
      <c r="AX179" s="21">
        <f t="shared" si="166"/>
        <v>18.747343237418701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415.24818074059294</v>
      </c>
      <c r="BJ179" s="59">
        <f t="shared" si="146"/>
        <v>404.45811532046872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7.5357015852506315</v>
      </c>
      <c r="BQ179" s="21">
        <f>EXP(-LN(2)/25)*BQ178+(1-EXP(-LN(2)/25))/(LN(2)/25)*Calculateur!BL179*Calculateur!BN179*VLOOKUP('Données projet'!$B$11,Paramètres!$A$1:$I$89,3,0)*0.475*44/12</f>
        <v>3.4778865871141638</v>
      </c>
      <c r="BR179" s="21">
        <f>EXP(-LN(2)/2)*BR178+(1-EXP(-LN(2)/2))/(LN(2)/2)*BL179*BO179*VLOOKUP('Données projet'!$B$11,Paramètres!$A$1:$I$89,3,0)*0.475*44/12</f>
        <v>2.6524843104298448E-13</v>
      </c>
      <c r="BS179" s="22">
        <f t="shared" si="169"/>
        <v>11.013588172365059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384.34044781465661</v>
      </c>
      <c r="CE179" s="59">
        <f t="shared" si="148"/>
        <v>374.99493809709708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8.5268632501044266</v>
      </c>
      <c r="CL179" s="21">
        <f>EXP(-LN(2)/25)*CL178+(1-EXP(-LN(2)/25))/(LN(2)/25)*Calculateur!CG179*Calculateur!CI179*VLOOKUP('Données projet'!$B$12,Paramètres!$A$1:$I$89,3,0)*0.475*44/12</f>
        <v>3.9353287802344048</v>
      </c>
      <c r="CM179" s="21">
        <f>EXP(-LN(2)/2)*CM178+(1-EXP(-LN(2)/2))/(LN(2)/2)*CG179*CJ179*VLOOKUP('Données projet'!$B$12,Paramètres!$A$1:$I$89,3,0)*0.475*44/12</f>
        <v>2.4350675636733008E-13</v>
      </c>
      <c r="CN179" s="22">
        <f t="shared" si="172"/>
        <v>12.462192030339075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5.6843418860808015E-13</v>
      </c>
      <c r="CU179" s="17">
        <f>CT179*VLOOKUP('Données projet'!$B$13,Paramètres!$A$1:$I$89,3,0)*VLOOKUP('Données projet'!$B$13,Paramètres!$A$1:$I$89,5,0)</f>
        <v>3.177547114319168E-13</v>
      </c>
      <c r="CV179" s="13">
        <f t="shared" si="173"/>
        <v>4.1725404435445377E-12</v>
      </c>
      <c r="CW179" s="20">
        <f t="shared" si="174"/>
        <v>7.820597394917325E-12</v>
      </c>
      <c r="CX179" s="59">
        <f t="shared" si="122"/>
        <v>293.33333333334116</v>
      </c>
      <c r="CY179" s="59">
        <f ca="1">AVERAGE(OFFSET($CX$3,0,0,'Données projet'!$E$13+1,1))-AVERAGE(OFFSET($H$3,0,0,'Données projet'!$E$13+1,1))</f>
        <v>386.66324266750968</v>
      </c>
      <c r="CZ179" s="59">
        <f t="shared" si="150"/>
        <v>356.22149461585769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28.277984515792724</v>
      </c>
      <c r="DG179" s="21">
        <f>EXP(-LN(2)/25)*DG178+(1-EXP(-LN(2)/25))/(LN(2)/25)*Calculateur!DB179*Calculateur!DD179*VLOOKUP('Données projet'!$B$13,Paramètres!$A$1:$I$89,3,0)*0.475*44/12</f>
        <v>4.0621201413993147</v>
      </c>
      <c r="DH179" s="21">
        <f>EXP(-LN(2)/2)*DH178+(1-EXP(-LN(2)/2))/(LN(2)/2)*DB179*DE179*VLOOKUP('Données projet'!$B$13,Paramètres!$A$1:$I$89,3,0)*0.475*44/12</f>
        <v>8.3827971589589444E-15</v>
      </c>
      <c r="DI179" s="22">
        <f t="shared" si="175"/>
        <v>32.340104657192043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>
        <f>DO179*VLOOKUP('Données projet'!$B$14,Paramètres!$A$1:$I$89,3,0)*VLOOKUP('Données projet'!$B$14,Paramètres!$A$1:$I$89,5,0)</f>
        <v>0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347.17417070871716</v>
      </c>
      <c r="DU179" s="59">
        <f t="shared" si="152"/>
        <v>339.56378046986441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6.1768045780742842</v>
      </c>
      <c r="EB179" s="21">
        <f>EXP(-LN(2)/25)*EB178+(1-EXP(-LN(2)/25))/(LN(2)/25)*Calculateur!DW179*Calculateur!DY179*VLOOKUP('Données projet'!$B$14,Paramètres!$A$1:$I$89,3,0)*0.475*44/12</f>
        <v>2.8507267107493139</v>
      </c>
      <c r="EC179" s="21">
        <f>EXP(-LN(2)/2)*EC178+(1-EXP(-LN(2)/2))/(LN(2)/2)*DW179*DZ179*VLOOKUP('Données projet'!$B$14,Paramètres!$A$1:$I$89,3,0)*0.475*44/12</f>
        <v>2.1741674675654511E-13</v>
      </c>
      <c r="ED179" s="22">
        <f t="shared" si="178"/>
        <v>9.0275312888238144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>
        <f>EJ179*VLOOKUP('Données projet'!$B$15,Paramètres!$A$1:$I$89,3,0)*VLOOKUP('Données projet'!$B$15,Paramètres!$A$1:$I$89,5,0)</f>
        <v>0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384.34044781465661</v>
      </c>
      <c r="EP179" s="59">
        <f t="shared" si="154"/>
        <v>374.99493809709708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6.9180211274432049</v>
      </c>
      <c r="EW179" s="21">
        <f>EXP(-LN(2)/25)*EW178+(1-EXP(-LN(2)/25))/(LN(2)/25)*Calculateur!ER179*Calculateur!ET179*VLOOKUP('Données projet'!$B$15,Paramètres!$A$1:$I$89,3,0)*0.475*44/12</f>
        <v>3.1928139160392353</v>
      </c>
      <c r="EX179" s="21">
        <f>EXP(-LN(2)/2)*EX178+(1-EXP(-LN(2)/2))/(LN(2)/2)*ER179*EU179*VLOOKUP('Données projet'!$B$15,Paramètres!$A$1:$I$89,3,0)*0.475*44/12</f>
        <v>2.4350675636733008E-13</v>
      </c>
      <c r="EY179" s="22">
        <f t="shared" si="181"/>
        <v>10.110835043482684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>
        <f>FE179*VLOOKUP('Données projet'!$B$16,Paramètres!$A$1:$I$89,3,0)*VLOOKUP('Données projet'!$B$16,Paramètres!$A$1:$I$89,5,0)</f>
        <v>0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359.57284550600366</v>
      </c>
      <c r="FK179" s="59">
        <f t="shared" si="156"/>
        <v>351.38386928091433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6.4238767611972607</v>
      </c>
      <c r="FR179" s="21">
        <f>EXP(-LN(2)/25)*FR178+(1-EXP(-LN(2)/25))/(LN(2)/25)*Calculateur!FM179*Calculateur!FO179*VLOOKUP('Données projet'!$B$16,Paramètres!$A$1:$I$89,3,0)*0.475*44/12</f>
        <v>2.9647557791792845</v>
      </c>
      <c r="FS179" s="21">
        <f>EXP(-LN(2)/2)*FS178+(1-EXP(-LN(2)/2))/(LN(2)/2)*FM179*FP179*VLOOKUP('Données projet'!$B$16,Paramètres!$A$1:$I$89,3,0)*0.475*44/12</f>
        <v>2.261134166268081E-13</v>
      </c>
      <c r="FT179" s="22">
        <f t="shared" si="184"/>
        <v>9.3886325403767703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6">
        <f t="shared" si="110"/>
        <v>256.66666666666669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3.979039320256561E-13</v>
      </c>
      <c r="O180" s="13">
        <f>N180*VLOOKUP('Données projet'!$B$9,Paramètres!$A$1:$I$89,3,0)*VLOOKUP('Données projet'!$B$9,Paramètres!$A$1:$I$89,5,0)</f>
        <v>3.6002347769681362E-13</v>
      </c>
      <c r="P180" s="13">
        <f t="shared" si="141"/>
        <v>4.6593569189922594E-12</v>
      </c>
      <c r="Q180" s="20">
        <f t="shared" si="162"/>
        <v>8.7420875242334695E-12</v>
      </c>
      <c r="R180" s="59">
        <f t="shared" si="109"/>
        <v>293.33333333334207</v>
      </c>
      <c r="S180" s="59">
        <f ca="1">AVERAGE(OFFSET($R$3,0,0,'Données projet'!$E$9+1,1))-AVERAGE(OFFSET($H$3,0,0,'Données projet'!$E$9+1,1))</f>
        <v>695.0879239758051</v>
      </c>
      <c r="T180" s="59">
        <f t="shared" si="142"/>
        <v>226.22150997227476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122.01499934884765</v>
      </c>
      <c r="AA180" s="21">
        <f>EXP(-LN(2)/25)*AA179+(1-EXP(-LN(2)/25))/(LN(2)/25)*Calculateur!V180*Calculateur!X180*VLOOKUP('Données projet'!$B$9,Paramètres!$A$1:$I$89,3,0)*0.475*44/12</f>
        <v>18.464837315338659</v>
      </c>
      <c r="AB180" s="21">
        <f>EXP(-LN(2)/2)*AB179+(1-EXP(-LN(2)/2))/(LN(2)/2)*V180*Y180*VLOOKUP('Données projet'!$B$9,Paramètres!$A$1:$I$89,3,0)*0.475*44/12</f>
        <v>2.2231001767588607E-2</v>
      </c>
      <c r="AC180" s="22">
        <f t="shared" si="163"/>
        <v>140.50206766595389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1.1368683772161603E-13</v>
      </c>
      <c r="AJ180" s="13">
        <f>AI180*VLOOKUP('Données projet'!$B$10,Paramètres!$A$1:$I$89,3,0)*VLOOKUP('Données projet'!$B$10,Paramètres!$A$1:$I$89,5,0)</f>
        <v>6.7984728957526396E-14</v>
      </c>
      <c r="AK180" s="13">
        <f t="shared" si="164"/>
        <v>1.0682447123141398E-12</v>
      </c>
      <c r="AL180" s="20">
        <f t="shared" si="165"/>
        <v>1.978932943548152E-12</v>
      </c>
      <c r="AM180" s="59">
        <f t="shared" si="113"/>
        <v>293.3333333333353</v>
      </c>
      <c r="AN180" s="59">
        <f ca="1">AVERAGE(OFFSET($AM$3,0,0,'Données projet'!$E$10+1,1))-AVERAGE(OFFSET($H$3,0,0,'Données projet'!$E$10+1,1))</f>
        <v>388.12151914648013</v>
      </c>
      <c r="AO180" s="59">
        <f t="shared" si="144"/>
        <v>481.43684454382793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16.209408071198681</v>
      </c>
      <c r="AV180" s="21">
        <f>EXP(-LN(2)/25)*AV179+(1-EXP(-LN(2)/25))/(LN(2)/25)*Calculateur!AQ180*Calculateur!AS180*VLOOKUP('Données projet'!$B$10,Paramètres!$A$1:$I$89,3,0)*0.475*44/12</f>
        <v>2.153186602140333</v>
      </c>
      <c r="AW180" s="21">
        <f>EXP(-LN(2)/2)*AW179+(1-EXP(-LN(2)/2))/(LN(2)/2)*AQ180*AT180*VLOOKUP('Données projet'!$B$10,Paramètres!$A$1:$I$89,3,0)*0.475*44/12</f>
        <v>4.7412077094118786E-17</v>
      </c>
      <c r="AX180" s="21">
        <f t="shared" si="166"/>
        <v>18.362594673339014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415.24818074059294</v>
      </c>
      <c r="BJ180" s="59">
        <f t="shared" si="146"/>
        <v>404.45811532046872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7.3879310734879846</v>
      </c>
      <c r="BQ180" s="21">
        <f>EXP(-LN(2)/25)*BQ179+(1-EXP(-LN(2)/25))/(LN(2)/25)*Calculateur!BL180*Calculateur!BN180*VLOOKUP('Données projet'!$B$11,Paramètres!$A$1:$I$89,3,0)*0.475*44/12</f>
        <v>3.38278359549542</v>
      </c>
      <c r="BR180" s="21">
        <f>EXP(-LN(2)/2)*BR179+(1-EXP(-LN(2)/2))/(LN(2)/2)*BL180*BO180*VLOOKUP('Données projet'!$B$11,Paramètres!$A$1:$I$89,3,0)*0.475*44/12</f>
        <v>1.8755896428958667E-13</v>
      </c>
      <c r="BS180" s="22">
        <f t="shared" si="169"/>
        <v>10.770714668983594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384.34044781465661</v>
      </c>
      <c r="CE180" s="59">
        <f t="shared" si="148"/>
        <v>374.99493809709708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8.3596566626429176</v>
      </c>
      <c r="CL180" s="21">
        <f>EXP(-LN(2)/25)*CL179+(1-EXP(-LN(2)/25))/(LN(2)/25)*Calculateur!CG180*Calculateur!CI180*VLOOKUP('Données projet'!$B$12,Paramètres!$A$1:$I$89,3,0)*0.475*44/12</f>
        <v>3.8277170077889489</v>
      </c>
      <c r="CM180" s="21">
        <f>EXP(-LN(2)/2)*CM179+(1-EXP(-LN(2)/2))/(LN(2)/2)*CG180*CJ180*VLOOKUP('Données projet'!$B$12,Paramètres!$A$1:$I$89,3,0)*0.475*44/12</f>
        <v>1.7218527869207961E-13</v>
      </c>
      <c r="CN180" s="22">
        <f t="shared" si="172"/>
        <v>12.18737367043204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5.6843418860808015E-13</v>
      </c>
      <c r="CU180" s="17">
        <f>CT180*VLOOKUP('Données projet'!$B$13,Paramètres!$A$1:$I$89,3,0)*VLOOKUP('Données projet'!$B$13,Paramètres!$A$1:$I$89,5,0)</f>
        <v>3.177547114319168E-13</v>
      </c>
      <c r="CV180" s="13">
        <f t="shared" si="173"/>
        <v>4.1725404435445377E-12</v>
      </c>
      <c r="CW180" s="20">
        <f t="shared" si="174"/>
        <v>7.820597394917325E-12</v>
      </c>
      <c r="CX180" s="59">
        <f t="shared" si="122"/>
        <v>293.33333333334116</v>
      </c>
      <c r="CY180" s="59">
        <f ca="1">AVERAGE(OFFSET($CX$3,0,0,'Données projet'!$E$13+1,1))-AVERAGE(OFFSET($H$3,0,0,'Données projet'!$E$13+1,1))</f>
        <v>386.66324266750968</v>
      </c>
      <c r="CZ180" s="59">
        <f t="shared" si="150"/>
        <v>356.22149461585769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27.723470487305498</v>
      </c>
      <c r="DG180" s="21">
        <f>EXP(-LN(2)/25)*DG179+(1-EXP(-LN(2)/25))/(LN(2)/25)*Calculateur!DB180*Calculateur!DD180*VLOOKUP('Données projet'!$B$13,Paramètres!$A$1:$I$89,3,0)*0.475*44/12</f>
        <v>3.9510412525151364</v>
      </c>
      <c r="DH180" s="21">
        <f>EXP(-LN(2)/2)*DH179+(1-EXP(-LN(2)/2))/(LN(2)/2)*DB180*DE180*VLOOKUP('Données projet'!$B$13,Paramètres!$A$1:$I$89,3,0)*0.475*44/12</f>
        <v>5.9275327164111947E-15</v>
      </c>
      <c r="DI180" s="22">
        <f t="shared" si="175"/>
        <v>31.674511739820641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>
        <f>DO180*VLOOKUP('Données projet'!$B$14,Paramètres!$A$1:$I$89,3,0)*VLOOKUP('Données projet'!$B$14,Paramètres!$A$1:$I$89,5,0)</f>
        <v>0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347.17417070871716</v>
      </c>
      <c r="DU180" s="59">
        <f t="shared" si="152"/>
        <v>339.56378046986441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6.0556812077770328</v>
      </c>
      <c r="EB180" s="21">
        <f>EXP(-LN(2)/25)*EB179+(1-EXP(-LN(2)/25))/(LN(2)/25)*Calculateur!DW180*Calculateur!DY180*VLOOKUP('Données projet'!$B$14,Paramètres!$A$1:$I$89,3,0)*0.475*44/12</f>
        <v>2.7727734389306717</v>
      </c>
      <c r="EC180" s="21">
        <f>EXP(-LN(2)/2)*EC179+(1-EXP(-LN(2)/2))/(LN(2)/2)*DW180*DZ180*VLOOKUP('Données projet'!$B$14,Paramètres!$A$1:$I$89,3,0)*0.475*44/12</f>
        <v>1.5373685597507136E-13</v>
      </c>
      <c r="ED180" s="22">
        <f t="shared" si="178"/>
        <v>8.8284546467078595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>
        <f>EJ180*VLOOKUP('Données projet'!$B$15,Paramètres!$A$1:$I$89,3,0)*VLOOKUP('Données projet'!$B$15,Paramètres!$A$1:$I$89,5,0)</f>
        <v>0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384.34044781465661</v>
      </c>
      <c r="EP180" s="59">
        <f t="shared" si="154"/>
        <v>374.99493809709708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6.7823629527102831</v>
      </c>
      <c r="EW180" s="21">
        <f>EXP(-LN(2)/25)*EW179+(1-EXP(-LN(2)/25))/(LN(2)/25)*Calculateur!ER180*Calculateur!ET180*VLOOKUP('Données projet'!$B$15,Paramètres!$A$1:$I$89,3,0)*0.475*44/12</f>
        <v>3.1055062516023559</v>
      </c>
      <c r="EX180" s="21">
        <f>EXP(-LN(2)/2)*EX179+(1-EXP(-LN(2)/2))/(LN(2)/2)*ER180*EU180*VLOOKUP('Données projet'!$B$15,Paramètres!$A$1:$I$89,3,0)*0.475*44/12</f>
        <v>1.7218527869207961E-13</v>
      </c>
      <c r="EY180" s="22">
        <f t="shared" si="181"/>
        <v>9.8878692043128122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>
        <f>FE180*VLOOKUP('Données projet'!$B$16,Paramètres!$A$1:$I$89,3,0)*VLOOKUP('Données projet'!$B$16,Paramètres!$A$1:$I$89,5,0)</f>
        <v>0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359.57284550600366</v>
      </c>
      <c r="FK180" s="59">
        <f t="shared" si="156"/>
        <v>351.38386928091433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6.2979084560881189</v>
      </c>
      <c r="FR180" s="21">
        <f>EXP(-LN(2)/25)*FR179+(1-EXP(-LN(2)/25))/(LN(2)/25)*Calculateur!FM180*Calculateur!FO180*VLOOKUP('Données projet'!$B$16,Paramètres!$A$1:$I$89,3,0)*0.475*44/12</f>
        <v>2.8836843764878966</v>
      </c>
      <c r="FS180" s="21">
        <f>EXP(-LN(2)/2)*FS179+(1-EXP(-LN(2)/2))/(LN(2)/2)*FM180*FP180*VLOOKUP('Données projet'!$B$16,Paramètres!$A$1:$I$89,3,0)*0.475*44/12</f>
        <v>1.5988633021407507E-13</v>
      </c>
      <c r="FT180" s="22">
        <f t="shared" si="184"/>
        <v>9.1815928325761753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6">
        <f t="shared" si="110"/>
        <v>256.66666666666669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3.979039320256561E-13</v>
      </c>
      <c r="O181" s="13">
        <f>N181*VLOOKUP('Données projet'!$B$9,Paramètres!$A$1:$I$89,3,0)*VLOOKUP('Données projet'!$B$9,Paramètres!$A$1:$I$89,5,0)</f>
        <v>3.6002347769681362E-13</v>
      </c>
      <c r="P181" s="13">
        <f t="shared" si="141"/>
        <v>4.6593569189922594E-12</v>
      </c>
      <c r="Q181" s="20">
        <f t="shared" si="162"/>
        <v>8.7420875242334695E-12</v>
      </c>
      <c r="R181" s="59">
        <f t="shared" si="109"/>
        <v>293.33333333334207</v>
      </c>
      <c r="S181" s="59">
        <f ca="1">AVERAGE(OFFSET($R$3,0,0,'Données projet'!$E$9+1,1))-AVERAGE(OFFSET($H$3,0,0,'Données projet'!$E$9+1,1))</f>
        <v>695.0879239758051</v>
      </c>
      <c r="T181" s="59">
        <f t="shared" si="142"/>
        <v>226.22150997227476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119.62235963341782</v>
      </c>
      <c r="AA181" s="21">
        <f>EXP(-LN(2)/25)*AA180+(1-EXP(-LN(2)/25))/(LN(2)/25)*Calculateur!V181*Calculateur!X181*VLOOKUP('Données projet'!$B$9,Paramètres!$A$1:$I$89,3,0)*0.475*44/12</f>
        <v>17.959915367927131</v>
      </c>
      <c r="AB181" s="21">
        <f>EXP(-LN(2)/2)*AB180+(1-EXP(-LN(2)/2))/(LN(2)/2)*V181*Y181*VLOOKUP('Données projet'!$B$9,Paramètres!$A$1:$I$89,3,0)*0.475*44/12</f>
        <v>1.5719692102432029E-2</v>
      </c>
      <c r="AC181" s="22">
        <f t="shared" si="163"/>
        <v>137.59799469344739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1.1368683772161603E-13</v>
      </c>
      <c r="AJ181" s="13">
        <f>AI181*VLOOKUP('Données projet'!$B$10,Paramètres!$A$1:$I$89,3,0)*VLOOKUP('Données projet'!$B$10,Paramètres!$A$1:$I$89,5,0)</f>
        <v>6.7984728957526396E-14</v>
      </c>
      <c r="AK181" s="13">
        <f t="shared" si="164"/>
        <v>1.0682447123141398E-12</v>
      </c>
      <c r="AL181" s="20">
        <f t="shared" si="165"/>
        <v>1.978932943548152E-12</v>
      </c>
      <c r="AM181" s="59">
        <f t="shared" si="113"/>
        <v>293.3333333333353</v>
      </c>
      <c r="AN181" s="59">
        <f ca="1">AVERAGE(OFFSET($AM$3,0,0,'Données projet'!$E$10+1,1))-AVERAGE(OFFSET($H$3,0,0,'Données projet'!$E$10+1,1))</f>
        <v>388.12151914648013</v>
      </c>
      <c r="AO181" s="59">
        <f t="shared" si="144"/>
        <v>481.43684454382793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15.891551465685161</v>
      </c>
      <c r="AV181" s="21">
        <f>EXP(-LN(2)/25)*AV180+(1-EXP(-LN(2)/25))/(LN(2)/25)*Calculateur!AQ181*Calculateur!AS181*VLOOKUP('Données projet'!$B$10,Paramètres!$A$1:$I$89,3,0)*0.475*44/12</f>
        <v>2.0943076012736435</v>
      </c>
      <c r="AW181" s="21">
        <f>EXP(-LN(2)/2)*AW180+(1-EXP(-LN(2)/2))/(LN(2)/2)*AQ181*AT181*VLOOKUP('Données projet'!$B$10,Paramètres!$A$1:$I$89,3,0)*0.475*44/12</f>
        <v>3.3525401223390774E-17</v>
      </c>
      <c r="AX181" s="21">
        <f t="shared" si="166"/>
        <v>17.985859066958806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415.24818074059294</v>
      </c>
      <c r="BJ181" s="59">
        <f t="shared" si="146"/>
        <v>404.45811532046872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7.2430582513298907</v>
      </c>
      <c r="BQ181" s="21">
        <f>EXP(-LN(2)/25)*BQ180+(1-EXP(-LN(2)/25))/(LN(2)/25)*Calculateur!BL181*Calculateur!BN181*VLOOKUP('Données projet'!$B$11,Paramètres!$A$1:$I$89,3,0)*0.475*44/12</f>
        <v>3.29028120018374</v>
      </c>
      <c r="BR181" s="21">
        <f>EXP(-LN(2)/2)*BR180+(1-EXP(-LN(2)/2))/(LN(2)/2)*BL181*BO181*VLOOKUP('Données projet'!$B$11,Paramètres!$A$1:$I$89,3,0)*0.475*44/12</f>
        <v>1.3262421552149224E-13</v>
      </c>
      <c r="BS181" s="22">
        <f t="shared" si="169"/>
        <v>10.533339451513763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384.34044781465661</v>
      </c>
      <c r="CE181" s="59">
        <f t="shared" si="148"/>
        <v>374.99493809709708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8.1957288943755806</v>
      </c>
      <c r="CL181" s="21">
        <f>EXP(-LN(2)/25)*CL180+(1-EXP(-LN(2)/25))/(LN(2)/25)*Calculateur!CG181*Calculateur!CI181*VLOOKUP('Données projet'!$B$12,Paramètres!$A$1:$I$89,3,0)*0.475*44/12</f>
        <v>3.7230478849200708</v>
      </c>
      <c r="CM181" s="21">
        <f>EXP(-LN(2)/2)*CM180+(1-EXP(-LN(2)/2))/(LN(2)/2)*CG181*CJ181*VLOOKUP('Données projet'!$B$12,Paramètres!$A$1:$I$89,3,0)*0.475*44/12</f>
        <v>1.2175337818366504E-13</v>
      </c>
      <c r="CN181" s="22">
        <f t="shared" si="172"/>
        <v>11.918776779295774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5.6843418860808015E-13</v>
      </c>
      <c r="CU181" s="17">
        <f>CT181*VLOOKUP('Données projet'!$B$13,Paramètres!$A$1:$I$89,3,0)*VLOOKUP('Données projet'!$B$13,Paramètres!$A$1:$I$89,5,0)</f>
        <v>3.177547114319168E-13</v>
      </c>
      <c r="CV181" s="13">
        <f t="shared" si="173"/>
        <v>4.1725404435445377E-12</v>
      </c>
      <c r="CW181" s="20">
        <f t="shared" si="174"/>
        <v>7.820597394917325E-12</v>
      </c>
      <c r="CX181" s="59">
        <f t="shared" si="122"/>
        <v>293.33333333334116</v>
      </c>
      <c r="CY181" s="59">
        <f ca="1">AVERAGE(OFFSET($CX$3,0,0,'Données projet'!$E$13+1,1))-AVERAGE(OFFSET($H$3,0,0,'Données projet'!$E$13+1,1))</f>
        <v>386.66324266750968</v>
      </c>
      <c r="CZ181" s="59">
        <f t="shared" si="150"/>
        <v>356.22149461585769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27.179830140696744</v>
      </c>
      <c r="DG181" s="21">
        <f>EXP(-LN(2)/25)*DG180+(1-EXP(-LN(2)/25))/(LN(2)/25)*Calculateur!DB181*Calculateur!DD181*VLOOKUP('Données projet'!$B$13,Paramètres!$A$1:$I$89,3,0)*0.475*44/12</f>
        <v>3.8429998216888808</v>
      </c>
      <c r="DH181" s="21">
        <f>EXP(-LN(2)/2)*DH180+(1-EXP(-LN(2)/2))/(LN(2)/2)*DB181*DE181*VLOOKUP('Données projet'!$B$13,Paramètres!$A$1:$I$89,3,0)*0.475*44/12</f>
        <v>4.1913985794794722E-15</v>
      </c>
      <c r="DI181" s="22">
        <f t="shared" si="175"/>
        <v>31.022829962385629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>
        <f>DO181*VLOOKUP('Données projet'!$B$14,Paramètres!$A$1:$I$89,3,0)*VLOOKUP('Données projet'!$B$14,Paramètres!$A$1:$I$89,5,0)</f>
        <v>0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347.17417070871716</v>
      </c>
      <c r="DU181" s="59">
        <f t="shared" si="152"/>
        <v>339.56378046986441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5.9369329928933494</v>
      </c>
      <c r="EB181" s="21">
        <f>EXP(-LN(2)/25)*EB180+(1-EXP(-LN(2)/25))/(LN(2)/25)*Calculateur!DW181*Calculateur!DY181*VLOOKUP('Données projet'!$B$14,Paramètres!$A$1:$I$89,3,0)*0.475*44/12</f>
        <v>2.6969518034292945</v>
      </c>
      <c r="EC181" s="21">
        <f>EXP(-LN(2)/2)*EC180+(1-EXP(-LN(2)/2))/(LN(2)/2)*DW181*DZ181*VLOOKUP('Données projet'!$B$14,Paramètres!$A$1:$I$89,3,0)*0.475*44/12</f>
        <v>1.0870837337827256E-13</v>
      </c>
      <c r="ED181" s="22">
        <f t="shared" si="178"/>
        <v>8.6338847963227519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>
        <f>EJ181*VLOOKUP('Données projet'!$B$15,Paramètres!$A$1:$I$89,3,0)*VLOOKUP('Données projet'!$B$15,Paramètres!$A$1:$I$89,5,0)</f>
        <v>0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384.34044781465661</v>
      </c>
      <c r="EP181" s="59">
        <f t="shared" si="154"/>
        <v>374.99493809709708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6.6493649520405569</v>
      </c>
      <c r="EW181" s="21">
        <f>EXP(-LN(2)/25)*EW180+(1-EXP(-LN(2)/25))/(LN(2)/25)*Calculateur!ER181*Calculateur!ET181*VLOOKUP('Données projet'!$B$15,Paramètres!$A$1:$I$89,3,0)*0.475*44/12</f>
        <v>3.0205860198408137</v>
      </c>
      <c r="EX181" s="21">
        <f>EXP(-LN(2)/2)*EX180+(1-EXP(-LN(2)/2))/(LN(2)/2)*ER181*EU181*VLOOKUP('Données projet'!$B$15,Paramètres!$A$1:$I$89,3,0)*0.475*44/12</f>
        <v>1.2175337818366504E-13</v>
      </c>
      <c r="EY181" s="22">
        <f t="shared" si="181"/>
        <v>9.6699509718814927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>
        <f>FE181*VLOOKUP('Données projet'!$B$16,Paramètres!$A$1:$I$89,3,0)*VLOOKUP('Données projet'!$B$16,Paramètres!$A$1:$I$89,5,0)</f>
        <v>0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359.57284550600366</v>
      </c>
      <c r="FK181" s="59">
        <f t="shared" si="156"/>
        <v>351.38386928091433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6.1744103126090879</v>
      </c>
      <c r="FR181" s="21">
        <f>EXP(-LN(2)/25)*FR180+(1-EXP(-LN(2)/25))/(LN(2)/25)*Calculateur!FM181*Calculateur!FO181*VLOOKUP('Données projet'!$B$16,Paramètres!$A$1:$I$89,3,0)*0.475*44/12</f>
        <v>2.8048298755664645</v>
      </c>
      <c r="FS181" s="21">
        <f>EXP(-LN(2)/2)*FS180+(1-EXP(-LN(2)/2))/(LN(2)/2)*FM181*FP181*VLOOKUP('Données projet'!$B$16,Paramètres!$A$1:$I$89,3,0)*0.475*44/12</f>
        <v>1.1305670831340407E-13</v>
      </c>
      <c r="FT181" s="22">
        <f t="shared" si="184"/>
        <v>8.979240188175666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6">
        <f t="shared" si="110"/>
        <v>256.66666666666669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3.979039320256561E-13</v>
      </c>
      <c r="O182" s="13">
        <f>N182*VLOOKUP('Données projet'!$B$9,Paramètres!$A$1:$I$89,3,0)*VLOOKUP('Données projet'!$B$9,Paramètres!$A$1:$I$89,5,0)</f>
        <v>3.6002347769681362E-13</v>
      </c>
      <c r="P182" s="13">
        <f t="shared" si="141"/>
        <v>4.6593569189922594E-12</v>
      </c>
      <c r="Q182" s="20">
        <f t="shared" si="162"/>
        <v>8.7420875242334695E-12</v>
      </c>
      <c r="R182" s="59">
        <f t="shared" si="109"/>
        <v>293.33333333334207</v>
      </c>
      <c r="S182" s="59">
        <f ca="1">AVERAGE(OFFSET($R$3,0,0,'Données projet'!$E$9+1,1))-AVERAGE(OFFSET($H$3,0,0,'Données projet'!$E$9+1,1))</f>
        <v>695.0879239758051</v>
      </c>
      <c r="T182" s="59">
        <f t="shared" si="142"/>
        <v>226.22150997227476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117.27663812344143</v>
      </c>
      <c r="AA182" s="21">
        <f>EXP(-LN(2)/25)*AA181+(1-EXP(-LN(2)/25))/(LN(2)/25)*Calculateur!V182*Calculateur!X182*VLOOKUP('Données projet'!$B$9,Paramètres!$A$1:$I$89,3,0)*0.475*44/12</f>
        <v>17.468800537720263</v>
      </c>
      <c r="AB182" s="21">
        <f>EXP(-LN(2)/2)*AB181+(1-EXP(-LN(2)/2))/(LN(2)/2)*V182*Y182*VLOOKUP('Données projet'!$B$9,Paramètres!$A$1:$I$89,3,0)*0.475*44/12</f>
        <v>1.1115500883794304E-2</v>
      </c>
      <c r="AC182" s="22">
        <f t="shared" si="163"/>
        <v>134.75655416204549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1.1368683772161603E-13</v>
      </c>
      <c r="AJ182" s="13">
        <f>AI182*VLOOKUP('Données projet'!$B$10,Paramètres!$A$1:$I$89,3,0)*VLOOKUP('Données projet'!$B$10,Paramètres!$A$1:$I$89,5,0)</f>
        <v>6.7984728957526396E-14</v>
      </c>
      <c r="AK182" s="13">
        <f t="shared" si="164"/>
        <v>1.0682447123141398E-12</v>
      </c>
      <c r="AL182" s="20">
        <f t="shared" si="165"/>
        <v>1.978932943548152E-12</v>
      </c>
      <c r="AM182" s="59">
        <f t="shared" si="113"/>
        <v>293.3333333333353</v>
      </c>
      <c r="AN182" s="59">
        <f ca="1">AVERAGE(OFFSET($AM$3,0,0,'Données projet'!$E$10+1,1))-AVERAGE(OFFSET($H$3,0,0,'Données projet'!$E$10+1,1))</f>
        <v>388.12151914648013</v>
      </c>
      <c r="AO182" s="59">
        <f t="shared" si="144"/>
        <v>481.43684454382793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15.579927834332375</v>
      </c>
      <c r="AV182" s="21">
        <f>EXP(-LN(2)/25)*AV181+(1-EXP(-LN(2)/25))/(LN(2)/25)*Calculateur!AQ182*Calculateur!AS182*VLOOKUP('Données projet'!$B$10,Paramètres!$A$1:$I$89,3,0)*0.475*44/12</f>
        <v>2.0370386497819655</v>
      </c>
      <c r="AW182" s="21">
        <f>EXP(-LN(2)/2)*AW181+(1-EXP(-LN(2)/2))/(LN(2)/2)*AQ182*AT182*VLOOKUP('Données projet'!$B$10,Paramètres!$A$1:$I$89,3,0)*0.475*44/12</f>
        <v>2.3706038547059393E-17</v>
      </c>
      <c r="AX182" s="21">
        <f t="shared" si="166"/>
        <v>17.616966484114339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415.24818074059294</v>
      </c>
      <c r="BJ182" s="59">
        <f t="shared" si="146"/>
        <v>404.45811532046872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7.1010262968506206</v>
      </c>
      <c r="BQ182" s="21">
        <f>EXP(-LN(2)/25)*BQ181+(1-EXP(-LN(2)/25))/(LN(2)/25)*Calculateur!BL182*Calculateur!BN182*VLOOKUP('Données projet'!$B$11,Paramètres!$A$1:$I$89,3,0)*0.475*44/12</f>
        <v>3.2003082877363473</v>
      </c>
      <c r="BR182" s="21">
        <f>EXP(-LN(2)/2)*BR181+(1-EXP(-LN(2)/2))/(LN(2)/2)*BL182*BO182*VLOOKUP('Données projet'!$B$11,Paramètres!$A$1:$I$89,3,0)*0.475*44/12</f>
        <v>9.3779482144793334E-14</v>
      </c>
      <c r="BS182" s="22">
        <f t="shared" si="169"/>
        <v>10.301334584587062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384.34044781465661</v>
      </c>
      <c r="CE182" s="59">
        <f t="shared" si="148"/>
        <v>374.99493809709708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8.0350156496579004</v>
      </c>
      <c r="CL182" s="21">
        <f>EXP(-LN(2)/25)*CL181+(1-EXP(-LN(2)/25))/(LN(2)/25)*Calculateur!CG182*Calculateur!CI182*VLOOKUP('Données projet'!$B$12,Paramètres!$A$1:$I$89,3,0)*0.475*44/12</f>
        <v>3.6212409447203524</v>
      </c>
      <c r="CM182" s="21">
        <f>EXP(-LN(2)/2)*CM181+(1-EXP(-LN(2)/2))/(LN(2)/2)*CG182*CJ182*VLOOKUP('Données projet'!$B$12,Paramètres!$A$1:$I$89,3,0)*0.475*44/12</f>
        <v>8.6092639346039807E-14</v>
      </c>
      <c r="CN182" s="22">
        <f t="shared" si="172"/>
        <v>11.656256594378338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5.6843418860808015E-13</v>
      </c>
      <c r="CU182" s="17">
        <f>CT182*VLOOKUP('Données projet'!$B$13,Paramètres!$A$1:$I$89,3,0)*VLOOKUP('Données projet'!$B$13,Paramètres!$A$1:$I$89,5,0)</f>
        <v>3.177547114319168E-13</v>
      </c>
      <c r="CV182" s="13">
        <f t="shared" si="173"/>
        <v>4.1725404435445377E-12</v>
      </c>
      <c r="CW182" s="20">
        <f t="shared" si="174"/>
        <v>7.820597394917325E-12</v>
      </c>
      <c r="CX182" s="59">
        <f t="shared" si="122"/>
        <v>293.33333333334116</v>
      </c>
      <c r="CY182" s="59">
        <f ca="1">AVERAGE(OFFSET($CX$3,0,0,'Données projet'!$E$13+1,1))-AVERAGE(OFFSET($H$3,0,0,'Données projet'!$E$13+1,1))</f>
        <v>386.66324266750968</v>
      </c>
      <c r="CZ182" s="59">
        <f t="shared" si="150"/>
        <v>356.22149461585769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26.64685024969712</v>
      </c>
      <c r="DG182" s="21">
        <f>EXP(-LN(2)/25)*DG181+(1-EXP(-LN(2)/25))/(LN(2)/25)*Calculateur!DB182*Calculateur!DD182*VLOOKUP('Données projet'!$B$13,Paramètres!$A$1:$I$89,3,0)*0.475*44/12</f>
        <v>3.7379127894702209</v>
      </c>
      <c r="DH182" s="21">
        <f>EXP(-LN(2)/2)*DH181+(1-EXP(-LN(2)/2))/(LN(2)/2)*DB182*DE182*VLOOKUP('Données projet'!$B$13,Paramètres!$A$1:$I$89,3,0)*0.475*44/12</f>
        <v>2.9637663582055973E-15</v>
      </c>
      <c r="DI182" s="22">
        <f t="shared" si="175"/>
        <v>30.384763039167346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>
        <f>DO182*VLOOKUP('Données projet'!$B$14,Paramètres!$A$1:$I$89,3,0)*VLOOKUP('Données projet'!$B$14,Paramètres!$A$1:$I$89,5,0)</f>
        <v>0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347.17417070871716</v>
      </c>
      <c r="DU182" s="59">
        <f t="shared" si="152"/>
        <v>339.56378046986441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5.8205133580742752</v>
      </c>
      <c r="EB182" s="21">
        <f>EXP(-LN(2)/25)*EB181+(1-EXP(-LN(2)/25))/(LN(2)/25)*Calculateur!DW182*Calculateur!DY182*VLOOKUP('Données projet'!$B$14,Paramètres!$A$1:$I$89,3,0)*0.475*44/12</f>
        <v>2.6232035145379893</v>
      </c>
      <c r="EC182" s="21">
        <f>EXP(-LN(2)/2)*EC181+(1-EXP(-LN(2)/2))/(LN(2)/2)*DW182*DZ182*VLOOKUP('Données projet'!$B$14,Paramètres!$A$1:$I$89,3,0)*0.475*44/12</f>
        <v>7.686842798753568E-14</v>
      </c>
      <c r="ED182" s="22">
        <f t="shared" si="178"/>
        <v>8.4437168726123399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>
        <f>EJ182*VLOOKUP('Données projet'!$B$15,Paramètres!$A$1:$I$89,3,0)*VLOOKUP('Données projet'!$B$15,Paramètres!$A$1:$I$89,5,0)</f>
        <v>0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384.34044781465661</v>
      </c>
      <c r="EP182" s="59">
        <f t="shared" si="154"/>
        <v>374.99493809709708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6.5189749610431944</v>
      </c>
      <c r="EW182" s="21">
        <f>EXP(-LN(2)/25)*EW181+(1-EXP(-LN(2)/25))/(LN(2)/25)*Calculateur!ER182*Calculateur!ET182*VLOOKUP('Données projet'!$B$15,Paramètres!$A$1:$I$89,3,0)*0.475*44/12</f>
        <v>2.9379879362825516</v>
      </c>
      <c r="EX182" s="21">
        <f>EXP(-LN(2)/2)*EX181+(1-EXP(-LN(2)/2))/(LN(2)/2)*ER182*EU182*VLOOKUP('Données projet'!$B$15,Paramètres!$A$1:$I$89,3,0)*0.475*44/12</f>
        <v>8.6092639346039807E-14</v>
      </c>
      <c r="EY182" s="22">
        <f t="shared" si="181"/>
        <v>9.4569628973258304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>
        <f>FE182*VLOOKUP('Données projet'!$B$16,Paramètres!$A$1:$I$89,3,0)*VLOOKUP('Données projet'!$B$16,Paramètres!$A$1:$I$89,5,0)</f>
        <v>0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359.57284550600366</v>
      </c>
      <c r="FK182" s="59">
        <f t="shared" si="156"/>
        <v>351.38386928091433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6.0533338923972506</v>
      </c>
      <c r="FR182" s="21">
        <f>EXP(-LN(2)/25)*FR181+(1-EXP(-LN(2)/25))/(LN(2)/25)*Calculateur!FM182*Calculateur!FO182*VLOOKUP('Données projet'!$B$16,Paramètres!$A$1:$I$89,3,0)*0.475*44/12</f>
        <v>2.7281316551195069</v>
      </c>
      <c r="FS182" s="21">
        <f>EXP(-LN(2)/2)*FS181+(1-EXP(-LN(2)/2))/(LN(2)/2)*FM182*FP182*VLOOKUP('Données projet'!$B$16,Paramètres!$A$1:$I$89,3,0)*0.475*44/12</f>
        <v>7.9943165107037547E-14</v>
      </c>
      <c r="FT182" s="22">
        <f t="shared" si="184"/>
        <v>8.7814655475168379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6">
        <f t="shared" si="110"/>
        <v>256.66666666666669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3.979039320256561E-13</v>
      </c>
      <c r="O183" s="13">
        <f>N183*VLOOKUP('Données projet'!$B$9,Paramètres!$A$1:$I$89,3,0)*VLOOKUP('Données projet'!$B$9,Paramètres!$A$1:$I$89,5,0)</f>
        <v>3.6002347769681362E-13</v>
      </c>
      <c r="P183" s="13">
        <f t="shared" si="141"/>
        <v>4.6593569189922594E-12</v>
      </c>
      <c r="Q183" s="20">
        <f t="shared" si="162"/>
        <v>8.7420875242334695E-12</v>
      </c>
      <c r="R183" s="59">
        <f t="shared" si="109"/>
        <v>293.33333333334207</v>
      </c>
      <c r="S183" s="59">
        <f ca="1">AVERAGE(OFFSET($R$3,0,0,'Données projet'!$E$9+1,1))-AVERAGE(OFFSET($H$3,0,0,'Données projet'!$E$9+1,1))</f>
        <v>695.0879239758051</v>
      </c>
      <c r="T183" s="59">
        <f t="shared" si="142"/>
        <v>226.22150997227476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114.97691478152683</v>
      </c>
      <c r="AA183" s="21">
        <f>EXP(-LN(2)/25)*AA182+(1-EXP(-LN(2)/25))/(LN(2)/25)*Calculateur!V183*Calculateur!X183*VLOOKUP('Données projet'!$B$9,Paramètres!$A$1:$I$89,3,0)*0.475*44/12</f>
        <v>16.991115268372006</v>
      </c>
      <c r="AB183" s="21">
        <f>EXP(-LN(2)/2)*AB182+(1-EXP(-LN(2)/2))/(LN(2)/2)*V183*Y183*VLOOKUP('Données projet'!$B$9,Paramètres!$A$1:$I$89,3,0)*0.475*44/12</f>
        <v>7.8598460512160143E-3</v>
      </c>
      <c r="AC183" s="22">
        <f t="shared" si="163"/>
        <v>131.97588989595005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1.1368683772161603E-13</v>
      </c>
      <c r="AJ183" s="13">
        <f>AI183*VLOOKUP('Données projet'!$B$10,Paramètres!$A$1:$I$89,3,0)*VLOOKUP('Données projet'!$B$10,Paramètres!$A$1:$I$89,5,0)</f>
        <v>6.7984728957526396E-14</v>
      </c>
      <c r="AK183" s="13">
        <f t="shared" si="164"/>
        <v>1.0682447123141398E-12</v>
      </c>
      <c r="AL183" s="20">
        <f t="shared" si="165"/>
        <v>1.978932943548152E-12</v>
      </c>
      <c r="AM183" s="59">
        <f t="shared" si="113"/>
        <v>293.3333333333353</v>
      </c>
      <c r="AN183" s="59">
        <f ca="1">AVERAGE(OFFSET($AM$3,0,0,'Données projet'!$E$10+1,1))-AVERAGE(OFFSET($H$3,0,0,'Données projet'!$E$10+1,1))</f>
        <v>388.12151914648013</v>
      </c>
      <c r="AO183" s="59">
        <f t="shared" si="144"/>
        <v>481.43684454382793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15.274414952318772</v>
      </c>
      <c r="AV183" s="21">
        <f>EXP(-LN(2)/25)*AV182+(1-EXP(-LN(2)/25))/(LN(2)/25)*Calculateur!AQ183*Calculateur!AS183*VLOOKUP('Données projet'!$B$10,Paramètres!$A$1:$I$89,3,0)*0.475*44/12</f>
        <v>1.9813357207804707</v>
      </c>
      <c r="AW183" s="21">
        <f>EXP(-LN(2)/2)*AW182+(1-EXP(-LN(2)/2))/(LN(2)/2)*AQ183*AT183*VLOOKUP('Données projet'!$B$10,Paramètres!$A$1:$I$89,3,0)*0.475*44/12</f>
        <v>1.6762700611695387E-17</v>
      </c>
      <c r="AX183" s="21">
        <f t="shared" si="166"/>
        <v>17.255750673099243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415.24818074059294</v>
      </c>
      <c r="BJ183" s="59">
        <f t="shared" si="146"/>
        <v>404.45811532046872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6.9617795023677509</v>
      </c>
      <c r="BQ183" s="21">
        <f>EXP(-LN(2)/25)*BQ182+(1-EXP(-LN(2)/25))/(LN(2)/25)*Calculateur!BL183*Calculateur!BN183*VLOOKUP('Données projet'!$B$11,Paramètres!$A$1:$I$89,3,0)*0.475*44/12</f>
        <v>3.1127956893112985</v>
      </c>
      <c r="BR183" s="21">
        <f>EXP(-LN(2)/2)*BR182+(1-EXP(-LN(2)/2))/(LN(2)/2)*BL183*BO183*VLOOKUP('Données projet'!$B$11,Paramètres!$A$1:$I$89,3,0)*0.475*44/12</f>
        <v>6.631210776074612E-14</v>
      </c>
      <c r="BS183" s="22">
        <f t="shared" si="169"/>
        <v>10.074575191679115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384.34044781465661</v>
      </c>
      <c r="CE183" s="59">
        <f t="shared" si="148"/>
        <v>374.99493809709708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7.8774538936437342</v>
      </c>
      <c r="CL183" s="21">
        <f>EXP(-LN(2)/25)*CL182+(1-EXP(-LN(2)/25))/(LN(2)/25)*Calculateur!CG183*Calculateur!CI183*VLOOKUP('Données projet'!$B$12,Paramètres!$A$1:$I$89,3,0)*0.475*44/12</f>
        <v>3.5222179206541897</v>
      </c>
      <c r="CM183" s="21">
        <f>EXP(-LN(2)/2)*CM182+(1-EXP(-LN(2)/2))/(LN(2)/2)*CG183*CJ183*VLOOKUP('Données projet'!$B$12,Paramètres!$A$1:$I$89,3,0)*0.475*44/12</f>
        <v>6.087668909183252E-14</v>
      </c>
      <c r="CN183" s="22">
        <f t="shared" si="172"/>
        <v>11.399671814297985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5.6843418860808015E-13</v>
      </c>
      <c r="CU183" s="17">
        <f>CT183*VLOOKUP('Données projet'!$B$13,Paramètres!$A$1:$I$89,3,0)*VLOOKUP('Données projet'!$B$13,Paramètres!$A$1:$I$89,5,0)</f>
        <v>3.177547114319168E-13</v>
      </c>
      <c r="CV183" s="13">
        <f t="shared" si="173"/>
        <v>4.1725404435445377E-12</v>
      </c>
      <c r="CW183" s="20">
        <f t="shared" si="174"/>
        <v>7.820597394917325E-12</v>
      </c>
      <c r="CX183" s="59">
        <f t="shared" si="122"/>
        <v>293.33333333334116</v>
      </c>
      <c r="CY183" s="59">
        <f ca="1">AVERAGE(OFFSET($CX$3,0,0,'Données projet'!$E$13+1,1))-AVERAGE(OFFSET($H$3,0,0,'Données projet'!$E$13+1,1))</f>
        <v>386.66324266750968</v>
      </c>
      <c r="CZ183" s="59">
        <f t="shared" si="150"/>
        <v>356.22149461585769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26.124321769274363</v>
      </c>
      <c r="DG183" s="21">
        <f>EXP(-LN(2)/25)*DG182+(1-EXP(-LN(2)/25))/(LN(2)/25)*Calculateur!DB183*Calculateur!DD183*VLOOKUP('Données projet'!$B$13,Paramètres!$A$1:$I$89,3,0)*0.475*44/12</f>
        <v>3.6356993676738671</v>
      </c>
      <c r="DH183" s="21">
        <f>EXP(-LN(2)/2)*DH182+(1-EXP(-LN(2)/2))/(LN(2)/2)*DB183*DE183*VLOOKUP('Données projet'!$B$13,Paramètres!$A$1:$I$89,3,0)*0.475*44/12</f>
        <v>2.0956992897397361E-15</v>
      </c>
      <c r="DI183" s="22">
        <f t="shared" si="175"/>
        <v>29.760021136948236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>
        <f>DO183*VLOOKUP('Données projet'!$B$14,Paramètres!$A$1:$I$89,3,0)*VLOOKUP('Données projet'!$B$14,Paramètres!$A$1:$I$89,5,0)</f>
        <v>0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347.17417070871716</v>
      </c>
      <c r="DU183" s="59">
        <f t="shared" si="152"/>
        <v>339.56378046986441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5.7063766412850372</v>
      </c>
      <c r="EB183" s="21">
        <f>EXP(-LN(2)/25)*EB182+(1-EXP(-LN(2)/25))/(LN(2)/25)*Calculateur!DW183*Calculateur!DY183*VLOOKUP('Données projet'!$B$14,Paramètres!$A$1:$I$89,3,0)*0.475*44/12</f>
        <v>2.5514718764846704</v>
      </c>
      <c r="EC183" s="21">
        <f>EXP(-LN(2)/2)*EC182+(1-EXP(-LN(2)/2))/(LN(2)/2)*DW183*DZ183*VLOOKUP('Données projet'!$B$14,Paramètres!$A$1:$I$89,3,0)*0.475*44/12</f>
        <v>5.4354186689136278E-14</v>
      </c>
      <c r="ED183" s="22">
        <f t="shared" si="178"/>
        <v>8.2578485177697623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>
        <f>EJ183*VLOOKUP('Données projet'!$B$15,Paramètres!$A$1:$I$89,3,0)*VLOOKUP('Données projet'!$B$15,Paramètres!$A$1:$I$89,5,0)</f>
        <v>0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384.34044781465661</v>
      </c>
      <c r="EP183" s="59">
        <f t="shared" si="154"/>
        <v>374.99493809709708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6.391141838239248</v>
      </c>
      <c r="EW183" s="21">
        <f>EXP(-LN(2)/25)*EW182+(1-EXP(-LN(2)/25))/(LN(2)/25)*Calculateur!ER183*Calculateur!ET183*VLOOKUP('Données projet'!$B$15,Paramètres!$A$1:$I$89,3,0)*0.475*44/12</f>
        <v>2.8576485016628346</v>
      </c>
      <c r="EX183" s="21">
        <f>EXP(-LN(2)/2)*EX182+(1-EXP(-LN(2)/2))/(LN(2)/2)*ER183*EU183*VLOOKUP('Données projet'!$B$15,Paramètres!$A$1:$I$89,3,0)*0.475*44/12</f>
        <v>6.087668909183252E-14</v>
      </c>
      <c r="EY183" s="22">
        <f t="shared" si="181"/>
        <v>9.2487903399021434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>
        <f>FE183*VLOOKUP('Données projet'!$B$16,Paramètres!$A$1:$I$89,3,0)*VLOOKUP('Données projet'!$B$16,Paramètres!$A$1:$I$89,5,0)</f>
        <v>0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359.57284550600366</v>
      </c>
      <c r="FK183" s="59">
        <f t="shared" si="156"/>
        <v>351.38386928091433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5.9346317069364432</v>
      </c>
      <c r="FR183" s="21">
        <f>EXP(-LN(2)/25)*FR182+(1-EXP(-LN(2)/25))/(LN(2)/25)*Calculateur!FM183*Calculateur!FO183*VLOOKUP('Données projet'!$B$16,Paramètres!$A$1:$I$89,3,0)*0.475*44/12</f>
        <v>2.6535307515440554</v>
      </c>
      <c r="FS183" s="21">
        <f>EXP(-LN(2)/2)*FS182+(1-EXP(-LN(2)/2))/(LN(2)/2)*FM183*FP183*VLOOKUP('Données projet'!$B$16,Paramètres!$A$1:$I$89,3,0)*0.475*44/12</f>
        <v>5.6528354156702044E-14</v>
      </c>
      <c r="FT183" s="22">
        <f t="shared" si="184"/>
        <v>8.5881624584805554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6">
        <f t="shared" si="110"/>
        <v>256.66666666666669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3.979039320256561E-13</v>
      </c>
      <c r="O184" s="13">
        <f>N184*VLOOKUP('Données projet'!$B$9,Paramètres!$A$1:$I$89,3,0)*VLOOKUP('Données projet'!$B$9,Paramètres!$A$1:$I$89,5,0)</f>
        <v>3.6002347769681362E-13</v>
      </c>
      <c r="P184" s="13">
        <f t="shared" si="141"/>
        <v>4.6593569189922594E-12</v>
      </c>
      <c r="Q184" s="20">
        <f t="shared" si="162"/>
        <v>8.7420875242334695E-12</v>
      </c>
      <c r="R184" s="59">
        <f t="shared" si="109"/>
        <v>293.33333333334207</v>
      </c>
      <c r="S184" s="59">
        <f ca="1">AVERAGE(OFFSET($R$3,0,0,'Données projet'!$E$9+1,1))-AVERAGE(OFFSET($H$3,0,0,'Données projet'!$E$9+1,1))</f>
        <v>695.0879239758051</v>
      </c>
      <c r="T184" s="59">
        <f t="shared" si="142"/>
        <v>226.22150997227476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112.72228761165444</v>
      </c>
      <c r="AA184" s="21">
        <f>EXP(-LN(2)/25)*AA183+(1-EXP(-LN(2)/25))/(LN(2)/25)*Calculateur!V184*Calculateur!X184*VLOOKUP('Données projet'!$B$9,Paramètres!$A$1:$I$89,3,0)*0.475*44/12</f>
        <v>16.526492327834454</v>
      </c>
      <c r="AB184" s="21">
        <f>EXP(-LN(2)/2)*AB183+(1-EXP(-LN(2)/2))/(LN(2)/2)*V184*Y184*VLOOKUP('Données projet'!$B$9,Paramètres!$A$1:$I$89,3,0)*0.475*44/12</f>
        <v>5.5577504418971519E-3</v>
      </c>
      <c r="AC184" s="22">
        <f t="shared" si="163"/>
        <v>129.25433768993079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1.1368683772161603E-13</v>
      </c>
      <c r="AJ184" s="13">
        <f>AI184*VLOOKUP('Données projet'!$B$10,Paramètres!$A$1:$I$89,3,0)*VLOOKUP('Données projet'!$B$10,Paramètres!$A$1:$I$89,5,0)</f>
        <v>6.7984728957526396E-14</v>
      </c>
      <c r="AK184" s="13">
        <f t="shared" si="164"/>
        <v>1.0682447123141398E-12</v>
      </c>
      <c r="AL184" s="20">
        <f t="shared" si="165"/>
        <v>1.978932943548152E-12</v>
      </c>
      <c r="AM184" s="59">
        <f t="shared" si="113"/>
        <v>293.3333333333353</v>
      </c>
      <c r="AN184" s="59">
        <f ca="1">AVERAGE(OFFSET($AM$3,0,0,'Données projet'!$E$10+1,1))-AVERAGE(OFFSET($H$3,0,0,'Données projet'!$E$10+1,1))</f>
        <v>388.12151914648013</v>
      </c>
      <c r="AO184" s="59">
        <f t="shared" si="144"/>
        <v>481.43684454382793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14.974892991576995</v>
      </c>
      <c r="AV184" s="21">
        <f>EXP(-LN(2)/25)*AV183+(1-EXP(-LN(2)/25))/(LN(2)/25)*Calculateur!AQ184*Calculateur!AS184*VLOOKUP('Données projet'!$B$10,Paramètres!$A$1:$I$89,3,0)*0.475*44/12</f>
        <v>1.9271559913018115</v>
      </c>
      <c r="AW184" s="21">
        <f>EXP(-LN(2)/2)*AW183+(1-EXP(-LN(2)/2))/(LN(2)/2)*AQ184*AT184*VLOOKUP('Données projet'!$B$10,Paramètres!$A$1:$I$89,3,0)*0.475*44/12</f>
        <v>1.1853019273529697E-17</v>
      </c>
      <c r="AX184" s="21">
        <f t="shared" si="166"/>
        <v>16.902048982878807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415.24818074059294</v>
      </c>
      <c r="BJ184" s="59">
        <f t="shared" si="146"/>
        <v>404.45811532046872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6.8252632525925314</v>
      </c>
      <c r="BQ184" s="21">
        <f>EXP(-LN(2)/25)*BQ183+(1-EXP(-LN(2)/25))/(LN(2)/25)*Calculateur!BL184*Calculateur!BN184*VLOOKUP('Données projet'!$B$11,Paramètres!$A$1:$I$89,3,0)*0.475*44/12</f>
        <v>3.0276761274922701</v>
      </c>
      <c r="BR184" s="21">
        <f>EXP(-LN(2)/2)*BR183+(1-EXP(-LN(2)/2))/(LN(2)/2)*BL184*BO184*VLOOKUP('Données projet'!$B$11,Paramètres!$A$1:$I$89,3,0)*0.475*44/12</f>
        <v>4.6889741072396667E-14</v>
      </c>
      <c r="BS184" s="22">
        <f t="shared" si="169"/>
        <v>9.8529393800848482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384.34044781465661</v>
      </c>
      <c r="CE184" s="59">
        <f t="shared" si="148"/>
        <v>374.99493809709708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7.7229818275618234</v>
      </c>
      <c r="CL184" s="21">
        <f>EXP(-LN(2)/25)*CL183+(1-EXP(-LN(2)/25))/(LN(2)/25)*Calculateur!CG184*Calculateur!CI184*VLOOKUP('Données projet'!$B$12,Paramètres!$A$1:$I$89,3,0)*0.475*44/12</f>
        <v>3.4259026863885107</v>
      </c>
      <c r="CM184" s="21">
        <f>EXP(-LN(2)/2)*CM183+(1-EXP(-LN(2)/2))/(LN(2)/2)*CG184*CJ184*VLOOKUP('Données projet'!$B$12,Paramètres!$A$1:$I$89,3,0)*0.475*44/12</f>
        <v>4.3046319673019903E-14</v>
      </c>
      <c r="CN184" s="22">
        <f t="shared" si="172"/>
        <v>11.148884513950376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5.6843418860808015E-13</v>
      </c>
      <c r="CU184" s="17">
        <f>CT184*VLOOKUP('Données projet'!$B$13,Paramètres!$A$1:$I$89,3,0)*VLOOKUP('Données projet'!$B$13,Paramètres!$A$1:$I$89,5,0)</f>
        <v>3.177547114319168E-13</v>
      </c>
      <c r="CV184" s="13">
        <f t="shared" si="173"/>
        <v>4.1725404435445377E-12</v>
      </c>
      <c r="CW184" s="20">
        <f t="shared" si="174"/>
        <v>7.820597394917325E-12</v>
      </c>
      <c r="CX184" s="59">
        <f t="shared" si="122"/>
        <v>293.33333333334116</v>
      </c>
      <c r="CY184" s="59">
        <f ca="1">AVERAGE(OFFSET($CX$3,0,0,'Données projet'!$E$13+1,1))-AVERAGE(OFFSET($H$3,0,0,'Données projet'!$E$13+1,1))</f>
        <v>386.66324266750968</v>
      </c>
      <c r="CZ184" s="59">
        <f t="shared" si="150"/>
        <v>356.22149461585769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25.612039753641795</v>
      </c>
      <c r="DG184" s="21">
        <f>EXP(-LN(2)/25)*DG183+(1-EXP(-LN(2)/25))/(LN(2)/25)*Calculateur!DB184*Calculateur!DD184*VLOOKUP('Données projet'!$B$13,Paramètres!$A$1:$I$89,3,0)*0.475*44/12</f>
        <v>3.536280977271705</v>
      </c>
      <c r="DH184" s="21">
        <f>EXP(-LN(2)/2)*DH183+(1-EXP(-LN(2)/2))/(LN(2)/2)*DB184*DE184*VLOOKUP('Données projet'!$B$13,Paramètres!$A$1:$I$89,3,0)*0.475*44/12</f>
        <v>1.4818831791027987E-15</v>
      </c>
      <c r="DI184" s="22">
        <f t="shared" si="175"/>
        <v>29.1483207309135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>
        <f>DO184*VLOOKUP('Données projet'!$B$14,Paramètres!$A$1:$I$89,3,0)*VLOOKUP('Données projet'!$B$14,Paramètres!$A$1:$I$89,5,0)</f>
        <v>0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347.17417070871716</v>
      </c>
      <c r="DU184" s="59">
        <f t="shared" si="152"/>
        <v>339.56378046986441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5.5944780758955135</v>
      </c>
      <c r="EB184" s="21">
        <f>EXP(-LN(2)/25)*EB183+(1-EXP(-LN(2)/25))/(LN(2)/25)*Calculateur!DW184*Calculateur!DY184*VLOOKUP('Données projet'!$B$14,Paramètres!$A$1:$I$89,3,0)*0.475*44/12</f>
        <v>2.4817017438461226</v>
      </c>
      <c r="EC184" s="21">
        <f>EXP(-LN(2)/2)*EC183+(1-EXP(-LN(2)/2))/(LN(2)/2)*DW184*DZ184*VLOOKUP('Données projet'!$B$14,Paramètres!$A$1:$I$89,3,0)*0.475*44/12</f>
        <v>3.843421399376784E-14</v>
      </c>
      <c r="ED184" s="22">
        <f t="shared" si="178"/>
        <v>8.0761798197416752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>
        <f>EJ184*VLOOKUP('Données projet'!$B$15,Paramètres!$A$1:$I$89,3,0)*VLOOKUP('Données projet'!$B$15,Paramètres!$A$1:$I$89,5,0)</f>
        <v>0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384.34044781465661</v>
      </c>
      <c r="EP184" s="59">
        <f t="shared" si="154"/>
        <v>374.99493809709708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6.265815445002981</v>
      </c>
      <c r="EW184" s="21">
        <f>EXP(-LN(2)/25)*EW183+(1-EXP(-LN(2)/25))/(LN(2)/25)*Calculateur!ER184*Calculateur!ET184*VLOOKUP('Données projet'!$B$15,Paramètres!$A$1:$I$89,3,0)*0.475*44/12</f>
        <v>2.7795059531076607</v>
      </c>
      <c r="EX184" s="21">
        <f>EXP(-LN(2)/2)*EX183+(1-EXP(-LN(2)/2))/(LN(2)/2)*ER184*EU184*VLOOKUP('Données projet'!$B$15,Paramètres!$A$1:$I$89,3,0)*0.475*44/12</f>
        <v>4.3046319673019903E-14</v>
      </c>
      <c r="EY184" s="22">
        <f t="shared" si="181"/>
        <v>9.0453213981106835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>
        <f>FE184*VLOOKUP('Données projet'!$B$16,Paramètres!$A$1:$I$89,3,0)*VLOOKUP('Données projet'!$B$16,Paramètres!$A$1:$I$89,5,0)</f>
        <v>0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359.57284550600366</v>
      </c>
      <c r="FK184" s="59">
        <f t="shared" si="156"/>
        <v>351.38386928091433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5.8182571989313381</v>
      </c>
      <c r="FR184" s="21">
        <f>EXP(-LN(2)/25)*FR183+(1-EXP(-LN(2)/25))/(LN(2)/25)*Calculateur!FM184*Calculateur!FO184*VLOOKUP('Données projet'!$B$16,Paramètres!$A$1:$I$89,3,0)*0.475*44/12</f>
        <v>2.5809698135999657</v>
      </c>
      <c r="FS184" s="21">
        <f>EXP(-LN(2)/2)*FS183+(1-EXP(-LN(2)/2))/(LN(2)/2)*FM184*FP184*VLOOKUP('Données projet'!$B$16,Paramètres!$A$1:$I$89,3,0)*0.475*44/12</f>
        <v>3.997158255351878E-14</v>
      </c>
      <c r="FT184" s="22">
        <f t="shared" si="184"/>
        <v>8.3992270125313446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6">
        <f t="shared" si="110"/>
        <v>256.66666666666669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3.979039320256561E-13</v>
      </c>
      <c r="O185" s="13">
        <f>N185*VLOOKUP('Données projet'!$B$9,Paramètres!$A$1:$I$89,3,0)*VLOOKUP('Données projet'!$B$9,Paramètres!$A$1:$I$89,5,0)</f>
        <v>3.6002347769681362E-13</v>
      </c>
      <c r="P185" s="13">
        <f t="shared" si="141"/>
        <v>4.6593569189922594E-12</v>
      </c>
      <c r="Q185" s="20">
        <f t="shared" si="162"/>
        <v>8.7420875242334695E-12</v>
      </c>
      <c r="R185" s="59">
        <f t="shared" si="109"/>
        <v>293.33333333334207</v>
      </c>
      <c r="S185" s="59">
        <f ca="1">AVERAGE(OFFSET($R$3,0,0,'Données projet'!$E$9+1,1))-AVERAGE(OFFSET($H$3,0,0,'Données projet'!$E$9+1,1))</f>
        <v>695.0879239758051</v>
      </c>
      <c r="T185" s="59">
        <f t="shared" si="142"/>
        <v>226.22150997227476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110.51187230539647</v>
      </c>
      <c r="AA185" s="21">
        <f>EXP(-LN(2)/25)*AA184+(1-EXP(-LN(2)/25))/(LN(2)/25)*Calculateur!V185*Calculateur!X185*VLOOKUP('Données projet'!$B$9,Paramètres!$A$1:$I$89,3,0)*0.475*44/12</f>
        <v>16.07457452603936</v>
      </c>
      <c r="AB185" s="21">
        <f>EXP(-LN(2)/2)*AB184+(1-EXP(-LN(2)/2))/(LN(2)/2)*V185*Y185*VLOOKUP('Données projet'!$B$9,Paramètres!$A$1:$I$89,3,0)*0.475*44/12</f>
        <v>3.9299230256080071E-3</v>
      </c>
      <c r="AC185" s="22">
        <f t="shared" si="163"/>
        <v>126.59037675446143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1.1368683772161603E-13</v>
      </c>
      <c r="AJ185" s="13">
        <f>AI185*VLOOKUP('Données projet'!$B$10,Paramètres!$A$1:$I$89,3,0)*VLOOKUP('Données projet'!$B$10,Paramètres!$A$1:$I$89,5,0)</f>
        <v>6.7984728957526396E-14</v>
      </c>
      <c r="AK185" s="13">
        <f t="shared" si="164"/>
        <v>1.0682447123141398E-12</v>
      </c>
      <c r="AL185" s="20">
        <f t="shared" si="165"/>
        <v>1.978932943548152E-12</v>
      </c>
      <c r="AM185" s="59">
        <f t="shared" si="113"/>
        <v>293.3333333333353</v>
      </c>
      <c r="AN185" s="59">
        <f ca="1">AVERAGE(OFFSET($AM$3,0,0,'Données projet'!$E$10+1,1))-AVERAGE(OFFSET($H$3,0,0,'Données projet'!$E$10+1,1))</f>
        <v>388.12151914648013</v>
      </c>
      <c r="AO185" s="59">
        <f t="shared" si="144"/>
        <v>481.43684454382793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14.68124447379501</v>
      </c>
      <c r="AV185" s="21">
        <f>EXP(-LN(2)/25)*AV184+(1-EXP(-LN(2)/25))/(LN(2)/25)*Calculateur!AQ185*Calculateur!AS185*VLOOKUP('Données projet'!$B$10,Paramètres!$A$1:$I$89,3,0)*0.475*44/12</f>
        <v>1.8744578093749344</v>
      </c>
      <c r="AW185" s="21">
        <f>EXP(-LN(2)/2)*AW184+(1-EXP(-LN(2)/2))/(LN(2)/2)*AQ185*AT185*VLOOKUP('Données projet'!$B$10,Paramètres!$A$1:$I$89,3,0)*0.475*44/12</f>
        <v>8.3813503058476936E-18</v>
      </c>
      <c r="AX185" s="21">
        <f t="shared" si="166"/>
        <v>16.555702283169943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415.24818074059294</v>
      </c>
      <c r="BJ185" s="59">
        <f t="shared" si="146"/>
        <v>404.45811532046872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6.6914240032087138</v>
      </c>
      <c r="BQ185" s="21">
        <f>EXP(-LN(2)/25)*BQ184+(1-EXP(-LN(2)/25))/(LN(2)/25)*Calculateur!BL185*Calculateur!BN185*VLOOKUP('Données projet'!$B$11,Paramètres!$A$1:$I$89,3,0)*0.475*44/12</f>
        <v>2.9448841645674264</v>
      </c>
      <c r="BR185" s="21">
        <f>EXP(-LN(2)/2)*BR184+(1-EXP(-LN(2)/2))/(LN(2)/2)*BL185*BO185*VLOOKUP('Données projet'!$B$11,Paramètres!$A$1:$I$89,3,0)*0.475*44/12</f>
        <v>3.315605388037306E-14</v>
      </c>
      <c r="BS185" s="22">
        <f t="shared" si="169"/>
        <v>9.6363081677761731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384.34044781465661</v>
      </c>
      <c r="CE185" s="59">
        <f t="shared" si="148"/>
        <v>374.99493809709708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7.5715388644771222</v>
      </c>
      <c r="CL185" s="21">
        <f>EXP(-LN(2)/25)*CL184+(1-EXP(-LN(2)/25))/(LN(2)/25)*Calculateur!CG185*Calculateur!CI185*VLOOKUP('Données projet'!$B$12,Paramètres!$A$1:$I$89,3,0)*0.475*44/12</f>
        <v>3.3322211972688245</v>
      </c>
      <c r="CM185" s="21">
        <f>EXP(-LN(2)/2)*CM184+(1-EXP(-LN(2)/2))/(LN(2)/2)*CG185*CJ185*VLOOKUP('Données projet'!$B$12,Paramètres!$A$1:$I$89,3,0)*0.475*44/12</f>
        <v>3.043834454591626E-14</v>
      </c>
      <c r="CN185" s="22">
        <f t="shared" si="172"/>
        <v>10.903760061745977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5.6843418860808015E-13</v>
      </c>
      <c r="CU185" s="17">
        <f>CT185*VLOOKUP('Données projet'!$B$13,Paramètres!$A$1:$I$89,3,0)*VLOOKUP('Données projet'!$B$13,Paramètres!$A$1:$I$89,5,0)</f>
        <v>3.177547114319168E-13</v>
      </c>
      <c r="CV185" s="13">
        <f t="shared" si="173"/>
        <v>4.1725404435445377E-12</v>
      </c>
      <c r="CW185" s="20">
        <f t="shared" si="174"/>
        <v>7.820597394917325E-12</v>
      </c>
      <c r="CX185" s="59">
        <f t="shared" si="122"/>
        <v>293.33333333334116</v>
      </c>
      <c r="CY185" s="59">
        <f ca="1">AVERAGE(OFFSET($CX$3,0,0,'Données projet'!$E$13+1,1))-AVERAGE(OFFSET($H$3,0,0,'Données projet'!$E$13+1,1))</f>
        <v>386.66324266750968</v>
      </c>
      <c r="CZ185" s="59">
        <f t="shared" si="150"/>
        <v>356.22149461585769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25.109803275874604</v>
      </c>
      <c r="DG185" s="21">
        <f>EXP(-LN(2)/25)*DG184+(1-EXP(-LN(2)/25))/(LN(2)/25)*Calculateur!DB185*Calculateur!DD185*VLOOKUP('Données projet'!$B$13,Paramètres!$A$1:$I$89,3,0)*0.475*44/12</f>
        <v>3.4395811879832761</v>
      </c>
      <c r="DH185" s="21">
        <f>EXP(-LN(2)/2)*DH184+(1-EXP(-LN(2)/2))/(LN(2)/2)*DB185*DE185*VLOOKUP('Données projet'!$B$13,Paramètres!$A$1:$I$89,3,0)*0.475*44/12</f>
        <v>1.047849644869868E-15</v>
      </c>
      <c r="DI185" s="22">
        <f t="shared" si="175"/>
        <v>28.54938446385788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>
        <f>DO185*VLOOKUP('Données projet'!$B$14,Paramètres!$A$1:$I$89,3,0)*VLOOKUP('Données projet'!$B$14,Paramètres!$A$1:$I$89,5,0)</f>
        <v>0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347.17417070871716</v>
      </c>
      <c r="DU185" s="59">
        <f t="shared" si="152"/>
        <v>339.56378046986441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5.4847737731218924</v>
      </c>
      <c r="EB185" s="21">
        <f>EXP(-LN(2)/25)*EB184+(1-EXP(-LN(2)/25))/(LN(2)/25)*Calculateur!DW185*Calculateur!DY185*VLOOKUP('Données projet'!$B$14,Paramètres!$A$1:$I$89,3,0)*0.475*44/12</f>
        <v>2.4138394791536277</v>
      </c>
      <c r="EC185" s="21">
        <f>EXP(-LN(2)/2)*EC184+(1-EXP(-LN(2)/2))/(LN(2)/2)*DW185*DZ185*VLOOKUP('Données projet'!$B$14,Paramètres!$A$1:$I$89,3,0)*0.475*44/12</f>
        <v>2.7177093344568139E-14</v>
      </c>
      <c r="ED185" s="22">
        <f t="shared" si="178"/>
        <v>7.8986132522755481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>
        <f>EJ185*VLOOKUP('Données projet'!$B$15,Paramètres!$A$1:$I$89,3,0)*VLOOKUP('Données projet'!$B$15,Paramètres!$A$1:$I$89,5,0)</f>
        <v>0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384.34044781465661</v>
      </c>
      <c r="EP185" s="59">
        <f t="shared" si="154"/>
        <v>374.99493809709708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6.142946625896526</v>
      </c>
      <c r="EW185" s="21">
        <f>EXP(-LN(2)/25)*EW184+(1-EXP(-LN(2)/25))/(LN(2)/25)*Calculateur!ER185*Calculateur!ET185*VLOOKUP('Données projet'!$B$15,Paramètres!$A$1:$I$89,3,0)*0.475*44/12</f>
        <v>2.7035002166520661</v>
      </c>
      <c r="EX185" s="21">
        <f>EXP(-LN(2)/2)*EX184+(1-EXP(-LN(2)/2))/(LN(2)/2)*ER185*EU185*VLOOKUP('Données projet'!$B$15,Paramètres!$A$1:$I$89,3,0)*0.475*44/12</f>
        <v>3.043834454591626E-14</v>
      </c>
      <c r="EY185" s="22">
        <f t="shared" si="181"/>
        <v>8.8464468425486213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>
        <f>FE185*VLOOKUP('Données projet'!$B$16,Paramètres!$A$1:$I$89,3,0)*VLOOKUP('Données projet'!$B$16,Paramètres!$A$1:$I$89,5,0)</f>
        <v>0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359.57284550600366</v>
      </c>
      <c r="FK185" s="59">
        <f t="shared" si="156"/>
        <v>351.38386928091433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5.7041647240467723</v>
      </c>
      <c r="FR185" s="21">
        <f>EXP(-LN(2)/25)*FR184+(1-EXP(-LN(2)/25))/(LN(2)/25)*Calculateur!FM185*Calculateur!FO185*VLOOKUP('Données projet'!$B$16,Paramètres!$A$1:$I$89,3,0)*0.475*44/12</f>
        <v>2.5103930583197709</v>
      </c>
      <c r="FS185" s="21">
        <f>EXP(-LN(2)/2)*FS184+(1-EXP(-LN(2)/2))/(LN(2)/2)*FM185*FP185*VLOOKUP('Données projet'!$B$16,Paramètres!$A$1:$I$89,3,0)*0.475*44/12</f>
        <v>2.8264177078351025E-14</v>
      </c>
      <c r="FT185" s="22">
        <f t="shared" si="184"/>
        <v>8.2145577823665725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6">
        <f t="shared" si="110"/>
        <v>256.66666666666669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3.979039320256561E-13</v>
      </c>
      <c r="O186" s="13">
        <f>N186*VLOOKUP('Données projet'!$B$9,Paramètres!$A$1:$I$89,3,0)*VLOOKUP('Données projet'!$B$9,Paramètres!$A$1:$I$89,5,0)</f>
        <v>3.6002347769681362E-13</v>
      </c>
      <c r="P186" s="13">
        <f t="shared" si="141"/>
        <v>4.6593569189922594E-12</v>
      </c>
      <c r="Q186" s="20">
        <f t="shared" si="162"/>
        <v>8.7420875242334695E-12</v>
      </c>
      <c r="R186" s="59">
        <f t="shared" si="109"/>
        <v>293.33333333334207</v>
      </c>
      <c r="S186" s="59">
        <f ca="1">AVERAGE(OFFSET($R$3,0,0,'Données projet'!$E$9+1,1))-AVERAGE(OFFSET($H$3,0,0,'Données projet'!$E$9+1,1))</f>
        <v>695.0879239758051</v>
      </c>
      <c r="T186" s="59">
        <f t="shared" si="142"/>
        <v>226.22150997227476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108.344801895074</v>
      </c>
      <c r="AA186" s="21">
        <f>EXP(-LN(2)/25)*AA185+(1-EXP(-LN(2)/25))/(LN(2)/25)*Calculateur!V186*Calculateur!X186*VLOOKUP('Données projet'!$B$9,Paramètres!$A$1:$I$89,3,0)*0.475*44/12</f>
        <v>15.635014440299678</v>
      </c>
      <c r="AB186" s="21">
        <f>EXP(-LN(2)/2)*AB185+(1-EXP(-LN(2)/2))/(LN(2)/2)*V186*Y186*VLOOKUP('Données projet'!$B$9,Paramètres!$A$1:$I$89,3,0)*0.475*44/12</f>
        <v>2.7788752209485759E-3</v>
      </c>
      <c r="AC186" s="22">
        <f t="shared" si="163"/>
        <v>123.98259521059462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1.1368683772161603E-13</v>
      </c>
      <c r="AJ186" s="13">
        <f>AI186*VLOOKUP('Données projet'!$B$10,Paramètres!$A$1:$I$89,3,0)*VLOOKUP('Données projet'!$B$10,Paramètres!$A$1:$I$89,5,0)</f>
        <v>6.7984728957526396E-14</v>
      </c>
      <c r="AK186" s="13">
        <f t="shared" si="164"/>
        <v>1.0682447123141398E-12</v>
      </c>
      <c r="AL186" s="20">
        <f t="shared" si="165"/>
        <v>1.978932943548152E-12</v>
      </c>
      <c r="AM186" s="59">
        <f t="shared" si="113"/>
        <v>293.3333333333353</v>
      </c>
      <c r="AN186" s="59">
        <f ca="1">AVERAGE(OFFSET($AM$3,0,0,'Données projet'!$E$10+1,1))-AVERAGE(OFFSET($H$3,0,0,'Données projet'!$E$10+1,1))</f>
        <v>388.12151914648013</v>
      </c>
      <c r="AO186" s="59">
        <f t="shared" si="144"/>
        <v>481.43684454382793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14.393354224338818</v>
      </c>
      <c r="AV186" s="21">
        <f>EXP(-LN(2)/25)*AV185+(1-EXP(-LN(2)/25))/(LN(2)/25)*Calculateur!AQ186*Calculateur!AS186*VLOOKUP('Données projet'!$B$10,Paramètres!$A$1:$I$89,3,0)*0.475*44/12</f>
        <v>1.8232006620041248</v>
      </c>
      <c r="AW186" s="21">
        <f>EXP(-LN(2)/2)*AW185+(1-EXP(-LN(2)/2))/(LN(2)/2)*AQ186*AT186*VLOOKUP('Données projet'!$B$10,Paramètres!$A$1:$I$89,3,0)*0.475*44/12</f>
        <v>5.9265096367648483E-18</v>
      </c>
      <c r="AX186" s="21">
        <f t="shared" si="166"/>
        <v>16.216554886342944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415.24818074059294</v>
      </c>
      <c r="BJ186" s="59">
        <f t="shared" si="146"/>
        <v>404.45811532046872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6.5602092598714314</v>
      </c>
      <c r="BQ186" s="21">
        <f>EXP(-LN(2)/25)*BQ185+(1-EXP(-LN(2)/25))/(LN(2)/25)*Calculateur!BL186*Calculateur!BN186*VLOOKUP('Données projet'!$B$11,Paramètres!$A$1:$I$89,3,0)*0.475*44/12</f>
        <v>2.8643561522226024</v>
      </c>
      <c r="BR186" s="21">
        <f>EXP(-LN(2)/2)*BR185+(1-EXP(-LN(2)/2))/(LN(2)/2)*BL186*BO186*VLOOKUP('Données projet'!$B$11,Paramètres!$A$1:$I$89,3,0)*0.475*44/12</f>
        <v>2.3444870536198334E-14</v>
      </c>
      <c r="BS186" s="22">
        <f t="shared" si="169"/>
        <v>9.4245654120940561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384.34044781465661</v>
      </c>
      <c r="CE186" s="59">
        <f t="shared" si="148"/>
        <v>374.99493809709708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7.4230656055274258</v>
      </c>
      <c r="CL186" s="21">
        <f>EXP(-LN(2)/25)*CL185+(1-EXP(-LN(2)/25))/(LN(2)/25)*Calculateur!CG186*Calculateur!CI186*VLOOKUP('Données projet'!$B$12,Paramètres!$A$1:$I$89,3,0)*0.475*44/12</f>
        <v>3.2411014333956114</v>
      </c>
      <c r="CM186" s="21">
        <f>EXP(-LN(2)/2)*CM185+(1-EXP(-LN(2)/2))/(LN(2)/2)*CG186*CJ186*VLOOKUP('Données projet'!$B$12,Paramètres!$A$1:$I$89,3,0)*0.475*44/12</f>
        <v>2.1523159836509952E-14</v>
      </c>
      <c r="CN186" s="22">
        <f t="shared" si="172"/>
        <v>10.664167038923058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5.6843418860808015E-13</v>
      </c>
      <c r="CU186" s="17">
        <f>CT186*VLOOKUP('Données projet'!$B$13,Paramètres!$A$1:$I$89,3,0)*VLOOKUP('Données projet'!$B$13,Paramètres!$A$1:$I$89,5,0)</f>
        <v>3.177547114319168E-13</v>
      </c>
      <c r="CV186" s="13">
        <f t="shared" si="173"/>
        <v>4.1725404435445377E-12</v>
      </c>
      <c r="CW186" s="20">
        <f t="shared" si="174"/>
        <v>7.820597394917325E-12</v>
      </c>
      <c r="CX186" s="59">
        <f t="shared" si="122"/>
        <v>293.33333333334116</v>
      </c>
      <c r="CY186" s="59">
        <f ca="1">AVERAGE(OFFSET($CX$3,0,0,'Données projet'!$E$13+1,1))-AVERAGE(OFFSET($H$3,0,0,'Données projet'!$E$13+1,1))</f>
        <v>386.66324266750968</v>
      </c>
      <c r="CZ186" s="59">
        <f t="shared" si="150"/>
        <v>356.22149461585769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24.617415349102426</v>
      </c>
      <c r="DG186" s="21">
        <f>EXP(-LN(2)/25)*DG185+(1-EXP(-LN(2)/25))/(LN(2)/25)*Calculateur!DB186*Calculateur!DD186*VLOOKUP('Données projet'!$B$13,Paramètres!$A$1:$I$89,3,0)*0.475*44/12</f>
        <v>3.3455256595181599</v>
      </c>
      <c r="DH186" s="21">
        <f>EXP(-LN(2)/2)*DH185+(1-EXP(-LN(2)/2))/(LN(2)/2)*DB186*DE186*VLOOKUP('Données projet'!$B$13,Paramètres!$A$1:$I$89,3,0)*0.475*44/12</f>
        <v>7.4094158955139933E-16</v>
      </c>
      <c r="DI186" s="22">
        <f t="shared" si="175"/>
        <v>27.962941008620586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>
        <f>DO186*VLOOKUP('Données projet'!$B$14,Paramètres!$A$1:$I$89,3,0)*VLOOKUP('Données projet'!$B$14,Paramètres!$A$1:$I$89,5,0)</f>
        <v>0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347.17417070871716</v>
      </c>
      <c r="DU186" s="59">
        <f t="shared" si="152"/>
        <v>339.56378046986441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5.377220704812645</v>
      </c>
      <c r="EB186" s="21">
        <f>EXP(-LN(2)/25)*EB185+(1-EXP(-LN(2)/25))/(LN(2)/25)*Calculateur!DW186*Calculateur!DY186*VLOOKUP('Données projet'!$B$14,Paramètres!$A$1:$I$89,3,0)*0.475*44/12</f>
        <v>2.3478329116578704</v>
      </c>
      <c r="EC186" s="21">
        <f>EXP(-LN(2)/2)*EC185+(1-EXP(-LN(2)/2))/(LN(2)/2)*DW186*DZ186*VLOOKUP('Données projet'!$B$14,Paramètres!$A$1:$I$89,3,0)*0.475*44/12</f>
        <v>1.921710699688392E-14</v>
      </c>
      <c r="ED186" s="22">
        <f t="shared" si="178"/>
        <v>7.725053616470535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>
        <f>EJ186*VLOOKUP('Données projet'!$B$15,Paramètres!$A$1:$I$89,3,0)*VLOOKUP('Données projet'!$B$15,Paramètres!$A$1:$I$89,5,0)</f>
        <v>0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384.34044781465661</v>
      </c>
      <c r="EP186" s="59">
        <f t="shared" si="154"/>
        <v>374.99493809709708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6.0224871893901684</v>
      </c>
      <c r="EW186" s="21">
        <f>EXP(-LN(2)/25)*EW185+(1-EXP(-LN(2)/25))/(LN(2)/25)*Calculateur!ER186*Calculateur!ET186*VLOOKUP('Données projet'!$B$15,Paramètres!$A$1:$I$89,3,0)*0.475*44/12</f>
        <v>2.6295728610568179</v>
      </c>
      <c r="EX186" s="21">
        <f>EXP(-LN(2)/2)*EX185+(1-EXP(-LN(2)/2))/(LN(2)/2)*ER186*EU186*VLOOKUP('Données projet'!$B$15,Paramètres!$A$1:$I$89,3,0)*0.475*44/12</f>
        <v>2.1523159836509952E-14</v>
      </c>
      <c r="EY186" s="22">
        <f t="shared" si="181"/>
        <v>8.6520600504470071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>
        <f>FE186*VLOOKUP('Données projet'!$B$16,Paramètres!$A$1:$I$89,3,0)*VLOOKUP('Données projet'!$B$16,Paramètres!$A$1:$I$89,5,0)</f>
        <v>0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359.57284550600366</v>
      </c>
      <c r="FK186" s="59">
        <f t="shared" si="156"/>
        <v>351.38386928091433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5.5923095330051549</v>
      </c>
      <c r="FR186" s="21">
        <f>EXP(-LN(2)/25)*FR185+(1-EXP(-LN(2)/25))/(LN(2)/25)*Calculateur!FM186*Calculateur!FO186*VLOOKUP('Données projet'!$B$16,Paramètres!$A$1:$I$89,3,0)*0.475*44/12</f>
        <v>2.4417462281241833</v>
      </c>
      <c r="FS186" s="21">
        <f>EXP(-LN(2)/2)*FS185+(1-EXP(-LN(2)/2))/(LN(2)/2)*FM186*FP186*VLOOKUP('Données projet'!$B$16,Paramètres!$A$1:$I$89,3,0)*0.475*44/12</f>
        <v>1.9985791276759393E-14</v>
      </c>
      <c r="FT186" s="22">
        <f t="shared" si="184"/>
        <v>8.0340557611293573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6">
        <f t="shared" si="110"/>
        <v>256.66666666666669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3.979039320256561E-13</v>
      </c>
      <c r="O187" s="13">
        <f>N187*VLOOKUP('Données projet'!$B$9,Paramètres!$A$1:$I$89,3,0)*VLOOKUP('Données projet'!$B$9,Paramètres!$A$1:$I$89,5,0)</f>
        <v>3.6002347769681362E-13</v>
      </c>
      <c r="P187" s="13">
        <f t="shared" si="141"/>
        <v>4.6593569189922594E-12</v>
      </c>
      <c r="Q187" s="20">
        <f t="shared" si="162"/>
        <v>8.7420875242334695E-12</v>
      </c>
      <c r="R187" s="59">
        <f t="shared" si="109"/>
        <v>293.33333333334207</v>
      </c>
      <c r="S187" s="59">
        <f ca="1">AVERAGE(OFFSET($R$3,0,0,'Données projet'!$E$9+1,1))-AVERAGE(OFFSET($H$3,0,0,'Données projet'!$E$9+1,1))</f>
        <v>695.0879239758051</v>
      </c>
      <c r="T187" s="59">
        <f t="shared" si="142"/>
        <v>226.22150997227476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106.22022641371552</v>
      </c>
      <c r="AA187" s="21">
        <f>EXP(-LN(2)/25)*AA186+(1-EXP(-LN(2)/25))/(LN(2)/25)*Calculateur!V187*Calculateur!X187*VLOOKUP('Données projet'!$B$9,Paramètres!$A$1:$I$89,3,0)*0.475*44/12</f>
        <v>15.207474148220008</v>
      </c>
      <c r="AB187" s="21">
        <f>EXP(-LN(2)/2)*AB186+(1-EXP(-LN(2)/2))/(LN(2)/2)*V187*Y187*VLOOKUP('Données projet'!$B$9,Paramètres!$A$1:$I$89,3,0)*0.475*44/12</f>
        <v>1.9649615128040036E-3</v>
      </c>
      <c r="AC187" s="22">
        <f t="shared" si="163"/>
        <v>121.42966552344832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1.1368683772161603E-13</v>
      </c>
      <c r="AJ187" s="13">
        <f>AI187*VLOOKUP('Données projet'!$B$10,Paramètres!$A$1:$I$89,3,0)*VLOOKUP('Données projet'!$B$10,Paramètres!$A$1:$I$89,5,0)</f>
        <v>6.7984728957526396E-14</v>
      </c>
      <c r="AK187" s="13">
        <f t="shared" si="164"/>
        <v>1.0682447123141398E-12</v>
      </c>
      <c r="AL187" s="20">
        <f t="shared" si="165"/>
        <v>1.978932943548152E-12</v>
      </c>
      <c r="AM187" s="59">
        <f t="shared" si="113"/>
        <v>293.3333333333353</v>
      </c>
      <c r="AN187" s="59">
        <f ca="1">AVERAGE(OFFSET($AM$3,0,0,'Données projet'!$E$10+1,1))-AVERAGE(OFFSET($H$3,0,0,'Données projet'!$E$10+1,1))</f>
        <v>388.12151914648013</v>
      </c>
      <c r="AO187" s="59">
        <f t="shared" si="144"/>
        <v>481.43684454382793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14.111109327078749</v>
      </c>
      <c r="AV187" s="21">
        <f>EXP(-LN(2)/25)*AV186+(1-EXP(-LN(2)/25))/(LN(2)/25)*Calculateur!AQ187*Calculateur!AS187*VLOOKUP('Données projet'!$B$10,Paramètres!$A$1:$I$89,3,0)*0.475*44/12</f>
        <v>1.7733451440236661</v>
      </c>
      <c r="AW187" s="21">
        <f>EXP(-LN(2)/2)*AW186+(1-EXP(-LN(2)/2))/(LN(2)/2)*AQ187*AT187*VLOOKUP('Données projet'!$B$10,Paramètres!$A$1:$I$89,3,0)*0.475*44/12</f>
        <v>4.1906751529238468E-18</v>
      </c>
      <c r="AX187" s="21">
        <f t="shared" si="166"/>
        <v>15.884454471102416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415.24818074059294</v>
      </c>
      <c r="BJ187" s="59">
        <f t="shared" si="146"/>
        <v>404.45811532046872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6.4315675576179023</v>
      </c>
      <c r="BQ187" s="21">
        <f>EXP(-LN(2)/25)*BQ186+(1-EXP(-LN(2)/25))/(LN(2)/25)*Calculateur!BL187*Calculateur!BN187*VLOOKUP('Données projet'!$B$11,Paramètres!$A$1:$I$89,3,0)*0.475*44/12</f>
        <v>2.7860301826101317</v>
      </c>
      <c r="BR187" s="21">
        <f>EXP(-LN(2)/2)*BR186+(1-EXP(-LN(2)/2))/(LN(2)/2)*BL187*BO187*VLOOKUP('Données projet'!$B$11,Paramètres!$A$1:$I$89,3,0)*0.475*44/12</f>
        <v>1.657802694018653E-14</v>
      </c>
      <c r="BS187" s="22">
        <f t="shared" si="169"/>
        <v>9.2175977402280491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384.34044781465661</v>
      </c>
      <c r="CE187" s="59">
        <f t="shared" si="148"/>
        <v>374.99493809709708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7.2775038166259867</v>
      </c>
      <c r="CL187" s="21">
        <f>EXP(-LN(2)/25)*CL186+(1-EXP(-LN(2)/25))/(LN(2)/25)*Calculateur!CG187*Calculateur!CI187*VLOOKUP('Données projet'!$B$12,Paramètres!$A$1:$I$89,3,0)*0.475*44/12</f>
        <v>3.1524733442572916</v>
      </c>
      <c r="CM187" s="21">
        <f>EXP(-LN(2)/2)*CM186+(1-EXP(-LN(2)/2))/(LN(2)/2)*CG187*CJ187*VLOOKUP('Données projet'!$B$12,Paramètres!$A$1:$I$89,3,0)*0.475*44/12</f>
        <v>1.521917227295813E-14</v>
      </c>
      <c r="CN187" s="22">
        <f t="shared" si="172"/>
        <v>10.429977160883295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5.6843418860808015E-13</v>
      </c>
      <c r="CU187" s="17">
        <f>CT187*VLOOKUP('Données projet'!$B$13,Paramètres!$A$1:$I$89,3,0)*VLOOKUP('Données projet'!$B$13,Paramètres!$A$1:$I$89,5,0)</f>
        <v>3.177547114319168E-13</v>
      </c>
      <c r="CV187" s="13">
        <f t="shared" si="173"/>
        <v>4.1725404435445377E-12</v>
      </c>
      <c r="CW187" s="20">
        <f t="shared" si="174"/>
        <v>7.820597394917325E-12</v>
      </c>
      <c r="CX187" s="59">
        <f t="shared" si="122"/>
        <v>293.33333333334116</v>
      </c>
      <c r="CY187" s="59">
        <f ca="1">AVERAGE(OFFSET($CX$3,0,0,'Données projet'!$E$13+1,1))-AVERAGE(OFFSET($H$3,0,0,'Données projet'!$E$13+1,1))</f>
        <v>386.66324266750968</v>
      </c>
      <c r="CZ187" s="59">
        <f t="shared" si="150"/>
        <v>356.22149461585769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24.13468284924727</v>
      </c>
      <c r="DG187" s="21">
        <f>EXP(-LN(2)/25)*DG186+(1-EXP(-LN(2)/25))/(LN(2)/25)*Calculateur!DB187*Calculateur!DD187*VLOOKUP('Données projet'!$B$13,Paramètres!$A$1:$I$89,3,0)*0.475*44/12</f>
        <v>3.2540420844250879</v>
      </c>
      <c r="DH187" s="21">
        <f>EXP(-LN(2)/2)*DH186+(1-EXP(-LN(2)/2))/(LN(2)/2)*DB187*DE187*VLOOKUP('Données projet'!$B$13,Paramètres!$A$1:$I$89,3,0)*0.475*44/12</f>
        <v>5.2392482243493402E-16</v>
      </c>
      <c r="DI187" s="22">
        <f t="shared" si="175"/>
        <v>27.388724933672357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>
        <f>DO187*VLOOKUP('Données projet'!$B$14,Paramètres!$A$1:$I$89,3,0)*VLOOKUP('Données projet'!$B$14,Paramètres!$A$1:$I$89,5,0)</f>
        <v>0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347.17417070871716</v>
      </c>
      <c r="DU187" s="59">
        <f t="shared" si="152"/>
        <v>339.56378046986441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5.2717766865720472</v>
      </c>
      <c r="EB187" s="21">
        <f>EXP(-LN(2)/25)*EB186+(1-EXP(-LN(2)/25))/(LN(2)/25)*Calculateur!DW187*Calculateur!DY187*VLOOKUP('Données projet'!$B$14,Paramètres!$A$1:$I$89,3,0)*0.475*44/12</f>
        <v>2.2836312972214192</v>
      </c>
      <c r="EC187" s="21">
        <f>EXP(-LN(2)/2)*EC186+(1-EXP(-LN(2)/2))/(LN(2)/2)*DW187*DZ187*VLOOKUP('Données projet'!$B$14,Paramètres!$A$1:$I$89,3,0)*0.475*44/12</f>
        <v>1.358854667228407E-14</v>
      </c>
      <c r="ED187" s="22">
        <f t="shared" si="178"/>
        <v>7.5554079837934802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>
        <f>EJ187*VLOOKUP('Données projet'!$B$15,Paramètres!$A$1:$I$89,3,0)*VLOOKUP('Données projet'!$B$15,Paramètres!$A$1:$I$89,5,0)</f>
        <v>0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384.34044781465661</v>
      </c>
      <c r="EP187" s="59">
        <f t="shared" si="154"/>
        <v>374.99493809709708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5.9043898889606989</v>
      </c>
      <c r="EW187" s="21">
        <f>EXP(-LN(2)/25)*EW186+(1-EXP(-LN(2)/25))/(LN(2)/25)*Calculateur!ER187*Calculateur!ET187*VLOOKUP('Données projet'!$B$15,Paramètres!$A$1:$I$89,3,0)*0.475*44/12</f>
        <v>2.5576670528879926</v>
      </c>
      <c r="EX187" s="21">
        <f>EXP(-LN(2)/2)*EX186+(1-EXP(-LN(2)/2))/(LN(2)/2)*ER187*EU187*VLOOKUP('Données projet'!$B$15,Paramètres!$A$1:$I$89,3,0)*0.475*44/12</f>
        <v>1.521917227295813E-14</v>
      </c>
      <c r="EY187" s="22">
        <f t="shared" si="181"/>
        <v>8.4620569418487079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>
        <f>FE187*VLOOKUP('Données projet'!$B$16,Paramètres!$A$1:$I$89,3,0)*VLOOKUP('Données projet'!$B$16,Paramètres!$A$1:$I$89,5,0)</f>
        <v>0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359.57284550600366</v>
      </c>
      <c r="FK187" s="59">
        <f t="shared" si="156"/>
        <v>351.38386928091433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5.4826477540349332</v>
      </c>
      <c r="FR187" s="21">
        <f>EXP(-LN(2)/25)*FR186+(1-EXP(-LN(2)/25))/(LN(2)/25)*Calculateur!FM187*Calculateur!FO187*VLOOKUP('Données projet'!$B$16,Paramètres!$A$1:$I$89,3,0)*0.475*44/12</f>
        <v>2.3749765491102739</v>
      </c>
      <c r="FS187" s="21">
        <f>EXP(-LN(2)/2)*FS186+(1-EXP(-LN(2)/2))/(LN(2)/2)*FM187*FP187*VLOOKUP('Données projet'!$B$16,Paramètres!$A$1:$I$89,3,0)*0.475*44/12</f>
        <v>1.4132088539175516E-14</v>
      </c>
      <c r="FT187" s="22">
        <f t="shared" si="184"/>
        <v>7.8576243031452213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6">
        <f t="shared" si="110"/>
        <v>256.66666666666669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3.979039320256561E-13</v>
      </c>
      <c r="O188" s="13">
        <f>N188*VLOOKUP('Données projet'!$B$9,Paramètres!$A$1:$I$89,3,0)*VLOOKUP('Données projet'!$B$9,Paramètres!$A$1:$I$89,5,0)</f>
        <v>3.6002347769681362E-13</v>
      </c>
      <c r="P188" s="13">
        <f t="shared" si="141"/>
        <v>4.6593569189922594E-12</v>
      </c>
      <c r="Q188" s="20">
        <f t="shared" si="162"/>
        <v>8.7420875242334695E-12</v>
      </c>
      <c r="R188" s="59">
        <f t="shared" si="109"/>
        <v>293.33333333334207</v>
      </c>
      <c r="S188" s="59">
        <f ca="1">AVERAGE(OFFSET($R$3,0,0,'Données projet'!$E$9+1,1))-AVERAGE(OFFSET($H$3,0,0,'Données projet'!$E$9+1,1))</f>
        <v>695.0879239758051</v>
      </c>
      <c r="T188" s="59">
        <f t="shared" si="142"/>
        <v>226.22150997227476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104.1373125616834</v>
      </c>
      <c r="AA188" s="21">
        <f>EXP(-LN(2)/25)*AA187+(1-EXP(-LN(2)/25))/(LN(2)/25)*Calculateur!V188*Calculateur!X188*VLOOKUP('Données projet'!$B$9,Paramètres!$A$1:$I$89,3,0)*0.475*44/12</f>
        <v>14.791624967910623</v>
      </c>
      <c r="AB188" s="21">
        <f>EXP(-LN(2)/2)*AB187+(1-EXP(-LN(2)/2))/(LN(2)/2)*V188*Y188*VLOOKUP('Données projet'!$B$9,Paramètres!$A$1:$I$89,3,0)*0.475*44/12</f>
        <v>1.389437610474288E-3</v>
      </c>
      <c r="AC188" s="22">
        <f t="shared" si="163"/>
        <v>118.93032696720449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1.1368683772161603E-13</v>
      </c>
      <c r="AJ188" s="13">
        <f>AI188*VLOOKUP('Données projet'!$B$10,Paramètres!$A$1:$I$89,3,0)*VLOOKUP('Données projet'!$B$10,Paramètres!$A$1:$I$89,5,0)</f>
        <v>6.7984728957526396E-14</v>
      </c>
      <c r="AK188" s="13">
        <f t="shared" si="164"/>
        <v>1.0682447123141398E-12</v>
      </c>
      <c r="AL188" s="20">
        <f t="shared" si="165"/>
        <v>1.978932943548152E-12</v>
      </c>
      <c r="AM188" s="59">
        <f t="shared" si="113"/>
        <v>293.3333333333353</v>
      </c>
      <c r="AN188" s="59">
        <f ca="1">AVERAGE(OFFSET($AM$3,0,0,'Données projet'!$E$10+1,1))-AVERAGE(OFFSET($H$3,0,0,'Données projet'!$E$10+1,1))</f>
        <v>388.12151914648013</v>
      </c>
      <c r="AO188" s="59">
        <f t="shared" si="144"/>
        <v>481.43684454382793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13.83439908010156</v>
      </c>
      <c r="AV188" s="21">
        <f>EXP(-LN(2)/25)*AV187+(1-EXP(-LN(2)/25))/(LN(2)/25)*Calculateur!AQ188*Calculateur!AS188*VLOOKUP('Données projet'!$B$10,Paramètres!$A$1:$I$89,3,0)*0.475*44/12</f>
        <v>1.7248529278041709</v>
      </c>
      <c r="AW188" s="21">
        <f>EXP(-LN(2)/2)*AW187+(1-EXP(-LN(2)/2))/(LN(2)/2)*AQ188*AT188*VLOOKUP('Données projet'!$B$10,Paramètres!$A$1:$I$89,3,0)*0.475*44/12</f>
        <v>2.9632548183824241E-18</v>
      </c>
      <c r="AX188" s="21">
        <f t="shared" si="166"/>
        <v>15.559252007905732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415.24818074059294</v>
      </c>
      <c r="BJ188" s="59">
        <f t="shared" si="146"/>
        <v>404.45811532046872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6.3054484406818743</v>
      </c>
      <c r="BQ188" s="21">
        <f>EXP(-LN(2)/25)*BQ187+(1-EXP(-LN(2)/25))/(LN(2)/25)*Calculateur!BL188*Calculateur!BN188*VLOOKUP('Données projet'!$B$11,Paramètres!$A$1:$I$89,3,0)*0.475*44/12</f>
        <v>2.7098460407556977</v>
      </c>
      <c r="BR188" s="21">
        <f>EXP(-LN(2)/2)*BR187+(1-EXP(-LN(2)/2))/(LN(2)/2)*BL188*BO188*VLOOKUP('Données projet'!$B$11,Paramètres!$A$1:$I$89,3,0)*0.475*44/12</f>
        <v>1.1722435268099167E-14</v>
      </c>
      <c r="BS188" s="22">
        <f t="shared" si="169"/>
        <v>9.0152944814375839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384.34044781465661</v>
      </c>
      <c r="CE188" s="59">
        <f t="shared" si="148"/>
        <v>374.99493809709708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7.1347964056209801</v>
      </c>
      <c r="CL188" s="21">
        <f>EXP(-LN(2)/25)*CL187+(1-EXP(-LN(2)/25))/(LN(2)/25)*Calculateur!CG188*Calculateur!CI188*VLOOKUP('Données projet'!$B$12,Paramètres!$A$1:$I$89,3,0)*0.475*44/12</f>
        <v>3.066268794877208</v>
      </c>
      <c r="CM188" s="21">
        <f>EXP(-LN(2)/2)*CM187+(1-EXP(-LN(2)/2))/(LN(2)/2)*CG188*CJ188*VLOOKUP('Données projet'!$B$12,Paramètres!$A$1:$I$89,3,0)*0.475*44/12</f>
        <v>1.0761579918254976E-14</v>
      </c>
      <c r="CN188" s="22">
        <f t="shared" si="172"/>
        <v>10.201065200498199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5.6843418860808015E-13</v>
      </c>
      <c r="CU188" s="17">
        <f>CT188*VLOOKUP('Données projet'!$B$13,Paramètres!$A$1:$I$89,3,0)*VLOOKUP('Données projet'!$B$13,Paramètres!$A$1:$I$89,5,0)</f>
        <v>3.177547114319168E-13</v>
      </c>
      <c r="CV188" s="13">
        <f t="shared" si="173"/>
        <v>4.1725404435445377E-12</v>
      </c>
      <c r="CW188" s="20">
        <f t="shared" si="174"/>
        <v>7.820597394917325E-12</v>
      </c>
      <c r="CX188" s="59">
        <f t="shared" si="122"/>
        <v>293.33333333334116</v>
      </c>
      <c r="CY188" s="59">
        <f ca="1">AVERAGE(OFFSET($CX$3,0,0,'Données projet'!$E$13+1,1))-AVERAGE(OFFSET($H$3,0,0,'Données projet'!$E$13+1,1))</f>
        <v>386.66324266750968</v>
      </c>
      <c r="CZ188" s="59">
        <f t="shared" si="150"/>
        <v>356.22149461585769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23.661416439276518</v>
      </c>
      <c r="DG188" s="21">
        <f>EXP(-LN(2)/25)*DG187+(1-EXP(-LN(2)/25))/(LN(2)/25)*Calculateur!DB188*Calculateur!DD188*VLOOKUP('Données projet'!$B$13,Paramètres!$A$1:$I$89,3,0)*0.475*44/12</f>
        <v>3.1650601325038479</v>
      </c>
      <c r="DH188" s="21">
        <f>EXP(-LN(2)/2)*DH187+(1-EXP(-LN(2)/2))/(LN(2)/2)*DB188*DE188*VLOOKUP('Données projet'!$B$13,Paramètres!$A$1:$I$89,3,0)*0.475*44/12</f>
        <v>3.7047079477569967E-16</v>
      </c>
      <c r="DI188" s="22">
        <f t="shared" si="175"/>
        <v>26.826476571780365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>
        <f>DO188*VLOOKUP('Données projet'!$B$14,Paramètres!$A$1:$I$89,3,0)*VLOOKUP('Données projet'!$B$14,Paramètres!$A$1:$I$89,5,0)</f>
        <v>0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347.17417070871716</v>
      </c>
      <c r="DU188" s="59">
        <f t="shared" si="152"/>
        <v>339.56378046986441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5.1684003612146476</v>
      </c>
      <c r="EB188" s="21">
        <f>EXP(-LN(2)/25)*EB187+(1-EXP(-LN(2)/25))/(LN(2)/25)*Calculateur!DW188*Calculateur!DY188*VLOOKUP('Données projet'!$B$14,Paramètres!$A$1:$I$89,3,0)*0.475*44/12</f>
        <v>2.221185279307949</v>
      </c>
      <c r="EC188" s="21">
        <f>EXP(-LN(2)/2)*EC187+(1-EXP(-LN(2)/2))/(LN(2)/2)*DW188*DZ188*VLOOKUP('Données projet'!$B$14,Paramètres!$A$1:$I$89,3,0)*0.475*44/12</f>
        <v>9.6085534984419599E-15</v>
      </c>
      <c r="ED188" s="22">
        <f t="shared" si="178"/>
        <v>7.3895856405226068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>
        <f>EJ188*VLOOKUP('Données projet'!$B$15,Paramètres!$A$1:$I$89,3,0)*VLOOKUP('Données projet'!$B$15,Paramètres!$A$1:$I$89,5,0)</f>
        <v>0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384.34044781465661</v>
      </c>
      <c r="EP188" s="59">
        <f t="shared" si="154"/>
        <v>374.99493809709708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5.7886084045604109</v>
      </c>
      <c r="EW188" s="21">
        <f>EXP(-LN(2)/25)*EW187+(1-EXP(-LN(2)/25))/(LN(2)/25)*Calculateur!ER188*Calculateur!ET188*VLOOKUP('Données projet'!$B$15,Paramètres!$A$1:$I$89,3,0)*0.475*44/12</f>
        <v>2.4877275128249057</v>
      </c>
      <c r="EX188" s="21">
        <f>EXP(-LN(2)/2)*EX187+(1-EXP(-LN(2)/2))/(LN(2)/2)*ER188*EU188*VLOOKUP('Données projet'!$B$15,Paramètres!$A$1:$I$89,3,0)*0.475*44/12</f>
        <v>1.0761579918254976E-14</v>
      </c>
      <c r="EY188" s="22">
        <f t="shared" si="181"/>
        <v>8.2763359173853281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>
        <f>FE188*VLOOKUP('Données projet'!$B$16,Paramètres!$A$1:$I$89,3,0)*VLOOKUP('Données projet'!$B$16,Paramètres!$A$1:$I$89,5,0)</f>
        <v>0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359.57284550600366</v>
      </c>
      <c r="FK188" s="59">
        <f t="shared" si="156"/>
        <v>351.38386928091433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5.3751363756632369</v>
      </c>
      <c r="FR188" s="21">
        <f>EXP(-LN(2)/25)*FR187+(1-EXP(-LN(2)/25))/(LN(2)/25)*Calculateur!FM188*Calculateur!FO188*VLOOKUP('Données projet'!$B$16,Paramètres!$A$1:$I$89,3,0)*0.475*44/12</f>
        <v>2.3100326904802646</v>
      </c>
      <c r="FS188" s="21">
        <f>EXP(-LN(2)/2)*FS187+(1-EXP(-LN(2)/2))/(LN(2)/2)*FM188*FP188*VLOOKUP('Données projet'!$B$16,Paramètres!$A$1:$I$89,3,0)*0.475*44/12</f>
        <v>9.9928956383796982E-15</v>
      </c>
      <c r="FT188" s="22">
        <f t="shared" si="184"/>
        <v>7.6851690661435113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6">
        <f t="shared" si="110"/>
        <v>256.66666666666669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3.979039320256561E-13</v>
      </c>
      <c r="O189" s="13">
        <f>N189*VLOOKUP('Données projet'!$B$9,Paramètres!$A$1:$I$89,3,0)*VLOOKUP('Données projet'!$B$9,Paramètres!$A$1:$I$89,5,0)</f>
        <v>3.6002347769681362E-13</v>
      </c>
      <c r="P189" s="13">
        <f t="shared" si="141"/>
        <v>4.6593569189922594E-12</v>
      </c>
      <c r="Q189" s="20">
        <f t="shared" si="162"/>
        <v>8.7420875242334695E-12</v>
      </c>
      <c r="R189" s="59">
        <f t="shared" si="109"/>
        <v>293.33333333334207</v>
      </c>
      <c r="S189" s="59">
        <f ca="1">AVERAGE(OFFSET($R$3,0,0,'Données projet'!$E$9+1,1))-AVERAGE(OFFSET($H$3,0,0,'Données projet'!$E$9+1,1))</f>
        <v>695.0879239758051</v>
      </c>
      <c r="T189" s="59">
        <f t="shared" si="142"/>
        <v>226.22150997227476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102.09524337983763</v>
      </c>
      <c r="AA189" s="21">
        <f>EXP(-LN(2)/25)*AA188+(1-EXP(-LN(2)/25))/(LN(2)/25)*Calculateur!V189*Calculateur!X189*VLOOKUP('Données projet'!$B$9,Paramètres!$A$1:$I$89,3,0)*0.475*44/12</f>
        <v>14.387147205305357</v>
      </c>
      <c r="AB189" s="21">
        <f>EXP(-LN(2)/2)*AB188+(1-EXP(-LN(2)/2))/(LN(2)/2)*V189*Y189*VLOOKUP('Données projet'!$B$9,Paramètres!$A$1:$I$89,3,0)*0.475*44/12</f>
        <v>9.8248075640200178E-4</v>
      </c>
      <c r="AC189" s="22">
        <f t="shared" si="163"/>
        <v>116.48337306589939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1.1368683772161603E-13</v>
      </c>
      <c r="AJ189" s="13">
        <f>AI189*VLOOKUP('Données projet'!$B$10,Paramètres!$A$1:$I$89,3,0)*VLOOKUP('Données projet'!$B$10,Paramètres!$A$1:$I$89,5,0)</f>
        <v>6.7984728957526396E-14</v>
      </c>
      <c r="AK189" s="13">
        <f t="shared" si="164"/>
        <v>1.0682447123141398E-12</v>
      </c>
      <c r="AL189" s="20">
        <f t="shared" si="165"/>
        <v>1.978932943548152E-12</v>
      </c>
      <c r="AM189" s="59">
        <f t="shared" si="113"/>
        <v>293.3333333333353</v>
      </c>
      <c r="AN189" s="59">
        <f ca="1">AVERAGE(OFFSET($AM$3,0,0,'Données projet'!$E$10+1,1))-AVERAGE(OFFSET($H$3,0,0,'Données projet'!$E$10+1,1))</f>
        <v>388.12151914648013</v>
      </c>
      <c r="AO189" s="59">
        <f t="shared" si="144"/>
        <v>481.43684454382793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13.563114952291009</v>
      </c>
      <c r="AV189" s="21">
        <f>EXP(-LN(2)/25)*AV188+(1-EXP(-LN(2)/25))/(LN(2)/25)*Calculateur!AQ189*Calculateur!AS189*VLOOKUP('Données projet'!$B$10,Paramètres!$A$1:$I$89,3,0)*0.475*44/12</f>
        <v>1.6776867337872925</v>
      </c>
      <c r="AW189" s="21">
        <f>EXP(-LN(2)/2)*AW188+(1-EXP(-LN(2)/2))/(LN(2)/2)*AQ189*AT189*VLOOKUP('Données projet'!$B$10,Paramètres!$A$1:$I$89,3,0)*0.475*44/12</f>
        <v>2.0953375764619234E-18</v>
      </c>
      <c r="AX189" s="21">
        <f t="shared" si="166"/>
        <v>15.240801686078301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415.24818074059294</v>
      </c>
      <c r="BJ189" s="59">
        <f t="shared" si="146"/>
        <v>404.45811532046872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6.181802442703896</v>
      </c>
      <c r="BQ189" s="21">
        <f>EXP(-LN(2)/25)*BQ188+(1-EXP(-LN(2)/25))/(LN(2)/25)*Calculateur!BL189*Calculateur!BN189*VLOOKUP('Données projet'!$B$11,Paramètres!$A$1:$I$89,3,0)*0.475*44/12</f>
        <v>2.6357451582666234</v>
      </c>
      <c r="BR189" s="21">
        <f>EXP(-LN(2)/2)*BR188+(1-EXP(-LN(2)/2))/(LN(2)/2)*BL189*BO189*VLOOKUP('Données projet'!$B$11,Paramètres!$A$1:$I$89,3,0)*0.475*44/12</f>
        <v>8.289013470093265E-15</v>
      </c>
      <c r="BS189" s="22">
        <f t="shared" si="169"/>
        <v>8.8175476009705278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384.34044781465661</v>
      </c>
      <c r="CE189" s="59">
        <f t="shared" si="148"/>
        <v>374.99493809709708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6.994887399902856</v>
      </c>
      <c r="CL189" s="21">
        <f>EXP(-LN(2)/25)*CL188+(1-EXP(-LN(2)/25))/(LN(2)/25)*Calculateur!CG189*Calculateur!CI189*VLOOKUP('Données projet'!$B$12,Paramètres!$A$1:$I$89,3,0)*0.475*44/12</f>
        <v>2.982421513433223</v>
      </c>
      <c r="CM189" s="21">
        <f>EXP(-LN(2)/2)*CM188+(1-EXP(-LN(2)/2))/(LN(2)/2)*CG189*CJ189*VLOOKUP('Données projet'!$B$12,Paramètres!$A$1:$I$89,3,0)*0.475*44/12</f>
        <v>7.6095861364790651E-15</v>
      </c>
      <c r="CN189" s="22">
        <f t="shared" si="172"/>
        <v>9.9773089133360866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5.6843418860808015E-13</v>
      </c>
      <c r="CU189" s="17">
        <f>CT189*VLOOKUP('Données projet'!$B$13,Paramètres!$A$1:$I$89,3,0)*VLOOKUP('Données projet'!$B$13,Paramètres!$A$1:$I$89,5,0)</f>
        <v>3.177547114319168E-13</v>
      </c>
      <c r="CV189" s="13">
        <f t="shared" si="173"/>
        <v>4.1725404435445377E-12</v>
      </c>
      <c r="CW189" s="20">
        <f t="shared" si="174"/>
        <v>7.820597394917325E-12</v>
      </c>
      <c r="CX189" s="59">
        <f t="shared" si="122"/>
        <v>293.33333333334116</v>
      </c>
      <c r="CY189" s="59">
        <f ca="1">AVERAGE(OFFSET($CX$3,0,0,'Données projet'!$E$13+1,1))-AVERAGE(OFFSET($H$3,0,0,'Données projet'!$E$13+1,1))</f>
        <v>386.66324266750968</v>
      </c>
      <c r="CZ189" s="59">
        <f t="shared" si="150"/>
        <v>356.22149461585769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23.197430494941287</v>
      </c>
      <c r="DG189" s="21">
        <f>EXP(-LN(2)/25)*DG188+(1-EXP(-LN(2)/25))/(LN(2)/25)*Calculateur!DB189*Calculateur!DD189*VLOOKUP('Données projet'!$B$13,Paramètres!$A$1:$I$89,3,0)*0.475*44/12</f>
        <v>3.0785113967372517</v>
      </c>
      <c r="DH189" s="21">
        <f>EXP(-LN(2)/2)*DH188+(1-EXP(-LN(2)/2))/(LN(2)/2)*DB189*DE189*VLOOKUP('Données projet'!$B$13,Paramètres!$A$1:$I$89,3,0)*0.475*44/12</f>
        <v>2.6196241121746701E-16</v>
      </c>
      <c r="DI189" s="22">
        <f t="shared" si="175"/>
        <v>26.275941891678539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>
        <f>DO189*VLOOKUP('Données projet'!$B$14,Paramètres!$A$1:$I$89,3,0)*VLOOKUP('Données projet'!$B$14,Paramètres!$A$1:$I$89,5,0)</f>
        <v>0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347.17417070871716</v>
      </c>
      <c r="DU189" s="59">
        <f t="shared" si="152"/>
        <v>339.56378046986441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5.0670511825441737</v>
      </c>
      <c r="EB189" s="21">
        <f>EXP(-LN(2)/25)*EB188+(1-EXP(-LN(2)/25))/(LN(2)/25)*Calculateur!DW189*Calculateur!DY189*VLOOKUP('Données projet'!$B$14,Paramètres!$A$1:$I$89,3,0)*0.475*44/12</f>
        <v>2.1604468510382158</v>
      </c>
      <c r="EC189" s="21">
        <f>EXP(-LN(2)/2)*EC188+(1-EXP(-LN(2)/2))/(LN(2)/2)*DW189*DZ189*VLOOKUP('Données projet'!$B$14,Paramètres!$A$1:$I$89,3,0)*0.475*44/12</f>
        <v>6.7942733361420348E-15</v>
      </c>
      <c r="ED189" s="22">
        <f t="shared" si="178"/>
        <v>7.2274980335823962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>
        <f>EJ189*VLOOKUP('Données projet'!$B$15,Paramètres!$A$1:$I$89,3,0)*VLOOKUP('Données projet'!$B$15,Paramètres!$A$1:$I$89,5,0)</f>
        <v>0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384.34044781465661</v>
      </c>
      <c r="EP189" s="59">
        <f t="shared" si="154"/>
        <v>374.99493809709708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5.6750973244494798</v>
      </c>
      <c r="EW189" s="21">
        <f>EXP(-LN(2)/25)*EW188+(1-EXP(-LN(2)/25))/(LN(2)/25)*Calculateur!ER189*Calculateur!ET189*VLOOKUP('Données projet'!$B$15,Paramètres!$A$1:$I$89,3,0)*0.475*44/12</f>
        <v>2.4197004731628047</v>
      </c>
      <c r="EX189" s="21">
        <f>EXP(-LN(2)/2)*EX188+(1-EXP(-LN(2)/2))/(LN(2)/2)*ER189*EU189*VLOOKUP('Données projet'!$B$15,Paramètres!$A$1:$I$89,3,0)*0.475*44/12</f>
        <v>7.6095861364790651E-15</v>
      </c>
      <c r="EY189" s="22">
        <f t="shared" si="181"/>
        <v>8.0947977976122907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>
        <f>FE189*VLOOKUP('Données projet'!$B$16,Paramètres!$A$1:$I$89,3,0)*VLOOKUP('Données projet'!$B$16,Paramètres!$A$1:$I$89,5,0)</f>
        <v>0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359.57284550600366</v>
      </c>
      <c r="FK189" s="59">
        <f t="shared" si="156"/>
        <v>351.38386928091433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5.2697332298459436</v>
      </c>
      <c r="FR189" s="21">
        <f>EXP(-LN(2)/25)*FR188+(1-EXP(-LN(2)/25))/(LN(2)/25)*Calculateur!FM189*Calculateur!FO189*VLOOKUP('Données projet'!$B$16,Paramètres!$A$1:$I$89,3,0)*0.475*44/12</f>
        <v>2.2468647250797424</v>
      </c>
      <c r="FS189" s="21">
        <f>EXP(-LN(2)/2)*FS188+(1-EXP(-LN(2)/2))/(LN(2)/2)*FM189*FP189*VLOOKUP('Données projet'!$B$16,Paramètres!$A$1:$I$89,3,0)*0.475*44/12</f>
        <v>7.0660442695877586E-15</v>
      </c>
      <c r="FT189" s="22">
        <f t="shared" si="184"/>
        <v>7.5165979549256932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6">
        <f t="shared" si="110"/>
        <v>256.66666666666669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3.979039320256561E-13</v>
      </c>
      <c r="O190" s="13">
        <f>N190*VLOOKUP('Données projet'!$B$9,Paramètres!$A$1:$I$89,3,0)*VLOOKUP('Données projet'!$B$9,Paramètres!$A$1:$I$89,5,0)</f>
        <v>3.6002347769681362E-13</v>
      </c>
      <c r="P190" s="13">
        <f t="shared" si="141"/>
        <v>4.6593569189922594E-12</v>
      </c>
      <c r="Q190" s="20">
        <f t="shared" si="162"/>
        <v>8.7420875242334695E-12</v>
      </c>
      <c r="R190" s="59">
        <f t="shared" si="109"/>
        <v>293.33333333334207</v>
      </c>
      <c r="S190" s="59">
        <f ca="1">AVERAGE(OFFSET($R$3,0,0,'Données projet'!$E$9+1,1))-AVERAGE(OFFSET($H$3,0,0,'Données projet'!$E$9+1,1))</f>
        <v>695.0879239758051</v>
      </c>
      <c r="T190" s="59">
        <f t="shared" si="142"/>
        <v>226.22150997227476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100.09321792910863</v>
      </c>
      <c r="AA190" s="21">
        <f>EXP(-LN(2)/25)*AA189+(1-EXP(-LN(2)/25))/(LN(2)/25)*Calculateur!V190*Calculateur!X190*VLOOKUP('Données projet'!$B$9,Paramètres!$A$1:$I$89,3,0)*0.475*44/12</f>
        <v>13.993729908389094</v>
      </c>
      <c r="AB190" s="21">
        <f>EXP(-LN(2)/2)*AB189+(1-EXP(-LN(2)/2))/(LN(2)/2)*V190*Y190*VLOOKUP('Données projet'!$B$9,Paramètres!$A$1:$I$89,3,0)*0.475*44/12</f>
        <v>6.9471880523714398E-4</v>
      </c>
      <c r="AC190" s="22">
        <f t="shared" si="163"/>
        <v>114.08764255630297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1.1368683772161603E-13</v>
      </c>
      <c r="AJ190" s="13">
        <f>AI190*VLOOKUP('Données projet'!$B$10,Paramètres!$A$1:$I$89,3,0)*VLOOKUP('Données projet'!$B$10,Paramètres!$A$1:$I$89,5,0)</f>
        <v>6.7984728957526396E-14</v>
      </c>
      <c r="AK190" s="13">
        <f t="shared" si="164"/>
        <v>1.0682447123141398E-12</v>
      </c>
      <c r="AL190" s="20">
        <f t="shared" si="165"/>
        <v>1.978932943548152E-12</v>
      </c>
      <c r="AM190" s="59">
        <f t="shared" si="113"/>
        <v>293.3333333333353</v>
      </c>
      <c r="AN190" s="59">
        <f ca="1">AVERAGE(OFFSET($AM$3,0,0,'Données projet'!$E$10+1,1))-AVERAGE(OFFSET($H$3,0,0,'Données projet'!$E$10+1,1))</f>
        <v>388.12151914648013</v>
      </c>
      <c r="AO190" s="59">
        <f t="shared" si="144"/>
        <v>481.43684454382793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13.297150540759844</v>
      </c>
      <c r="AV190" s="21">
        <f>EXP(-LN(2)/25)*AV189+(1-EXP(-LN(2)/25))/(LN(2)/25)*Calculateur!AQ190*Calculateur!AS190*VLOOKUP('Données projet'!$B$10,Paramètres!$A$1:$I$89,3,0)*0.475*44/12</f>
        <v>1.631810301826168</v>
      </c>
      <c r="AW190" s="21">
        <f>EXP(-LN(2)/2)*AW189+(1-EXP(-LN(2)/2))/(LN(2)/2)*AQ190*AT190*VLOOKUP('Données projet'!$B$10,Paramètres!$A$1:$I$89,3,0)*0.475*44/12</f>
        <v>1.4816274091912121E-18</v>
      </c>
      <c r="AX190" s="21">
        <f t="shared" si="166"/>
        <v>14.928960842586012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415.24818074059294</v>
      </c>
      <c r="BJ190" s="59">
        <f t="shared" si="146"/>
        <v>404.45811532046872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6.0605810673296538</v>
      </c>
      <c r="BQ190" s="21">
        <f>EXP(-LN(2)/25)*BQ189+(1-EXP(-LN(2)/25))/(LN(2)/25)*Calculateur!BL190*Calculateur!BN190*VLOOKUP('Données projet'!$B$11,Paramètres!$A$1:$I$89,3,0)*0.475*44/12</f>
        <v>2.5636705683060086</v>
      </c>
      <c r="BR190" s="21">
        <f>EXP(-LN(2)/2)*BR189+(1-EXP(-LN(2)/2))/(LN(2)/2)*BL190*BO190*VLOOKUP('Données projet'!$B$11,Paramètres!$A$1:$I$89,3,0)*0.475*44/12</f>
        <v>5.8612176340495834E-15</v>
      </c>
      <c r="BS190" s="22">
        <f t="shared" si="169"/>
        <v>8.6242516356356678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384.34044781465661</v>
      </c>
      <c r="CE190" s="59">
        <f t="shared" si="148"/>
        <v>374.99493809709708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6.8577219244507974</v>
      </c>
      <c r="CL190" s="21">
        <f>EXP(-LN(2)/25)*CL189+(1-EXP(-LN(2)/25))/(LN(2)/25)*Calculateur!CG190*Calculateur!CI190*VLOOKUP('Données projet'!$B$12,Paramètres!$A$1:$I$89,3,0)*0.475*44/12</f>
        <v>2.9008670403096604</v>
      </c>
      <c r="CM190" s="21">
        <f>EXP(-LN(2)/2)*CM189+(1-EXP(-LN(2)/2))/(LN(2)/2)*CG190*CJ190*VLOOKUP('Données projet'!$B$12,Paramètres!$A$1:$I$89,3,0)*0.475*44/12</f>
        <v>5.3807899591274879E-15</v>
      </c>
      <c r="CN190" s="22">
        <f t="shared" si="172"/>
        <v>9.7585889647604631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5.6843418860808015E-13</v>
      </c>
      <c r="CU190" s="17">
        <f>CT190*VLOOKUP('Données projet'!$B$13,Paramètres!$A$1:$I$89,3,0)*VLOOKUP('Données projet'!$B$13,Paramètres!$A$1:$I$89,5,0)</f>
        <v>3.177547114319168E-13</v>
      </c>
      <c r="CV190" s="13">
        <f t="shared" si="173"/>
        <v>4.1725404435445377E-12</v>
      </c>
      <c r="CW190" s="20">
        <f t="shared" si="174"/>
        <v>7.820597394917325E-12</v>
      </c>
      <c r="CX190" s="59">
        <f t="shared" si="122"/>
        <v>293.33333333334116</v>
      </c>
      <c r="CY190" s="59">
        <f ca="1">AVERAGE(OFFSET($CX$3,0,0,'Données projet'!$E$13+1,1))-AVERAGE(OFFSET($H$3,0,0,'Données projet'!$E$13+1,1))</f>
        <v>386.66324266750968</v>
      </c>
      <c r="CZ190" s="59">
        <f t="shared" si="150"/>
        <v>356.22149461585769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22.742543031970989</v>
      </c>
      <c r="DG190" s="21">
        <f>EXP(-LN(2)/25)*DG189+(1-EXP(-LN(2)/25))/(LN(2)/25)*Calculateur!DB190*Calculateur!DD190*VLOOKUP('Données projet'!$B$13,Paramètres!$A$1:$I$89,3,0)*0.475*44/12</f>
        <v>2.9943293407015932</v>
      </c>
      <c r="DH190" s="21">
        <f>EXP(-LN(2)/2)*DH189+(1-EXP(-LN(2)/2))/(LN(2)/2)*DB190*DE190*VLOOKUP('Données projet'!$B$13,Paramètres!$A$1:$I$89,3,0)*0.475*44/12</f>
        <v>1.8523539738784983E-16</v>
      </c>
      <c r="DI190" s="22">
        <f t="shared" si="175"/>
        <v>25.736872372672583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>
        <f>DO190*VLOOKUP('Données projet'!$B$14,Paramètres!$A$1:$I$89,3,0)*VLOOKUP('Données projet'!$B$14,Paramètres!$A$1:$I$89,5,0)</f>
        <v>0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347.17417070871716</v>
      </c>
      <c r="DU190" s="59">
        <f t="shared" si="152"/>
        <v>339.56378046986441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4.9676893994505331</v>
      </c>
      <c r="EB190" s="21">
        <f>EXP(-LN(2)/25)*EB189+(1-EXP(-LN(2)/25))/(LN(2)/25)*Calculateur!DW190*Calculateur!DY190*VLOOKUP('Données projet'!$B$14,Paramètres!$A$1:$I$89,3,0)*0.475*44/12</f>
        <v>2.1013693182836137</v>
      </c>
      <c r="EC190" s="21">
        <f>EXP(-LN(2)/2)*EC189+(1-EXP(-LN(2)/2))/(LN(2)/2)*DW190*DZ190*VLOOKUP('Données projet'!$B$14,Paramètres!$A$1:$I$89,3,0)*0.475*44/12</f>
        <v>4.80427674922098E-15</v>
      </c>
      <c r="ED190" s="22">
        <f t="shared" si="178"/>
        <v>7.0690587177341513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>
        <f>EJ190*VLOOKUP('Données projet'!$B$15,Paramètres!$A$1:$I$89,3,0)*VLOOKUP('Données projet'!$B$15,Paramètres!$A$1:$I$89,5,0)</f>
        <v>0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384.34044781465661</v>
      </c>
      <c r="EP190" s="59">
        <f t="shared" si="154"/>
        <v>374.99493809709708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5.563812127384602</v>
      </c>
      <c r="EW190" s="21">
        <f>EXP(-LN(2)/25)*EW189+(1-EXP(-LN(2)/25))/(LN(2)/25)*Calculateur!ER190*Calculateur!ET190*VLOOKUP('Données projet'!$B$15,Paramètres!$A$1:$I$89,3,0)*0.475*44/12</f>
        <v>2.3535336364776502</v>
      </c>
      <c r="EX190" s="21">
        <f>EXP(-LN(2)/2)*EX189+(1-EXP(-LN(2)/2))/(LN(2)/2)*ER190*EU190*VLOOKUP('Données projet'!$B$15,Paramètres!$A$1:$I$89,3,0)*0.475*44/12</f>
        <v>5.3807899591274879E-15</v>
      </c>
      <c r="EY190" s="22">
        <f t="shared" si="181"/>
        <v>7.917345763862258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>
        <f>FE190*VLOOKUP('Données projet'!$B$16,Paramètres!$A$1:$I$89,3,0)*VLOOKUP('Données projet'!$B$16,Paramètres!$A$1:$I$89,5,0)</f>
        <v>0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359.57284550600366</v>
      </c>
      <c r="FK190" s="59">
        <f t="shared" si="156"/>
        <v>351.38386928091433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5.1663969754285572</v>
      </c>
      <c r="FR190" s="21">
        <f>EXP(-LN(2)/25)*FR189+(1-EXP(-LN(2)/25))/(LN(2)/25)*Calculateur!FM190*Calculateur!FO190*VLOOKUP('Données projet'!$B$16,Paramètres!$A$1:$I$89,3,0)*0.475*44/12</f>
        <v>2.1854240910149563</v>
      </c>
      <c r="FS190" s="21">
        <f>EXP(-LN(2)/2)*FS189+(1-EXP(-LN(2)/2))/(LN(2)/2)*FM190*FP190*VLOOKUP('Données projet'!$B$16,Paramètres!$A$1:$I$89,3,0)*0.475*44/12</f>
        <v>4.9964478191898499E-15</v>
      </c>
      <c r="FT190" s="22">
        <f t="shared" si="184"/>
        <v>7.3518210664435184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6">
        <f t="shared" si="110"/>
        <v>256.66666666666669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3.979039320256561E-13</v>
      </c>
      <c r="O191" s="13">
        <f>N191*VLOOKUP('Données projet'!$B$9,Paramètres!$A$1:$I$89,3,0)*VLOOKUP('Données projet'!$B$9,Paramètres!$A$1:$I$89,5,0)</f>
        <v>3.6002347769681362E-13</v>
      </c>
      <c r="P191" s="13">
        <f t="shared" si="141"/>
        <v>4.6593569189922594E-12</v>
      </c>
      <c r="Q191" s="20">
        <f t="shared" si="162"/>
        <v>8.7420875242334695E-12</v>
      </c>
      <c r="R191" s="59">
        <f t="shared" si="109"/>
        <v>293.33333333334207</v>
      </c>
      <c r="S191" s="59">
        <f ca="1">AVERAGE(OFFSET($R$3,0,0,'Données projet'!$E$9+1,1))-AVERAGE(OFFSET($H$3,0,0,'Données projet'!$E$9+1,1))</f>
        <v>695.0879239758051</v>
      </c>
      <c r="T191" s="59">
        <f t="shared" si="142"/>
        <v>226.22150997227476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98.130450976353487</v>
      </c>
      <c r="AA191" s="21">
        <f>EXP(-LN(2)/25)*AA190+(1-EXP(-LN(2)/25))/(LN(2)/25)*Calculateur!V191*Calculateur!X191*VLOOKUP('Données projet'!$B$9,Paramètres!$A$1:$I$89,3,0)*0.475*44/12</f>
        <v>13.611070628145921</v>
      </c>
      <c r="AB191" s="21">
        <f>EXP(-LN(2)/2)*AB190+(1-EXP(-LN(2)/2))/(LN(2)/2)*V191*Y191*VLOOKUP('Données projet'!$B$9,Paramètres!$A$1:$I$89,3,0)*0.475*44/12</f>
        <v>4.9124037820100089E-4</v>
      </c>
      <c r="AC191" s="22">
        <f t="shared" si="163"/>
        <v>111.74201284487761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1.1368683772161603E-13</v>
      </c>
      <c r="AJ191" s="13">
        <f>AI191*VLOOKUP('Données projet'!$B$10,Paramètres!$A$1:$I$89,3,0)*VLOOKUP('Données projet'!$B$10,Paramètres!$A$1:$I$89,5,0)</f>
        <v>6.7984728957526396E-14</v>
      </c>
      <c r="AK191" s="13">
        <f t="shared" si="164"/>
        <v>1.0682447123141398E-12</v>
      </c>
      <c r="AL191" s="20">
        <f t="shared" si="165"/>
        <v>1.978932943548152E-12</v>
      </c>
      <c r="AM191" s="59">
        <f t="shared" si="113"/>
        <v>293.3333333333353</v>
      </c>
      <c r="AN191" s="59">
        <f ca="1">AVERAGE(OFFSET($AM$3,0,0,'Données projet'!$E$10+1,1))-AVERAGE(OFFSET($H$3,0,0,'Données projet'!$E$10+1,1))</f>
        <v>388.12151914648013</v>
      </c>
      <c r="AO191" s="59">
        <f t="shared" si="144"/>
        <v>481.43684454382793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13.036401529116532</v>
      </c>
      <c r="AV191" s="21">
        <f>EXP(-LN(2)/25)*AV190+(1-EXP(-LN(2)/25))/(LN(2)/25)*Calculateur!AQ191*Calculateur!AS191*VLOOKUP('Données projet'!$B$10,Paramètres!$A$1:$I$89,3,0)*0.475*44/12</f>
        <v>1.5871883633095571</v>
      </c>
      <c r="AW191" s="21">
        <f>EXP(-LN(2)/2)*AW190+(1-EXP(-LN(2)/2))/(LN(2)/2)*AQ191*AT191*VLOOKUP('Données projet'!$B$10,Paramètres!$A$1:$I$89,3,0)*0.475*44/12</f>
        <v>1.0476687882309617E-18</v>
      </c>
      <c r="AX191" s="21">
        <f t="shared" si="166"/>
        <v>14.623589892426089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415.24818074059294</v>
      </c>
      <c r="BJ191" s="59">
        <f t="shared" si="146"/>
        <v>404.45811532046872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5.9417367691887621</v>
      </c>
      <c r="BQ191" s="21">
        <f>EXP(-LN(2)/25)*BQ190+(1-EXP(-LN(2)/25))/(LN(2)/25)*Calculateur!BL191*Calculateur!BN191*VLOOKUP('Données projet'!$B$11,Paramètres!$A$1:$I$89,3,0)*0.475*44/12</f>
        <v>2.4935668617981048</v>
      </c>
      <c r="BR191" s="21">
        <f>EXP(-LN(2)/2)*BR190+(1-EXP(-LN(2)/2))/(LN(2)/2)*BL191*BO191*VLOOKUP('Données projet'!$B$11,Paramètres!$A$1:$I$89,3,0)*0.475*44/12</f>
        <v>4.1445067350466325E-15</v>
      </c>
      <c r="BS191" s="22">
        <f t="shared" si="169"/>
        <v>8.435303630986871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384.34044781465661</v>
      </c>
      <c r="CE191" s="59">
        <f t="shared" si="148"/>
        <v>374.99493809709708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6.7232461803096744</v>
      </c>
      <c r="CL191" s="21">
        <f>EXP(-LN(2)/25)*CL190+(1-EXP(-LN(2)/25))/(LN(2)/25)*Calculateur!CG191*Calculateur!CI191*VLOOKUP('Données projet'!$B$12,Paramètres!$A$1:$I$89,3,0)*0.475*44/12</f>
        <v>2.8215426785424249</v>
      </c>
      <c r="CM191" s="21">
        <f>EXP(-LN(2)/2)*CM190+(1-EXP(-LN(2)/2))/(LN(2)/2)*CG191*CJ191*VLOOKUP('Données projet'!$B$12,Paramètres!$A$1:$I$89,3,0)*0.475*44/12</f>
        <v>3.8047930682395325E-15</v>
      </c>
      <c r="CN191" s="22">
        <f t="shared" si="172"/>
        <v>9.5447888588521028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5.6843418860808015E-13</v>
      </c>
      <c r="CU191" s="17">
        <f>CT191*VLOOKUP('Données projet'!$B$13,Paramètres!$A$1:$I$89,3,0)*VLOOKUP('Données projet'!$B$13,Paramètres!$A$1:$I$89,5,0)</f>
        <v>3.177547114319168E-13</v>
      </c>
      <c r="CV191" s="13">
        <f t="shared" si="173"/>
        <v>4.1725404435445377E-12</v>
      </c>
      <c r="CW191" s="20">
        <f t="shared" si="174"/>
        <v>7.820597394917325E-12</v>
      </c>
      <c r="CX191" s="59">
        <f t="shared" si="122"/>
        <v>293.33333333334116</v>
      </c>
      <c r="CY191" s="59">
        <f ca="1">AVERAGE(OFFSET($CX$3,0,0,'Données projet'!$E$13+1,1))-AVERAGE(OFFSET($H$3,0,0,'Données projet'!$E$13+1,1))</f>
        <v>386.66324266750968</v>
      </c>
      <c r="CZ191" s="59">
        <f t="shared" si="150"/>
        <v>356.22149461585769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22.296575634695582</v>
      </c>
      <c r="DG191" s="21">
        <f>EXP(-LN(2)/25)*DG190+(1-EXP(-LN(2)/25))/(LN(2)/25)*Calculateur!DB191*Calculateur!DD191*VLOOKUP('Données projet'!$B$13,Paramètres!$A$1:$I$89,3,0)*0.475*44/12</f>
        <v>2.9124492474151715</v>
      </c>
      <c r="DH191" s="21">
        <f>EXP(-LN(2)/2)*DH190+(1-EXP(-LN(2)/2))/(LN(2)/2)*DB191*DE191*VLOOKUP('Données projet'!$B$13,Paramètres!$A$1:$I$89,3,0)*0.475*44/12</f>
        <v>1.3098120560873351E-16</v>
      </c>
      <c r="DI191" s="22">
        <f t="shared" si="175"/>
        <v>25.209024882110754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>
        <f>DO191*VLOOKUP('Données projet'!$B$14,Paramètres!$A$1:$I$89,3,0)*VLOOKUP('Données projet'!$B$14,Paramètres!$A$1:$I$89,5,0)</f>
        <v>0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347.17417070871716</v>
      </c>
      <c r="DU191" s="59">
        <f t="shared" si="152"/>
        <v>339.56378046986441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4.8702760403186547</v>
      </c>
      <c r="EB191" s="21">
        <f>EXP(-LN(2)/25)*EB190+(1-EXP(-LN(2)/25))/(LN(2)/25)*Calculateur!DW191*Calculateur!DY191*VLOOKUP('Données projet'!$B$14,Paramètres!$A$1:$I$89,3,0)*0.475*44/12</f>
        <v>2.0439072637689386</v>
      </c>
      <c r="EC191" s="21">
        <f>EXP(-LN(2)/2)*EC190+(1-EXP(-LN(2)/2))/(LN(2)/2)*DW191*DZ191*VLOOKUP('Données projet'!$B$14,Paramètres!$A$1:$I$89,3,0)*0.475*44/12</f>
        <v>3.3971366680710174E-15</v>
      </c>
      <c r="ED191" s="22">
        <f t="shared" si="178"/>
        <v>6.9141833040875973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>
        <f>EJ191*VLOOKUP('Données projet'!$B$15,Paramètres!$A$1:$I$89,3,0)*VLOOKUP('Données projet'!$B$15,Paramètres!$A$1:$I$89,5,0)</f>
        <v>0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384.34044781465661</v>
      </c>
      <c r="EP191" s="59">
        <f t="shared" si="154"/>
        <v>374.99493809709708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5.4547091651568982</v>
      </c>
      <c r="EW191" s="21">
        <f>EXP(-LN(2)/25)*EW190+(1-EXP(-LN(2)/25))/(LN(2)/25)*Calculateur!ER191*Calculateur!ET191*VLOOKUP('Données projet'!$B$15,Paramètres!$A$1:$I$89,3,0)*0.475*44/12</f>
        <v>2.2891761354212141</v>
      </c>
      <c r="EX191" s="21">
        <f>EXP(-LN(2)/2)*EX190+(1-EXP(-LN(2)/2))/(LN(2)/2)*ER191*EU191*VLOOKUP('Données projet'!$B$15,Paramètres!$A$1:$I$89,3,0)*0.475*44/12</f>
        <v>3.8047930682395325E-15</v>
      </c>
      <c r="EY191" s="22">
        <f t="shared" si="181"/>
        <v>7.7438853005781159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>
        <f>FE191*VLOOKUP('Données projet'!$B$16,Paramètres!$A$1:$I$89,3,0)*VLOOKUP('Données projet'!$B$16,Paramètres!$A$1:$I$89,5,0)</f>
        <v>0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359.57284550600366</v>
      </c>
      <c r="FK191" s="59">
        <f t="shared" si="156"/>
        <v>351.38386928091433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5.065087081931404</v>
      </c>
      <c r="FR191" s="21">
        <f>EXP(-LN(2)/25)*FR190+(1-EXP(-LN(2)/25))/(LN(2)/25)*Calculateur!FM191*Calculateur!FO191*VLOOKUP('Données projet'!$B$16,Paramètres!$A$1:$I$89,3,0)*0.475*44/12</f>
        <v>2.125663554319694</v>
      </c>
      <c r="FS191" s="21">
        <f>EXP(-LN(2)/2)*FS190+(1-EXP(-LN(2)/2))/(LN(2)/2)*FM191*FP191*VLOOKUP('Données projet'!$B$16,Paramètres!$A$1:$I$89,3,0)*0.475*44/12</f>
        <v>3.5330221347938801E-15</v>
      </c>
      <c r="FT191" s="22">
        <f t="shared" si="184"/>
        <v>7.1907506362511011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6">
        <f t="shared" si="110"/>
        <v>256.66666666666669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3.979039320256561E-13</v>
      </c>
      <c r="O192" s="13">
        <f>N192*VLOOKUP('Données projet'!$B$9,Paramètres!$A$1:$I$89,3,0)*VLOOKUP('Données projet'!$B$9,Paramètres!$A$1:$I$89,5,0)</f>
        <v>3.6002347769681362E-13</v>
      </c>
      <c r="P192" s="13">
        <f t="shared" si="141"/>
        <v>4.6593569189922594E-12</v>
      </c>
      <c r="Q192" s="20">
        <f t="shared" si="162"/>
        <v>8.7420875242334695E-12</v>
      </c>
      <c r="R192" s="59">
        <f t="shared" si="109"/>
        <v>293.33333333334207</v>
      </c>
      <c r="S192" s="59">
        <f ca="1">AVERAGE(OFFSET($R$3,0,0,'Données projet'!$E$9+1,1))-AVERAGE(OFFSET($H$3,0,0,'Données projet'!$E$9+1,1))</f>
        <v>695.0879239758051</v>
      </c>
      <c r="T192" s="59">
        <f t="shared" si="142"/>
        <v>226.22150997227476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96.206172686372227</v>
      </c>
      <c r="AA192" s="21">
        <f>EXP(-LN(2)/25)*AA191+(1-EXP(-LN(2)/25))/(LN(2)/25)*Calculateur!V192*Calculateur!X192*VLOOKUP('Données projet'!$B$9,Paramètres!$A$1:$I$89,3,0)*0.475*44/12</f>
        <v>13.238875186044174</v>
      </c>
      <c r="AB192" s="21">
        <f>EXP(-LN(2)/2)*AB191+(1-EXP(-LN(2)/2))/(LN(2)/2)*V192*Y192*VLOOKUP('Données projet'!$B$9,Paramètres!$A$1:$I$89,3,0)*0.475*44/12</f>
        <v>3.4735940261857199E-4</v>
      </c>
      <c r="AC192" s="22">
        <f t="shared" si="163"/>
        <v>109.44539523181902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1.1368683772161603E-13</v>
      </c>
      <c r="AJ192" s="13">
        <f>AI192*VLOOKUP('Données projet'!$B$10,Paramètres!$A$1:$I$89,3,0)*VLOOKUP('Données projet'!$B$10,Paramètres!$A$1:$I$89,5,0)</f>
        <v>6.7984728957526396E-14</v>
      </c>
      <c r="AK192" s="13">
        <f t="shared" si="164"/>
        <v>1.0682447123141398E-12</v>
      </c>
      <c r="AL192" s="20">
        <f t="shared" si="165"/>
        <v>1.978932943548152E-12</v>
      </c>
      <c r="AM192" s="59">
        <f t="shared" si="113"/>
        <v>293.3333333333353</v>
      </c>
      <c r="AN192" s="59">
        <f ca="1">AVERAGE(OFFSET($AM$3,0,0,'Données projet'!$E$10+1,1))-AVERAGE(OFFSET($H$3,0,0,'Données projet'!$E$10+1,1))</f>
        <v>388.12151914648013</v>
      </c>
      <c r="AO192" s="59">
        <f t="shared" si="144"/>
        <v>481.43684454382793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12.780765646550352</v>
      </c>
      <c r="AV192" s="21">
        <f>EXP(-LN(2)/25)*AV191+(1-EXP(-LN(2)/25))/(LN(2)/25)*Calculateur!AQ192*Calculateur!AS192*VLOOKUP('Données projet'!$B$10,Paramètres!$A$1:$I$89,3,0)*0.475*44/12</f>
        <v>1.5437866140482488</v>
      </c>
      <c r="AW192" s="21">
        <f>EXP(-LN(2)/2)*AW191+(1-EXP(-LN(2)/2))/(LN(2)/2)*AQ192*AT192*VLOOKUP('Données projet'!$B$10,Paramètres!$A$1:$I$89,3,0)*0.475*44/12</f>
        <v>7.4081370459560603E-19</v>
      </c>
      <c r="AX192" s="21">
        <f t="shared" si="166"/>
        <v>14.324552260598601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415.24818074059294</v>
      </c>
      <c r="BJ192" s="59">
        <f t="shared" si="146"/>
        <v>404.45811532046872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5.8252229352465497</v>
      </c>
      <c r="BQ192" s="21">
        <f>EXP(-LN(2)/25)*BQ191+(1-EXP(-LN(2)/25))/(LN(2)/25)*Calculateur!BL192*Calculateur!BN192*VLOOKUP('Données projet'!$B$11,Paramètres!$A$1:$I$89,3,0)*0.475*44/12</f>
        <v>2.4253801448312533</v>
      </c>
      <c r="BR192" s="21">
        <f>EXP(-LN(2)/2)*BR191+(1-EXP(-LN(2)/2))/(LN(2)/2)*BL192*BO192*VLOOKUP('Données projet'!$B$11,Paramètres!$A$1:$I$89,3,0)*0.475*44/12</f>
        <v>2.9306088170247917E-15</v>
      </c>
      <c r="BS192" s="22">
        <f t="shared" si="169"/>
        <v>8.2506030800778056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384.34044781465661</v>
      </c>
      <c r="CE192" s="59">
        <f t="shared" si="148"/>
        <v>374.99493809709708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6.5914074234890538</v>
      </c>
      <c r="CL192" s="21">
        <f>EXP(-LN(2)/25)*CL191+(1-EXP(-LN(2)/25))/(LN(2)/25)*Calculateur!CG192*Calculateur!CI192*VLOOKUP('Données projet'!$B$12,Paramètres!$A$1:$I$89,3,0)*0.475*44/12</f>
        <v>2.7443874456192017</v>
      </c>
      <c r="CM192" s="21">
        <f>EXP(-LN(2)/2)*CM191+(1-EXP(-LN(2)/2))/(LN(2)/2)*CG192*CJ192*VLOOKUP('Données projet'!$B$12,Paramètres!$A$1:$I$89,3,0)*0.475*44/12</f>
        <v>2.690394979563744E-15</v>
      </c>
      <c r="CN192" s="22">
        <f t="shared" si="172"/>
        <v>9.3357948691082591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5.6843418860808015E-13</v>
      </c>
      <c r="CU192" s="17">
        <f>CT192*VLOOKUP('Données projet'!$B$13,Paramètres!$A$1:$I$89,3,0)*VLOOKUP('Données projet'!$B$13,Paramètres!$A$1:$I$89,5,0)</f>
        <v>3.177547114319168E-13</v>
      </c>
      <c r="CV192" s="13">
        <f t="shared" si="173"/>
        <v>4.1725404435445377E-12</v>
      </c>
      <c r="CW192" s="20">
        <f t="shared" si="174"/>
        <v>7.820597394917325E-12</v>
      </c>
      <c r="CX192" s="59">
        <f t="shared" si="122"/>
        <v>293.33333333334116</v>
      </c>
      <c r="CY192" s="59">
        <f ca="1">AVERAGE(OFFSET($CX$3,0,0,'Données projet'!$E$13+1,1))-AVERAGE(OFFSET($H$3,0,0,'Données projet'!$E$13+1,1))</f>
        <v>386.66324266750968</v>
      </c>
      <c r="CZ192" s="59">
        <f t="shared" si="150"/>
        <v>356.22149461585769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21.859353386067493</v>
      </c>
      <c r="DG192" s="21">
        <f>EXP(-LN(2)/25)*DG191+(1-EXP(-LN(2)/25))/(LN(2)/25)*Calculateur!DB192*Calculateur!DD192*VLOOKUP('Données projet'!$B$13,Paramètres!$A$1:$I$89,3,0)*0.475*44/12</f>
        <v>2.832808169585554</v>
      </c>
      <c r="DH192" s="21">
        <f>EXP(-LN(2)/2)*DH191+(1-EXP(-LN(2)/2))/(LN(2)/2)*DB192*DE192*VLOOKUP('Données projet'!$B$13,Paramètres!$A$1:$I$89,3,0)*0.475*44/12</f>
        <v>9.2617698693924917E-17</v>
      </c>
      <c r="DI192" s="22">
        <f t="shared" si="175"/>
        <v>24.692161555653048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>
        <f>DO192*VLOOKUP('Données projet'!$B$14,Paramètres!$A$1:$I$89,3,0)*VLOOKUP('Données projet'!$B$14,Paramètres!$A$1:$I$89,5,0)</f>
        <v>0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347.17417070871716</v>
      </c>
      <c r="DU192" s="59">
        <f t="shared" si="152"/>
        <v>339.56378046986441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4.7747728977430706</v>
      </c>
      <c r="EB192" s="21">
        <f>EXP(-LN(2)/25)*EB191+(1-EXP(-LN(2)/25))/(LN(2)/25)*Calculateur!DW192*Calculateur!DY192*VLOOKUP('Données projet'!$B$14,Paramètres!$A$1:$I$89,3,0)*0.475*44/12</f>
        <v>1.9880165121567654</v>
      </c>
      <c r="EC192" s="21">
        <f>EXP(-LN(2)/2)*EC191+(1-EXP(-LN(2)/2))/(LN(2)/2)*DW192*DZ192*VLOOKUP('Données projet'!$B$14,Paramètres!$A$1:$I$89,3,0)*0.475*44/12</f>
        <v>2.40213837461049E-15</v>
      </c>
      <c r="ED192" s="22">
        <f t="shared" si="178"/>
        <v>6.7627894098998391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>
        <f>EJ192*VLOOKUP('Données projet'!$B$15,Paramètres!$A$1:$I$89,3,0)*VLOOKUP('Données projet'!$B$15,Paramètres!$A$1:$I$89,5,0)</f>
        <v>0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384.34044781465661</v>
      </c>
      <c r="EP192" s="59">
        <f t="shared" si="154"/>
        <v>374.99493809709708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5.3477456454722434</v>
      </c>
      <c r="EW192" s="21">
        <f>EXP(-LN(2)/25)*EW191+(1-EXP(-LN(2)/25))/(LN(2)/25)*Calculateur!ER192*Calculateur!ET192*VLOOKUP('Données projet'!$B$15,Paramètres!$A$1:$I$89,3,0)*0.475*44/12</f>
        <v>2.2265784936155799</v>
      </c>
      <c r="EX192" s="21">
        <f>EXP(-LN(2)/2)*EX191+(1-EXP(-LN(2)/2))/(LN(2)/2)*ER192*EU192*VLOOKUP('Données projet'!$B$15,Paramètres!$A$1:$I$89,3,0)*0.475*44/12</f>
        <v>2.690394979563744E-15</v>
      </c>
      <c r="EY192" s="22">
        <f t="shared" si="181"/>
        <v>7.5743241390878255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>
        <f>FE192*VLOOKUP('Données projet'!$B$16,Paramètres!$A$1:$I$89,3,0)*VLOOKUP('Données projet'!$B$16,Paramètres!$A$1:$I$89,5,0)</f>
        <v>0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359.57284550600366</v>
      </c>
      <c r="FK192" s="59">
        <f t="shared" si="156"/>
        <v>351.38386928091433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4.9657638136527966</v>
      </c>
      <c r="FR192" s="21">
        <f>EXP(-LN(2)/25)*FR191+(1-EXP(-LN(2)/25))/(LN(2)/25)*Calculateur!FM192*Calculateur!FO192*VLOOKUP('Données projet'!$B$16,Paramètres!$A$1:$I$89,3,0)*0.475*44/12</f>
        <v>2.0675371726430338</v>
      </c>
      <c r="FS192" s="21">
        <f>EXP(-LN(2)/2)*FS191+(1-EXP(-LN(2)/2))/(LN(2)/2)*FM192*FP192*VLOOKUP('Données projet'!$B$16,Paramètres!$A$1:$I$89,3,0)*0.475*44/12</f>
        <v>2.4982239095949253E-15</v>
      </c>
      <c r="FT192" s="22">
        <f t="shared" si="184"/>
        <v>7.0333009862958331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6">
        <f t="shared" si="110"/>
        <v>256.66666666666669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3.979039320256561E-13</v>
      </c>
      <c r="O193" s="13">
        <f>N193*VLOOKUP('Données projet'!$B$9,Paramètres!$A$1:$I$89,3,0)*VLOOKUP('Données projet'!$B$9,Paramètres!$A$1:$I$89,5,0)</f>
        <v>3.6002347769681362E-13</v>
      </c>
      <c r="P193" s="13">
        <f t="shared" si="141"/>
        <v>4.6593569189922594E-12</v>
      </c>
      <c r="Q193" s="20">
        <f t="shared" si="162"/>
        <v>8.7420875242334695E-12</v>
      </c>
      <c r="R193" s="59">
        <f t="shared" si="109"/>
        <v>293.33333333334207</v>
      </c>
      <c r="S193" s="59">
        <f ca="1">AVERAGE(OFFSET($R$3,0,0,'Données projet'!$E$9+1,1))-AVERAGE(OFFSET($H$3,0,0,'Données projet'!$E$9+1,1))</f>
        <v>695.0879239758051</v>
      </c>
      <c r="T193" s="59">
        <f t="shared" si="142"/>
        <v>226.22150997227476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94.319628319963641</v>
      </c>
      <c r="AA193" s="21">
        <f>EXP(-LN(2)/25)*AA192+(1-EXP(-LN(2)/25))/(LN(2)/25)*Calculateur!V193*Calculateur!X193*VLOOKUP('Données projet'!$B$9,Paramètres!$A$1:$I$89,3,0)*0.475*44/12</f>
        <v>12.876857447879608</v>
      </c>
      <c r="AB193" s="21">
        <f>EXP(-LN(2)/2)*AB192+(1-EXP(-LN(2)/2))/(LN(2)/2)*V193*Y193*VLOOKUP('Données projet'!$B$9,Paramètres!$A$1:$I$89,3,0)*0.475*44/12</f>
        <v>2.4562018910050045E-4</v>
      </c>
      <c r="AC193" s="22">
        <f t="shared" si="163"/>
        <v>107.19673138803236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1.1368683772161603E-13</v>
      </c>
      <c r="AJ193" s="13">
        <f>AI193*VLOOKUP('Données projet'!$B$10,Paramètres!$A$1:$I$89,3,0)*VLOOKUP('Données projet'!$B$10,Paramètres!$A$1:$I$89,5,0)</f>
        <v>6.7984728957526396E-14</v>
      </c>
      <c r="AK193" s="13">
        <f t="shared" si="164"/>
        <v>1.0682447123141398E-12</v>
      </c>
      <c r="AL193" s="20">
        <f t="shared" si="165"/>
        <v>1.978932943548152E-12</v>
      </c>
      <c r="AM193" s="59">
        <f t="shared" si="113"/>
        <v>293.3333333333353</v>
      </c>
      <c r="AN193" s="59">
        <f ca="1">AVERAGE(OFFSET($AM$3,0,0,'Données projet'!$E$10+1,1))-AVERAGE(OFFSET($H$3,0,0,'Données projet'!$E$10+1,1))</f>
        <v>388.12151914648013</v>
      </c>
      <c r="AO193" s="59">
        <f t="shared" si="144"/>
        <v>481.43684454382793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12.530142627718803</v>
      </c>
      <c r="AV193" s="21">
        <f>EXP(-LN(2)/25)*AV192+(1-EXP(-LN(2)/25))/(LN(2)/25)*Calculateur!AQ193*Calculateur!AS193*VLOOKUP('Données projet'!$B$10,Paramètres!$A$1:$I$89,3,0)*0.475*44/12</f>
        <v>1.5015716879028898</v>
      </c>
      <c r="AW193" s="21">
        <f>EXP(-LN(2)/2)*AW192+(1-EXP(-LN(2)/2))/(LN(2)/2)*AQ193*AT193*VLOOKUP('Données projet'!$B$10,Paramètres!$A$1:$I$89,3,0)*0.475*44/12</f>
        <v>5.2383439411548085E-19</v>
      </c>
      <c r="AX193" s="21">
        <f t="shared" si="166"/>
        <v>14.031714315621693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415.24818074059294</v>
      </c>
      <c r="BJ193" s="59">
        <f t="shared" si="146"/>
        <v>404.45811532046872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5.7109938665215223</v>
      </c>
      <c r="BQ193" s="21">
        <f>EXP(-LN(2)/25)*BQ192+(1-EXP(-LN(2)/25))/(LN(2)/25)*Calculateur!BL193*Calculateur!BN193*VLOOKUP('Données projet'!$B$11,Paramètres!$A$1:$I$89,3,0)*0.475*44/12</f>
        <v>2.3590579972256442</v>
      </c>
      <c r="BR193" s="21">
        <f>EXP(-LN(2)/2)*BR192+(1-EXP(-LN(2)/2))/(LN(2)/2)*BL193*BO193*VLOOKUP('Données projet'!$B$11,Paramètres!$A$1:$I$89,3,0)*0.475*44/12</f>
        <v>2.0722533675233162E-15</v>
      </c>
      <c r="BS193" s="22">
        <f t="shared" si="169"/>
        <v>8.0700518637471692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384.34044781465661</v>
      </c>
      <c r="CE193" s="59">
        <f t="shared" si="148"/>
        <v>374.99493809709708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6.4621539442759843</v>
      </c>
      <c r="CL193" s="21">
        <f>EXP(-LN(2)/25)*CL192+(1-EXP(-LN(2)/25))/(LN(2)/25)*Calculateur!CG193*Calculateur!CI193*VLOOKUP('Données projet'!$B$12,Paramètres!$A$1:$I$89,3,0)*0.475*44/12</f>
        <v>2.6693420265976813</v>
      </c>
      <c r="CM193" s="21">
        <f>EXP(-LN(2)/2)*CM192+(1-EXP(-LN(2)/2))/(LN(2)/2)*CG193*CJ193*VLOOKUP('Données projet'!$B$12,Paramètres!$A$1:$I$89,3,0)*0.475*44/12</f>
        <v>1.9023965341197663E-15</v>
      </c>
      <c r="CN193" s="22">
        <f t="shared" si="172"/>
        <v>9.1314959708736669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5.6843418860808015E-13</v>
      </c>
      <c r="CU193" s="17">
        <f>CT193*VLOOKUP('Données projet'!$B$13,Paramètres!$A$1:$I$89,3,0)*VLOOKUP('Données projet'!$B$13,Paramètres!$A$1:$I$89,5,0)</f>
        <v>3.177547114319168E-13</v>
      </c>
      <c r="CV193" s="13">
        <f t="shared" si="173"/>
        <v>4.1725404435445377E-12</v>
      </c>
      <c r="CW193" s="20">
        <f t="shared" si="174"/>
        <v>7.820597394917325E-12</v>
      </c>
      <c r="CX193" s="59">
        <f t="shared" si="122"/>
        <v>293.33333333334116</v>
      </c>
      <c r="CY193" s="59">
        <f ca="1">AVERAGE(OFFSET($CX$3,0,0,'Données projet'!$E$13+1,1))-AVERAGE(OFFSET($H$3,0,0,'Données projet'!$E$13+1,1))</f>
        <v>386.66324266750968</v>
      </c>
      <c r="CZ193" s="59">
        <f t="shared" si="150"/>
        <v>356.22149461585769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21.430704799055761</v>
      </c>
      <c r="DG193" s="21">
        <f>EXP(-LN(2)/25)*DG192+(1-EXP(-LN(2)/25))/(LN(2)/25)*Calculateur!DB193*Calculateur!DD193*VLOOKUP('Données projet'!$B$13,Paramètres!$A$1:$I$89,3,0)*0.475*44/12</f>
        <v>2.7553448812173298</v>
      </c>
      <c r="DH193" s="21">
        <f>EXP(-LN(2)/2)*DH192+(1-EXP(-LN(2)/2))/(LN(2)/2)*DB193*DE193*VLOOKUP('Données projet'!$B$13,Paramètres!$A$1:$I$89,3,0)*0.475*44/12</f>
        <v>6.5490602804366753E-17</v>
      </c>
      <c r="DI193" s="22">
        <f t="shared" si="175"/>
        <v>24.18604968027309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>
        <f>DO193*VLOOKUP('Données projet'!$B$14,Paramètres!$A$1:$I$89,3,0)*VLOOKUP('Données projet'!$B$14,Paramètres!$A$1:$I$89,5,0)</f>
        <v>0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347.17417070871716</v>
      </c>
      <c r="DU193" s="59">
        <f t="shared" si="152"/>
        <v>339.56378046986441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4.6811425135422287</v>
      </c>
      <c r="EB193" s="21">
        <f>EXP(-LN(2)/25)*EB192+(1-EXP(-LN(2)/25))/(LN(2)/25)*Calculateur!DW193*Calculateur!DY193*VLOOKUP('Données projet'!$B$14,Paramètres!$A$1:$I$89,3,0)*0.475*44/12</f>
        <v>1.933654096086594</v>
      </c>
      <c r="EC193" s="21">
        <f>EXP(-LN(2)/2)*EC192+(1-EXP(-LN(2)/2))/(LN(2)/2)*DW193*DZ193*VLOOKUP('Données projet'!$B$14,Paramètres!$A$1:$I$89,3,0)*0.475*44/12</f>
        <v>1.6985683340355087E-15</v>
      </c>
      <c r="ED193" s="22">
        <f t="shared" si="178"/>
        <v>6.614796609628824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>
        <f>EJ193*VLOOKUP('Données projet'!$B$15,Paramètres!$A$1:$I$89,3,0)*VLOOKUP('Données projet'!$B$15,Paramètres!$A$1:$I$89,5,0)</f>
        <v>0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384.34044781465661</v>
      </c>
      <c r="EP193" s="59">
        <f t="shared" si="154"/>
        <v>374.99493809709708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5.2428796151673005</v>
      </c>
      <c r="EW193" s="21">
        <f>EXP(-LN(2)/25)*EW192+(1-EXP(-LN(2)/25))/(LN(2)/25)*Calculateur!ER193*Calculateur!ET193*VLOOKUP('Données projet'!$B$15,Paramètres!$A$1:$I$89,3,0)*0.475*44/12</f>
        <v>2.1656925876169879</v>
      </c>
      <c r="EX193" s="21">
        <f>EXP(-LN(2)/2)*EX192+(1-EXP(-LN(2)/2))/(LN(2)/2)*ER193*EU193*VLOOKUP('Données projet'!$B$15,Paramètres!$A$1:$I$89,3,0)*0.475*44/12</f>
        <v>1.9023965341197663E-15</v>
      </c>
      <c r="EY193" s="22">
        <f t="shared" si="181"/>
        <v>7.4085722027842902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>
        <f>FE193*VLOOKUP('Données projet'!$B$16,Paramètres!$A$1:$I$89,3,0)*VLOOKUP('Données projet'!$B$16,Paramètres!$A$1:$I$89,5,0)</f>
        <v>0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359.57284550600366</v>
      </c>
      <c r="FK193" s="59">
        <f t="shared" si="156"/>
        <v>351.38386928091433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4.8683882140839208</v>
      </c>
      <c r="FR193" s="21">
        <f>EXP(-LN(2)/25)*FR192+(1-EXP(-LN(2)/25))/(LN(2)/25)*Calculateur!FM193*Calculateur!FO193*VLOOKUP('Données projet'!$B$16,Paramètres!$A$1:$I$89,3,0)*0.475*44/12</f>
        <v>2.0110002599300554</v>
      </c>
      <c r="FS193" s="21">
        <f>EXP(-LN(2)/2)*FS192+(1-EXP(-LN(2)/2))/(LN(2)/2)*FM193*FP193*VLOOKUP('Données projet'!$B$16,Paramètres!$A$1:$I$89,3,0)*0.475*44/12</f>
        <v>1.7665110673969402E-15</v>
      </c>
      <c r="FT193" s="22">
        <f t="shared" si="184"/>
        <v>6.8793884740139779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6">
        <f t="shared" si="110"/>
        <v>256.66666666666669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3.979039320256561E-13</v>
      </c>
      <c r="O194" s="13">
        <f>N194*VLOOKUP('Données projet'!$B$9,Paramètres!$A$1:$I$89,3,0)*VLOOKUP('Données projet'!$B$9,Paramètres!$A$1:$I$89,5,0)</f>
        <v>3.6002347769681362E-13</v>
      </c>
      <c r="P194" s="13">
        <f t="shared" si="141"/>
        <v>4.6593569189922594E-12</v>
      </c>
      <c r="Q194" s="20">
        <f t="shared" si="162"/>
        <v>8.7420875242334695E-12</v>
      </c>
      <c r="R194" s="59">
        <f t="shared" si="109"/>
        <v>293.33333333334207</v>
      </c>
      <c r="S194" s="59">
        <f ca="1">AVERAGE(OFFSET($R$3,0,0,'Données projet'!$E$9+1,1))-AVERAGE(OFFSET($H$3,0,0,'Données projet'!$E$9+1,1))</f>
        <v>695.0879239758051</v>
      </c>
      <c r="T194" s="59">
        <f t="shared" si="142"/>
        <v>226.22150997227476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92.470077937901877</v>
      </c>
      <c r="AA194" s="21">
        <f>EXP(-LN(2)/25)*AA193+(1-EXP(-LN(2)/25))/(LN(2)/25)*Calculateur!V194*Calculateur!X194*VLOOKUP('Données projet'!$B$9,Paramètres!$A$1:$I$89,3,0)*0.475*44/12</f>
        <v>12.524739103802837</v>
      </c>
      <c r="AB194" s="21">
        <f>EXP(-LN(2)/2)*AB193+(1-EXP(-LN(2)/2))/(LN(2)/2)*V194*Y194*VLOOKUP('Données projet'!$B$9,Paramètres!$A$1:$I$89,3,0)*0.475*44/12</f>
        <v>1.73679701309286E-4</v>
      </c>
      <c r="AC194" s="22">
        <f t="shared" si="163"/>
        <v>104.99499072140603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1.1368683772161603E-13</v>
      </c>
      <c r="AJ194" s="13">
        <f>AI194*VLOOKUP('Données projet'!$B$10,Paramètres!$A$1:$I$89,3,0)*VLOOKUP('Données projet'!$B$10,Paramètres!$A$1:$I$89,5,0)</f>
        <v>6.7984728957526396E-14</v>
      </c>
      <c r="AK194" s="13">
        <f t="shared" si="164"/>
        <v>1.0682447123141398E-12</v>
      </c>
      <c r="AL194" s="20">
        <f t="shared" si="165"/>
        <v>1.978932943548152E-12</v>
      </c>
      <c r="AM194" s="59">
        <f t="shared" si="113"/>
        <v>293.3333333333353</v>
      </c>
      <c r="AN194" s="59">
        <f ca="1">AVERAGE(OFFSET($AM$3,0,0,'Données projet'!$E$10+1,1))-AVERAGE(OFFSET($H$3,0,0,'Données projet'!$E$10+1,1))</f>
        <v>388.12151914648013</v>
      </c>
      <c r="AO194" s="59">
        <f t="shared" si="144"/>
        <v>481.43684454382793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12.284434173421593</v>
      </c>
      <c r="AV194" s="21">
        <f>EXP(-LN(2)/25)*AV193+(1-EXP(-LN(2)/25))/(LN(2)/25)*Calculateur!AQ194*Calculateur!AS194*VLOOKUP('Données projet'!$B$10,Paramètres!$A$1:$I$89,3,0)*0.475*44/12</f>
        <v>1.4605111311329622</v>
      </c>
      <c r="AW194" s="21">
        <f>EXP(-LN(2)/2)*AW193+(1-EXP(-LN(2)/2))/(LN(2)/2)*AQ194*AT194*VLOOKUP('Données projet'!$B$10,Paramètres!$A$1:$I$89,3,0)*0.475*44/12</f>
        <v>3.7040685229780302E-19</v>
      </c>
      <c r="AX194" s="21">
        <f t="shared" si="166"/>
        <v>13.744945304554555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415.24818074059294</v>
      </c>
      <c r="BJ194" s="59">
        <f t="shared" si="146"/>
        <v>404.45811532046872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5.59900476016134</v>
      </c>
      <c r="BQ194" s="21">
        <f>EXP(-LN(2)/25)*BQ193+(1-EXP(-LN(2)/25))/(LN(2)/25)*Calculateur!BL194*Calculateur!BN194*VLOOKUP('Données projet'!$B$11,Paramètres!$A$1:$I$89,3,0)*0.475*44/12</f>
        <v>2.2945494322340405</v>
      </c>
      <c r="BR194" s="21">
        <f>EXP(-LN(2)/2)*BR193+(1-EXP(-LN(2)/2))/(LN(2)/2)*BL194*BO194*VLOOKUP('Données projet'!$B$11,Paramètres!$A$1:$I$89,3,0)*0.475*44/12</f>
        <v>1.4653044085123958E-15</v>
      </c>
      <c r="BS194" s="22">
        <f t="shared" si="169"/>
        <v>7.8935541923953823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384.34044781465661</v>
      </c>
      <c r="CE194" s="59">
        <f t="shared" si="148"/>
        <v>374.99493809709708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6.3354350469534451</v>
      </c>
      <c r="CL194" s="21">
        <f>EXP(-LN(2)/25)*CL193+(1-EXP(-LN(2)/25))/(LN(2)/25)*Calculateur!CG194*Calculateur!CI194*VLOOKUP('Données projet'!$B$12,Paramètres!$A$1:$I$89,3,0)*0.475*44/12</f>
        <v>2.5963487285057711</v>
      </c>
      <c r="CM194" s="21">
        <f>EXP(-LN(2)/2)*CM193+(1-EXP(-LN(2)/2))/(LN(2)/2)*CG194*CJ194*VLOOKUP('Données projet'!$B$12,Paramètres!$A$1:$I$89,3,0)*0.475*44/12</f>
        <v>1.345197489781872E-15</v>
      </c>
      <c r="CN194" s="22">
        <f t="shared" si="172"/>
        <v>8.931783775459218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5.6843418860808015E-13</v>
      </c>
      <c r="CU194" s="17">
        <f>CT194*VLOOKUP('Données projet'!$B$13,Paramètres!$A$1:$I$89,3,0)*VLOOKUP('Données projet'!$B$13,Paramètres!$A$1:$I$89,5,0)</f>
        <v>3.177547114319168E-13</v>
      </c>
      <c r="CV194" s="13">
        <f t="shared" si="173"/>
        <v>4.1725404435445377E-12</v>
      </c>
      <c r="CW194" s="20">
        <f t="shared" si="174"/>
        <v>7.820597394917325E-12</v>
      </c>
      <c r="CX194" s="59">
        <f t="shared" si="122"/>
        <v>293.33333333334116</v>
      </c>
      <c r="CY194" s="59">
        <f ca="1">AVERAGE(OFFSET($CX$3,0,0,'Données projet'!$E$13+1,1))-AVERAGE(OFFSET($H$3,0,0,'Données projet'!$E$13+1,1))</f>
        <v>386.66324266750968</v>
      </c>
      <c r="CZ194" s="59">
        <f t="shared" si="150"/>
        <v>356.22149461585769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21.010461749385506</v>
      </c>
      <c r="DG194" s="21">
        <f>EXP(-LN(2)/25)*DG193+(1-EXP(-LN(2)/25))/(LN(2)/25)*Calculateur!DB194*Calculateur!DD194*VLOOKUP('Données projet'!$B$13,Paramètres!$A$1:$I$89,3,0)*0.475*44/12</f>
        <v>2.6799998305431521</v>
      </c>
      <c r="DH194" s="21">
        <f>EXP(-LN(2)/2)*DH193+(1-EXP(-LN(2)/2))/(LN(2)/2)*DB194*DE194*VLOOKUP('Données projet'!$B$13,Paramètres!$A$1:$I$89,3,0)*0.475*44/12</f>
        <v>4.6308849346962458E-17</v>
      </c>
      <c r="DI194" s="22">
        <f t="shared" si="175"/>
        <v>23.690461579928659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>
        <f>DO194*VLOOKUP('Données projet'!$B$14,Paramètres!$A$1:$I$89,3,0)*VLOOKUP('Données projet'!$B$14,Paramètres!$A$1:$I$89,5,0)</f>
        <v>0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347.17417070871716</v>
      </c>
      <c r="DU194" s="59">
        <f t="shared" si="152"/>
        <v>339.56378046986441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4.5893481640666698</v>
      </c>
      <c r="EB194" s="21">
        <f>EXP(-LN(2)/25)*EB193+(1-EXP(-LN(2)/25))/(LN(2)/25)*Calculateur!DW194*Calculateur!DY194*VLOOKUP('Données projet'!$B$14,Paramètres!$A$1:$I$89,3,0)*0.475*44/12</f>
        <v>1.8807782231426566</v>
      </c>
      <c r="EC194" s="21">
        <f>EXP(-LN(2)/2)*EC193+(1-EXP(-LN(2)/2))/(LN(2)/2)*DW194*DZ194*VLOOKUP('Données projet'!$B$14,Paramètres!$A$1:$I$89,3,0)*0.475*44/12</f>
        <v>1.201069187305245E-15</v>
      </c>
      <c r="ED194" s="22">
        <f t="shared" si="178"/>
        <v>6.4701263872093273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>
        <f>EJ194*VLOOKUP('Données projet'!$B$15,Paramètres!$A$1:$I$89,3,0)*VLOOKUP('Données projet'!$B$15,Paramètres!$A$1:$I$89,5,0)</f>
        <v>0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384.34044781465661</v>
      </c>
      <c r="EP194" s="59">
        <f t="shared" si="154"/>
        <v>374.99493809709708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5.1400699437546749</v>
      </c>
      <c r="EW194" s="21">
        <f>EXP(-LN(2)/25)*EW193+(1-EXP(-LN(2)/25))/(LN(2)/25)*Calculateur!ER194*Calculateur!ET194*VLOOKUP('Données projet'!$B$15,Paramètres!$A$1:$I$89,3,0)*0.475*44/12</f>
        <v>2.1064716099197778</v>
      </c>
      <c r="EX194" s="21">
        <f>EXP(-LN(2)/2)*EX193+(1-EXP(-LN(2)/2))/(LN(2)/2)*ER194*EU194*VLOOKUP('Données projet'!$B$15,Paramètres!$A$1:$I$89,3,0)*0.475*44/12</f>
        <v>1.345197489781872E-15</v>
      </c>
      <c r="EY194" s="22">
        <f t="shared" si="181"/>
        <v>7.2465415536744544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>
        <f>FE194*VLOOKUP('Données projet'!$B$16,Paramètres!$A$1:$I$89,3,0)*VLOOKUP('Données projet'!$B$16,Paramètres!$A$1:$I$89,5,0)</f>
        <v>0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359.57284550600366</v>
      </c>
      <c r="FK194" s="59">
        <f t="shared" si="156"/>
        <v>351.38386928091433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4.772922090629339</v>
      </c>
      <c r="FR194" s="21">
        <f>EXP(-LN(2)/25)*FR193+(1-EXP(-LN(2)/25))/(LN(2)/25)*Calculateur!FM194*Calculateur!FO194*VLOOKUP('Données projet'!$B$16,Paramètres!$A$1:$I$89,3,0)*0.475*44/12</f>
        <v>1.9560093520683606</v>
      </c>
      <c r="FS194" s="21">
        <f>EXP(-LN(2)/2)*FS193+(1-EXP(-LN(2)/2))/(LN(2)/2)*FM194*FP194*VLOOKUP('Données projet'!$B$16,Paramètres!$A$1:$I$89,3,0)*0.475*44/12</f>
        <v>1.2491119547974629E-15</v>
      </c>
      <c r="FT194" s="22">
        <f t="shared" si="184"/>
        <v>6.7289314426977009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6">
        <f t="shared" si="110"/>
        <v>256.66666666666669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3.979039320256561E-13</v>
      </c>
      <c r="O195" s="13">
        <f>N195*VLOOKUP('Données projet'!$B$9,Paramètres!$A$1:$I$89,3,0)*VLOOKUP('Données projet'!$B$9,Paramètres!$A$1:$I$89,5,0)</f>
        <v>3.6002347769681362E-13</v>
      </c>
      <c r="P195" s="13">
        <f t="shared" si="141"/>
        <v>4.6593569189922594E-12</v>
      </c>
      <c r="Q195" s="20">
        <f t="shared" si="162"/>
        <v>8.7420875242334695E-12</v>
      </c>
      <c r="R195" s="59">
        <f t="shared" ref="R195:R203" si="191">Q195+(I195+J195)*44/12</f>
        <v>293.33333333334207</v>
      </c>
      <c r="S195" s="59">
        <f ca="1">AVERAGE(OFFSET($R$3,0,0,'Données projet'!$E$9+1,1))-AVERAGE(OFFSET($H$3,0,0,'Données projet'!$E$9+1,1))</f>
        <v>695.0879239758051</v>
      </c>
      <c r="T195" s="59">
        <f t="shared" si="142"/>
        <v>226.22150997227476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90.656796110718005</v>
      </c>
      <c r="AA195" s="21">
        <f>EXP(-LN(2)/25)*AA194+(1-EXP(-LN(2)/25))/(LN(2)/25)*Calculateur!V195*Calculateur!X195*VLOOKUP('Données projet'!$B$9,Paramètres!$A$1:$I$89,3,0)*0.475*44/12</f>
        <v>12.182249454361944</v>
      </c>
      <c r="AB195" s="21">
        <f>EXP(-LN(2)/2)*AB194+(1-EXP(-LN(2)/2))/(LN(2)/2)*V195*Y195*VLOOKUP('Données projet'!$B$9,Paramètres!$A$1:$I$89,3,0)*0.475*44/12</f>
        <v>1.2281009455025022E-4</v>
      </c>
      <c r="AC195" s="22">
        <f t="shared" si="163"/>
        <v>102.83916837517449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1.1368683772161603E-13</v>
      </c>
      <c r="AJ195" s="13">
        <f>AI195*VLOOKUP('Données projet'!$B$10,Paramètres!$A$1:$I$89,3,0)*VLOOKUP('Données projet'!$B$10,Paramètres!$A$1:$I$89,5,0)</f>
        <v>6.7984728957526396E-14</v>
      </c>
      <c r="AK195" s="13">
        <f t="shared" si="164"/>
        <v>1.0682447123141398E-12</v>
      </c>
      <c r="AL195" s="20">
        <f t="shared" si="165"/>
        <v>1.978932943548152E-12</v>
      </c>
      <c r="AM195" s="59">
        <f t="shared" si="113"/>
        <v>293.3333333333353</v>
      </c>
      <c r="AN195" s="59">
        <f ca="1">AVERAGE(OFFSET($AM$3,0,0,'Données projet'!$E$10+1,1))-AVERAGE(OFFSET($H$3,0,0,'Données projet'!$E$10+1,1))</f>
        <v>388.12151914648013</v>
      </c>
      <c r="AO195" s="59">
        <f t="shared" si="144"/>
        <v>481.43684454382793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12.043543912045791</v>
      </c>
      <c r="AV195" s="21">
        <f>EXP(-LN(2)/25)*AV194+(1-EXP(-LN(2)/25))/(LN(2)/25)*Calculateur!AQ195*Calculateur!AS195*VLOOKUP('Données projet'!$B$10,Paramètres!$A$1:$I$89,3,0)*0.475*44/12</f>
        <v>1.4205733774471889</v>
      </c>
      <c r="AW195" s="21">
        <f>EXP(-LN(2)/2)*AW194+(1-EXP(-LN(2)/2))/(LN(2)/2)*AQ195*AT195*VLOOKUP('Données projet'!$B$10,Paramètres!$A$1:$I$89,3,0)*0.475*44/12</f>
        <v>2.6191719705774042E-19</v>
      </c>
      <c r="AX195" s="21">
        <f t="shared" si="166"/>
        <v>13.464117289492981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415.24818074059294</v>
      </c>
      <c r="BJ195" s="59">
        <f t="shared" si="146"/>
        <v>404.45811532046872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5.4892116918702714</v>
      </c>
      <c r="BQ195" s="21">
        <f>EXP(-LN(2)/25)*BQ194+(1-EXP(-LN(2)/25))/(LN(2)/25)*Calculateur!BL195*Calculateur!BN195*VLOOKUP('Données projet'!$B$11,Paramètres!$A$1:$I$89,3,0)*0.475*44/12</f>
        <v>2.2318048573444904</v>
      </c>
      <c r="BR195" s="21">
        <f>EXP(-LN(2)/2)*BR194+(1-EXP(-LN(2)/2))/(LN(2)/2)*BL195*BO195*VLOOKUP('Données projet'!$B$11,Paramètres!$A$1:$I$89,3,0)*0.475*44/12</f>
        <v>1.0361266837616581E-15</v>
      </c>
      <c r="BS195" s="22">
        <f t="shared" si="169"/>
        <v>7.7210165492147622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384.34044781465661</v>
      </c>
      <c r="CE195" s="59">
        <f t="shared" si="148"/>
        <v>374.99493809709708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6.2112010299165057</v>
      </c>
      <c r="CL195" s="21">
        <f>EXP(-LN(2)/25)*CL194+(1-EXP(-LN(2)/25))/(LN(2)/25)*Calculateur!CG195*Calculateur!CI195*VLOOKUP('Données projet'!$B$12,Paramètres!$A$1:$I$89,3,0)*0.475*44/12</f>
        <v>2.525351435988735</v>
      </c>
      <c r="CM195" s="21">
        <f>EXP(-LN(2)/2)*CM194+(1-EXP(-LN(2)/2))/(LN(2)/2)*CG195*CJ195*VLOOKUP('Données projet'!$B$12,Paramètres!$A$1:$I$89,3,0)*0.475*44/12</f>
        <v>9.5119826705988313E-16</v>
      </c>
      <c r="CN195" s="22">
        <f t="shared" si="172"/>
        <v>8.7365524659052429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5.6843418860808015E-13</v>
      </c>
      <c r="CU195" s="17">
        <f>CT195*VLOOKUP('Données projet'!$B$13,Paramètres!$A$1:$I$89,3,0)*VLOOKUP('Données projet'!$B$13,Paramètres!$A$1:$I$89,5,0)</f>
        <v>3.177547114319168E-13</v>
      </c>
      <c r="CV195" s="13">
        <f t="shared" si="173"/>
        <v>4.1725404435445377E-12</v>
      </c>
      <c r="CW195" s="20">
        <f t="shared" si="174"/>
        <v>7.820597394917325E-12</v>
      </c>
      <c r="CX195" s="59">
        <f t="shared" si="122"/>
        <v>293.33333333334116</v>
      </c>
      <c r="CY195" s="59">
        <f ca="1">AVERAGE(OFFSET($CX$3,0,0,'Données projet'!$E$13+1,1))-AVERAGE(OFFSET($H$3,0,0,'Données projet'!$E$13+1,1))</f>
        <v>386.66324266750968</v>
      </c>
      <c r="CZ195" s="59">
        <f t="shared" si="150"/>
        <v>356.22149461585769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20.598459409596337</v>
      </c>
      <c r="DG195" s="21">
        <f>EXP(-LN(2)/25)*DG194+(1-EXP(-LN(2)/25))/(LN(2)/25)*Calculateur!DB195*Calculateur!DD195*VLOOKUP('Données projet'!$B$13,Paramètres!$A$1:$I$89,3,0)*0.475*44/12</f>
        <v>2.6067150942418835</v>
      </c>
      <c r="DH195" s="21">
        <f>EXP(-LN(2)/2)*DH194+(1-EXP(-LN(2)/2))/(LN(2)/2)*DB195*DE195*VLOOKUP('Données projet'!$B$13,Paramètres!$A$1:$I$89,3,0)*0.475*44/12</f>
        <v>3.2745301402183376E-17</v>
      </c>
      <c r="DI195" s="22">
        <f t="shared" si="175"/>
        <v>23.205174503838222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>
        <f>DO195*VLOOKUP('Données projet'!$B$14,Paramètres!$A$1:$I$89,3,0)*VLOOKUP('Données projet'!$B$14,Paramètres!$A$1:$I$89,5,0)</f>
        <v>0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347.17417070871716</v>
      </c>
      <c r="DU195" s="59">
        <f t="shared" si="152"/>
        <v>339.56378046986441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4.4993538457953015</v>
      </c>
      <c r="EB195" s="21">
        <f>EXP(-LN(2)/25)*EB194+(1-EXP(-LN(2)/25))/(LN(2)/25)*Calculateur!DW195*Calculateur!DY195*VLOOKUP('Données projet'!$B$14,Paramètres!$A$1:$I$89,3,0)*0.475*44/12</f>
        <v>1.8293482437249926</v>
      </c>
      <c r="EC195" s="21">
        <f>EXP(-LN(2)/2)*EC194+(1-EXP(-LN(2)/2))/(LN(2)/2)*DW195*DZ195*VLOOKUP('Données projet'!$B$14,Paramètres!$A$1:$I$89,3,0)*0.475*44/12</f>
        <v>8.4928416701775435E-16</v>
      </c>
      <c r="ED195" s="22">
        <f t="shared" si="178"/>
        <v>6.328702089520295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>
        <f>EJ195*VLOOKUP('Données projet'!$B$15,Paramètres!$A$1:$I$89,3,0)*VLOOKUP('Données projet'!$B$15,Paramètres!$A$1:$I$89,5,0)</f>
        <v>0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384.34044781465661</v>
      </c>
      <c r="EP195" s="59">
        <f t="shared" si="154"/>
        <v>374.99493809709708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5.0392763072907423</v>
      </c>
      <c r="EW195" s="21">
        <f>EXP(-LN(2)/25)*EW194+(1-EXP(-LN(2)/25))/(LN(2)/25)*Calculateur!ER195*Calculateur!ET195*VLOOKUP('Données projet'!$B$15,Paramètres!$A$1:$I$89,3,0)*0.475*44/12</f>
        <v>2.048870032971994</v>
      </c>
      <c r="EX195" s="21">
        <f>EXP(-LN(2)/2)*EX194+(1-EXP(-LN(2)/2))/(LN(2)/2)*ER195*EU195*VLOOKUP('Données projet'!$B$15,Paramètres!$A$1:$I$89,3,0)*0.475*44/12</f>
        <v>9.5119826705988313E-16</v>
      </c>
      <c r="EY195" s="22">
        <f t="shared" si="181"/>
        <v>7.0881463402627372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>
        <f>FE195*VLOOKUP('Données projet'!$B$16,Paramètres!$A$1:$I$89,3,0)*VLOOKUP('Données projet'!$B$16,Paramètres!$A$1:$I$89,5,0)</f>
        <v>0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359.57284550600366</v>
      </c>
      <c r="FK195" s="59">
        <f t="shared" si="156"/>
        <v>351.38386928091433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4.679327999627116</v>
      </c>
      <c r="FR195" s="21">
        <f>EXP(-LN(2)/25)*FR194+(1-EXP(-LN(2)/25))/(LN(2)/25)*Calculateur!FM195*Calculateur!FO195*VLOOKUP('Données projet'!$B$16,Paramètres!$A$1:$I$89,3,0)*0.475*44/12</f>
        <v>1.9025221734739899</v>
      </c>
      <c r="FS195" s="21">
        <f>EXP(-LN(2)/2)*FS194+(1-EXP(-LN(2)/2))/(LN(2)/2)*FM195*FP195*VLOOKUP('Données projet'!$B$16,Paramètres!$A$1:$I$89,3,0)*0.475*44/12</f>
        <v>8.8325553369847032E-16</v>
      </c>
      <c r="FT195" s="22">
        <f t="shared" si="184"/>
        <v>6.581850173101107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6">
        <f t="shared" ref="H196:H203" si="192">(B196+E196+F196)*44/12+(C196+D196)*0.475*44/12</f>
        <v>256.66666666666669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3.979039320256561E-13</v>
      </c>
      <c r="O196" s="13">
        <f>N196*VLOOKUP('Données projet'!$B$9,Paramètres!$A$1:$I$89,3,0)*VLOOKUP('Données projet'!$B$9,Paramètres!$A$1:$I$89,5,0)</f>
        <v>3.6002347769681362E-13</v>
      </c>
      <c r="P196" s="13">
        <f t="shared" si="141"/>
        <v>4.6593569189922594E-12</v>
      </c>
      <c r="Q196" s="20">
        <f t="shared" si="162"/>
        <v>8.7420875242334695E-12</v>
      </c>
      <c r="R196" s="59">
        <f t="shared" si="191"/>
        <v>293.33333333334207</v>
      </c>
      <c r="S196" s="59">
        <f ca="1">AVERAGE(OFFSET($R$3,0,0,'Données projet'!$E$9+1,1))-AVERAGE(OFFSET($H$3,0,0,'Données projet'!$E$9+1,1))</f>
        <v>695.0879239758051</v>
      </c>
      <c r="T196" s="59">
        <f t="shared" si="142"/>
        <v>226.22150997227476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88.879071634172504</v>
      </c>
      <c r="AA196" s="21">
        <f>EXP(-LN(2)/25)*AA195+(1-EXP(-LN(2)/25))/(LN(2)/25)*Calculateur!V196*Calculateur!X196*VLOOKUP('Données projet'!$B$9,Paramètres!$A$1:$I$89,3,0)*0.475*44/12</f>
        <v>11.849125202395761</v>
      </c>
      <c r="AB196" s="21">
        <f>EXP(-LN(2)/2)*AB195+(1-EXP(-LN(2)/2))/(LN(2)/2)*V196*Y196*VLOOKUP('Données projet'!$B$9,Paramètres!$A$1:$I$89,3,0)*0.475*44/12</f>
        <v>8.6839850654642998E-5</v>
      </c>
      <c r="AC196" s="22">
        <f t="shared" si="163"/>
        <v>100.72828367641891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1.1368683772161603E-13</v>
      </c>
      <c r="AJ196" s="13">
        <f>AI196*VLOOKUP('Données projet'!$B$10,Paramètres!$A$1:$I$89,3,0)*VLOOKUP('Données projet'!$B$10,Paramètres!$A$1:$I$89,5,0)</f>
        <v>6.7984728957526396E-14</v>
      </c>
      <c r="AK196" s="13">
        <f t="shared" si="164"/>
        <v>1.0682447123141398E-12</v>
      </c>
      <c r="AL196" s="20">
        <f t="shared" si="165"/>
        <v>1.978932943548152E-12</v>
      </c>
      <c r="AM196" s="59">
        <f t="shared" ref="AM196:AM203" si="193">AL196+(AD196+AE196)*44/12</f>
        <v>293.3333333333353</v>
      </c>
      <c r="AN196" s="59">
        <f ca="1">AVERAGE(OFFSET($AM$3,0,0,'Données projet'!$E$10+1,1))-AVERAGE(OFFSET($H$3,0,0,'Données projet'!$E$10+1,1))</f>
        <v>388.12151914648013</v>
      </c>
      <c r="AO196" s="59">
        <f t="shared" si="144"/>
        <v>481.43684454382793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11.807377361767019</v>
      </c>
      <c r="AV196" s="21">
        <f>EXP(-LN(2)/25)*AV195+(1-EXP(-LN(2)/25))/(LN(2)/25)*Calculateur!AQ196*Calculateur!AS196*VLOOKUP('Données projet'!$B$10,Paramètres!$A$1:$I$89,3,0)*0.475*44/12</f>
        <v>1.3817277237361885</v>
      </c>
      <c r="AW196" s="21">
        <f>EXP(-LN(2)/2)*AW195+(1-EXP(-LN(2)/2))/(LN(2)/2)*AQ196*AT196*VLOOKUP('Données projet'!$B$10,Paramètres!$A$1:$I$89,3,0)*0.475*44/12</f>
        <v>1.8520342614890151E-19</v>
      </c>
      <c r="AX196" s="21">
        <f t="shared" si="166"/>
        <v>13.189105085503208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415.24818074059294</v>
      </c>
      <c r="BJ196" s="59">
        <f t="shared" si="146"/>
        <v>404.45811532046872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5.3815715986812309</v>
      </c>
      <c r="BQ196" s="21">
        <f>EXP(-LN(2)/25)*BQ195+(1-EXP(-LN(2)/25))/(LN(2)/25)*Calculateur!BL196*Calculateur!BN196*VLOOKUP('Données projet'!$B$11,Paramètres!$A$1:$I$89,3,0)*0.475*44/12</f>
        <v>2.1707760361548889</v>
      </c>
      <c r="BR196" s="21">
        <f>EXP(-LN(2)/2)*BR195+(1-EXP(-LN(2)/2))/(LN(2)/2)*BL196*BO196*VLOOKUP('Données projet'!$B$11,Paramètres!$A$1:$I$89,3,0)*0.475*44/12</f>
        <v>7.3265220425619792E-16</v>
      </c>
      <c r="BS196" s="22">
        <f t="shared" si="169"/>
        <v>7.5523476348361207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384.34044781465661</v>
      </c>
      <c r="CE196" s="59">
        <f t="shared" si="148"/>
        <v>374.99493809709708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6.0894031661783918</v>
      </c>
      <c r="CL196" s="21">
        <f>EXP(-LN(2)/25)*CL195+(1-EXP(-LN(2)/25))/(LN(2)/25)*Calculateur!CG196*Calculateur!CI196*VLOOKUP('Données projet'!$B$12,Paramètres!$A$1:$I$89,3,0)*0.475*44/12</f>
        <v>2.4562955681691627</v>
      </c>
      <c r="CM196" s="21">
        <f>EXP(-LN(2)/2)*CM195+(1-EXP(-LN(2)/2))/(LN(2)/2)*CG196*CJ196*VLOOKUP('Données projet'!$B$12,Paramètres!$A$1:$I$89,3,0)*0.475*44/12</f>
        <v>6.7259874489093599E-16</v>
      </c>
      <c r="CN196" s="22">
        <f t="shared" si="172"/>
        <v>8.545698734347555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5.6843418860808015E-13</v>
      </c>
      <c r="CU196" s="17">
        <f>CT196*VLOOKUP('Données projet'!$B$13,Paramètres!$A$1:$I$89,3,0)*VLOOKUP('Données projet'!$B$13,Paramètres!$A$1:$I$89,5,0)</f>
        <v>3.177547114319168E-13</v>
      </c>
      <c r="CV196" s="13">
        <f t="shared" si="173"/>
        <v>4.1725404435445377E-12</v>
      </c>
      <c r="CW196" s="20">
        <f t="shared" si="174"/>
        <v>7.820597394917325E-12</v>
      </c>
      <c r="CX196" s="59">
        <f t="shared" ref="CX196:CX203" si="196">CW196+(CO196+CP196)*44/12</f>
        <v>293.33333333334116</v>
      </c>
      <c r="CY196" s="59">
        <f ca="1">AVERAGE(OFFSET($CX$3,0,0,'Données projet'!$E$13+1,1))-AVERAGE(OFFSET($H$3,0,0,'Données projet'!$E$13+1,1))</f>
        <v>386.66324266750968</v>
      </c>
      <c r="CZ196" s="59">
        <f t="shared" si="150"/>
        <v>356.22149461585769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20.194536184393819</v>
      </c>
      <c r="DG196" s="21">
        <f>EXP(-LN(2)/25)*DG195+(1-EXP(-LN(2)/25))/(LN(2)/25)*Calculateur!DB196*Calculateur!DD196*VLOOKUP('Données projet'!$B$13,Paramètres!$A$1:$I$89,3,0)*0.475*44/12</f>
        <v>2.5354343329086499</v>
      </c>
      <c r="DH196" s="21">
        <f>EXP(-LN(2)/2)*DH195+(1-EXP(-LN(2)/2))/(LN(2)/2)*DB196*DE196*VLOOKUP('Données projet'!$B$13,Paramètres!$A$1:$I$89,3,0)*0.475*44/12</f>
        <v>2.3154424673481229E-17</v>
      </c>
      <c r="DI196" s="22">
        <f t="shared" si="175"/>
        <v>22.729970517302469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>
        <f>DO196*VLOOKUP('Données projet'!$B$14,Paramètres!$A$1:$I$89,3,0)*VLOOKUP('Données projet'!$B$14,Paramètres!$A$1:$I$89,5,0)</f>
        <v>0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347.17417070871716</v>
      </c>
      <c r="DU196" s="59">
        <f t="shared" si="152"/>
        <v>339.56378046986441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4.4111242612141206</v>
      </c>
      <c r="EB196" s="21">
        <f>EXP(-LN(2)/25)*EB195+(1-EXP(-LN(2)/25))/(LN(2)/25)*Calculateur!DW196*Calculateur!DY196*VLOOKUP('Données projet'!$B$14,Paramètres!$A$1:$I$89,3,0)*0.475*44/12</f>
        <v>1.7793246197990895</v>
      </c>
      <c r="EC196" s="21">
        <f>EXP(-LN(2)/2)*EC195+(1-EXP(-LN(2)/2))/(LN(2)/2)*DW196*DZ196*VLOOKUP('Données projet'!$B$14,Paramètres!$A$1:$I$89,3,0)*0.475*44/12</f>
        <v>6.005345936526225E-16</v>
      </c>
      <c r="ED196" s="22">
        <f t="shared" si="178"/>
        <v>6.1904488810132108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>
        <f>EJ196*VLOOKUP('Données projet'!$B$15,Paramètres!$A$1:$I$89,3,0)*VLOOKUP('Données projet'!$B$15,Paramètres!$A$1:$I$89,5,0)</f>
        <v>0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384.34044781465661</v>
      </c>
      <c r="EP196" s="59">
        <f t="shared" si="154"/>
        <v>374.99493809709708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4.9404591725598204</v>
      </c>
      <c r="EW196" s="21">
        <f>EXP(-LN(2)/25)*EW195+(1-EXP(-LN(2)/25))/(LN(2)/25)*Calculateur!ER196*Calculateur!ET196*VLOOKUP('Données projet'!$B$15,Paramètres!$A$1:$I$89,3,0)*0.475*44/12</f>
        <v>1.9928435741749826</v>
      </c>
      <c r="EX196" s="21">
        <f>EXP(-LN(2)/2)*EX195+(1-EXP(-LN(2)/2))/(LN(2)/2)*ER196*EU196*VLOOKUP('Données projet'!$B$15,Paramètres!$A$1:$I$89,3,0)*0.475*44/12</f>
        <v>6.7259874489093599E-16</v>
      </c>
      <c r="EY196" s="22">
        <f t="shared" si="181"/>
        <v>6.9333027467348041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>
        <f>FE196*VLOOKUP('Données projet'!$B$16,Paramètres!$A$1:$I$89,3,0)*VLOOKUP('Données projet'!$B$16,Paramètres!$A$1:$I$89,5,0)</f>
        <v>0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359.57284550600366</v>
      </c>
      <c r="FK196" s="59">
        <f t="shared" si="156"/>
        <v>351.38386928091433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4.5875692316626884</v>
      </c>
      <c r="FR196" s="21">
        <f>EXP(-LN(2)/25)*FR195+(1-EXP(-LN(2)/25))/(LN(2)/25)*Calculateur!FM196*Calculateur!FO196*VLOOKUP('Données projet'!$B$16,Paramètres!$A$1:$I$89,3,0)*0.475*44/12</f>
        <v>1.8504976045910508</v>
      </c>
      <c r="FS196" s="21">
        <f>EXP(-LN(2)/2)*FS195+(1-EXP(-LN(2)/2))/(LN(2)/2)*FM196*FP196*VLOOKUP('Données projet'!$B$16,Paramètres!$A$1:$I$89,3,0)*0.475*44/12</f>
        <v>6.2455597739873153E-16</v>
      </c>
      <c r="FT196" s="22">
        <f t="shared" si="184"/>
        <v>6.4380668362537401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6">
        <f t="shared" si="192"/>
        <v>256.66666666666669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3.979039320256561E-13</v>
      </c>
      <c r="O197" s="13">
        <f>N197*VLOOKUP('Données projet'!$B$9,Paramètres!$A$1:$I$89,3,0)*VLOOKUP('Données projet'!$B$9,Paramètres!$A$1:$I$89,5,0)</f>
        <v>3.6002347769681362E-13</v>
      </c>
      <c r="P197" s="13">
        <f t="shared" ref="P197:P203" si="203">EXP(-1.0587+0.8836*LN(O197)+0.284)</f>
        <v>4.6593569189922594E-12</v>
      </c>
      <c r="Q197" s="20">
        <f t="shared" si="162"/>
        <v>8.7420875242334695E-12</v>
      </c>
      <c r="R197" s="59">
        <f t="shared" si="191"/>
        <v>293.33333333334207</v>
      </c>
      <c r="S197" s="59">
        <f ca="1">AVERAGE(OFFSET($R$3,0,0,'Données projet'!$E$9+1,1))-AVERAGE(OFFSET($H$3,0,0,'Données projet'!$E$9+1,1))</f>
        <v>695.0879239758051</v>
      </c>
      <c r="T197" s="59">
        <f t="shared" ref="T197:T203" si="204">$T$3</f>
        <v>226.22150997227476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87.136207250307194</v>
      </c>
      <c r="AA197" s="21">
        <f>EXP(-LN(2)/25)*AA196+(1-EXP(-LN(2)/25))/(LN(2)/25)*Calculateur!V197*Calculateur!X197*VLOOKUP('Données projet'!$B$9,Paramètres!$A$1:$I$89,3,0)*0.475*44/12</f>
        <v>11.525110250617836</v>
      </c>
      <c r="AB197" s="21">
        <f>EXP(-LN(2)/2)*AB196+(1-EXP(-LN(2)/2))/(LN(2)/2)*V197*Y197*VLOOKUP('Données projet'!$B$9,Paramètres!$A$1:$I$89,3,0)*0.475*44/12</f>
        <v>6.1405047275125111E-5</v>
      </c>
      <c r="AC197" s="22">
        <f t="shared" si="163"/>
        <v>98.661378905972313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1.1368683772161603E-13</v>
      </c>
      <c r="AJ197" s="13">
        <f>AI197*VLOOKUP('Données projet'!$B$10,Paramètres!$A$1:$I$89,3,0)*VLOOKUP('Données projet'!$B$10,Paramètres!$A$1:$I$89,5,0)</f>
        <v>6.7984728957526396E-14</v>
      </c>
      <c r="AK197" s="13">
        <f t="shared" si="164"/>
        <v>1.0682447123141398E-12</v>
      </c>
      <c r="AL197" s="20">
        <f t="shared" si="165"/>
        <v>1.978932943548152E-12</v>
      </c>
      <c r="AM197" s="59">
        <f t="shared" si="193"/>
        <v>293.3333333333353</v>
      </c>
      <c r="AN197" s="59">
        <f ca="1">AVERAGE(OFFSET($AM$3,0,0,'Données projet'!$E$10+1,1))-AVERAGE(OFFSET($H$3,0,0,'Données projet'!$E$10+1,1))</f>
        <v>388.12151914648013</v>
      </c>
      <c r="AO197" s="59">
        <f t="shared" ref="AO197:AO203" si="205">$AO$3</f>
        <v>481.43684454382793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11.575841893491841</v>
      </c>
      <c r="AV197" s="21">
        <f>EXP(-LN(2)/25)*AV196+(1-EXP(-LN(2)/25))/(LN(2)/25)*Calculateur!AQ197*Calculateur!AS197*VLOOKUP('Données projet'!$B$10,Paramètres!$A$1:$I$89,3,0)*0.475*44/12</f>
        <v>1.3439443064687193</v>
      </c>
      <c r="AW197" s="21">
        <f>EXP(-LN(2)/2)*AW196+(1-EXP(-LN(2)/2))/(LN(2)/2)*AQ197*AT197*VLOOKUP('Données projet'!$B$10,Paramètres!$A$1:$I$89,3,0)*0.475*44/12</f>
        <v>1.3095859852887021E-19</v>
      </c>
      <c r="AX197" s="21">
        <f t="shared" si="166"/>
        <v>12.91978619996056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415.24818074059294</v>
      </c>
      <c r="BJ197" s="59">
        <f t="shared" ref="BJ197:BJ203" si="206">$BJ$3</f>
        <v>404.45811532046872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5.276042262065654</v>
      </c>
      <c r="BQ197" s="21">
        <f>EXP(-LN(2)/25)*BQ196+(1-EXP(-LN(2)/25))/(LN(2)/25)*Calculateur!BL197*Calculateur!BN197*VLOOKUP('Données projet'!$B$11,Paramètres!$A$1:$I$89,3,0)*0.475*44/12</f>
        <v>2.111416051290083</v>
      </c>
      <c r="BR197" s="21">
        <f>EXP(-LN(2)/2)*BR196+(1-EXP(-LN(2)/2))/(LN(2)/2)*BL197*BO197*VLOOKUP('Données projet'!$B$11,Paramètres!$A$1:$I$89,3,0)*0.475*44/12</f>
        <v>5.1806334188082906E-16</v>
      </c>
      <c r="BS197" s="22">
        <f t="shared" si="169"/>
        <v>7.3874583133557374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384.34044781465661</v>
      </c>
      <c r="CE197" s="59">
        <f t="shared" ref="CE197:CE203" si="207">$CE$3</f>
        <v>374.99493809709708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5.9699936842588208</v>
      </c>
      <c r="CL197" s="21">
        <f>EXP(-LN(2)/25)*CL196+(1-EXP(-LN(2)/25))/(LN(2)/25)*Calculateur!CG197*Calculateur!CI197*VLOOKUP('Données projet'!$B$12,Paramètres!$A$1:$I$89,3,0)*0.475*44/12</f>
        <v>2.389128036686607</v>
      </c>
      <c r="CM197" s="21">
        <f>EXP(-LN(2)/2)*CM196+(1-EXP(-LN(2)/2))/(LN(2)/2)*CG197*CJ197*VLOOKUP('Données projet'!$B$12,Paramètres!$A$1:$I$89,3,0)*0.475*44/12</f>
        <v>4.7559913352994157E-16</v>
      </c>
      <c r="CN197" s="22">
        <f t="shared" si="172"/>
        <v>8.3591217209454278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5.6843418860808015E-13</v>
      </c>
      <c r="CU197" s="17">
        <f>CT197*VLOOKUP('Données projet'!$B$13,Paramètres!$A$1:$I$89,3,0)*VLOOKUP('Données projet'!$B$13,Paramètres!$A$1:$I$89,5,0)</f>
        <v>3.177547114319168E-13</v>
      </c>
      <c r="CV197" s="13">
        <f t="shared" si="173"/>
        <v>4.1725404435445377E-12</v>
      </c>
      <c r="CW197" s="20">
        <f t="shared" si="174"/>
        <v>7.820597394917325E-12</v>
      </c>
      <c r="CX197" s="59">
        <f t="shared" si="196"/>
        <v>293.33333333334116</v>
      </c>
      <c r="CY197" s="59">
        <f ca="1">AVERAGE(OFFSET($CX$3,0,0,'Données projet'!$E$13+1,1))-AVERAGE(OFFSET($H$3,0,0,'Données projet'!$E$13+1,1))</f>
        <v>386.66324266750968</v>
      </c>
      <c r="CZ197" s="59">
        <f t="shared" ref="CZ197:CZ203" si="208">$CZ$3</f>
        <v>356.22149461585769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19.79853364726868</v>
      </c>
      <c r="DG197" s="21">
        <f>EXP(-LN(2)/25)*DG196+(1-EXP(-LN(2)/25))/(LN(2)/25)*Calculateur!DB197*Calculateur!DD197*VLOOKUP('Données projet'!$B$13,Paramètres!$A$1:$I$89,3,0)*0.475*44/12</f>
        <v>2.4661027477425663</v>
      </c>
      <c r="DH197" s="21">
        <f>EXP(-LN(2)/2)*DH196+(1-EXP(-LN(2)/2))/(LN(2)/2)*DB197*DE197*VLOOKUP('Données projet'!$B$13,Paramètres!$A$1:$I$89,3,0)*0.475*44/12</f>
        <v>1.6372650701091688E-17</v>
      </c>
      <c r="DI197" s="22">
        <f t="shared" si="175"/>
        <v>22.264636395011248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>
        <f>DO197*VLOOKUP('Données projet'!$B$14,Paramètres!$A$1:$I$89,3,0)*VLOOKUP('Données projet'!$B$14,Paramètres!$A$1:$I$89,5,0)</f>
        <v>0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347.17417070871716</v>
      </c>
      <c r="DU197" s="59">
        <f t="shared" ref="DU197:DU203" si="209">$DU$3</f>
        <v>339.56378046986441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4.3246248049718439</v>
      </c>
      <c r="EB197" s="21">
        <f>EXP(-LN(2)/25)*EB196+(1-EXP(-LN(2)/25))/(LN(2)/25)*Calculateur!DW197*Calculateur!DY197*VLOOKUP('Données projet'!$B$14,Paramètres!$A$1:$I$89,3,0)*0.475*44/12</f>
        <v>1.7306688945000683</v>
      </c>
      <c r="EC197" s="21">
        <f>EXP(-LN(2)/2)*EC196+(1-EXP(-LN(2)/2))/(LN(2)/2)*DW197*DZ197*VLOOKUP('Données projet'!$B$14,Paramètres!$A$1:$I$89,3,0)*0.475*44/12</f>
        <v>4.2464208350887717E-16</v>
      </c>
      <c r="ED197" s="22">
        <f t="shared" si="178"/>
        <v>6.0552936994719122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>
        <f>EJ197*VLOOKUP('Données projet'!$B$15,Paramètres!$A$1:$I$89,3,0)*VLOOKUP('Données projet'!$B$15,Paramètres!$A$1:$I$89,5,0)</f>
        <v>0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384.34044781465661</v>
      </c>
      <c r="EP197" s="59">
        <f t="shared" ref="EP197:EP203" si="210">$EP$3</f>
        <v>374.99493809709708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4.8435797815684705</v>
      </c>
      <c r="EW197" s="21">
        <f>EXP(-LN(2)/25)*EW196+(1-EXP(-LN(2)/25))/(LN(2)/25)*Calculateur!ER197*Calculateur!ET197*VLOOKUP('Données projet'!$B$15,Paramètres!$A$1:$I$89,3,0)*0.475*44/12</f>
        <v>1.9383491618400788</v>
      </c>
      <c r="EX197" s="21">
        <f>EXP(-LN(2)/2)*EX196+(1-EXP(-LN(2)/2))/(LN(2)/2)*ER197*EU197*VLOOKUP('Données projet'!$B$15,Paramètres!$A$1:$I$89,3,0)*0.475*44/12</f>
        <v>4.7559913352994157E-16</v>
      </c>
      <c r="EY197" s="22">
        <f t="shared" si="181"/>
        <v>6.7819289434085501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>
        <f>FE197*VLOOKUP('Données projet'!$B$16,Paramètres!$A$1:$I$89,3,0)*VLOOKUP('Données projet'!$B$16,Paramètres!$A$1:$I$89,5,0)</f>
        <v>0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359.57284550600366</v>
      </c>
      <c r="FK197" s="59">
        <f t="shared" ref="FK197:FK203" si="211">$FK$3</f>
        <v>351.38386928091433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4.4976097971707212</v>
      </c>
      <c r="FR197" s="21">
        <f>EXP(-LN(2)/25)*FR196+(1-EXP(-LN(2)/25))/(LN(2)/25)*Calculateur!FM197*Calculateur!FO197*VLOOKUP('Données projet'!$B$16,Paramètres!$A$1:$I$89,3,0)*0.475*44/12</f>
        <v>1.7998956502800689</v>
      </c>
      <c r="FS197" s="21">
        <f>EXP(-LN(2)/2)*FS196+(1-EXP(-LN(2)/2))/(LN(2)/2)*FM197*FP197*VLOOKUP('Données projet'!$B$16,Paramètres!$A$1:$I$89,3,0)*0.475*44/12</f>
        <v>4.4162776684923521E-16</v>
      </c>
      <c r="FT197" s="22">
        <f t="shared" si="184"/>
        <v>6.2975054474507903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6">
        <f t="shared" si="192"/>
        <v>256.66666666666669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3.979039320256561E-13</v>
      </c>
      <c r="O198" s="13">
        <f>N198*VLOOKUP('Données projet'!$B$9,Paramètres!$A$1:$I$89,3,0)*VLOOKUP('Données projet'!$B$9,Paramètres!$A$1:$I$89,5,0)</f>
        <v>3.6002347769681362E-13</v>
      </c>
      <c r="P198" s="13">
        <f t="shared" si="203"/>
        <v>4.6593569189922594E-12</v>
      </c>
      <c r="Q198" s="20">
        <f t="shared" si="162"/>
        <v>8.7420875242334695E-12</v>
      </c>
      <c r="R198" s="59">
        <f t="shared" si="191"/>
        <v>293.33333333334207</v>
      </c>
      <c r="S198" s="59">
        <f ca="1">AVERAGE(OFFSET($R$3,0,0,'Données projet'!$E$9+1,1))-AVERAGE(OFFSET($H$3,0,0,'Données projet'!$E$9+1,1))</f>
        <v>695.0879239758051</v>
      </c>
      <c r="T198" s="59">
        <f t="shared" si="204"/>
        <v>226.22150997227476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85.427519373967186</v>
      </c>
      <c r="AA198" s="21">
        <f>EXP(-LN(2)/25)*AA197+(1-EXP(-LN(2)/25))/(LN(2)/25)*Calculateur!V198*Calculateur!X198*VLOOKUP('Données projet'!$B$9,Paramètres!$A$1:$I$89,3,0)*0.475*44/12</f>
        <v>11.209955504735484</v>
      </c>
      <c r="AB198" s="21">
        <f>EXP(-LN(2)/2)*AB197+(1-EXP(-LN(2)/2))/(LN(2)/2)*V198*Y198*VLOOKUP('Données projet'!$B$9,Paramètres!$A$1:$I$89,3,0)*0.475*44/12</f>
        <v>4.3419925327321499E-5</v>
      </c>
      <c r="AC198" s="22">
        <f t="shared" si="163"/>
        <v>96.637518298628009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1.1368683772161603E-13</v>
      </c>
      <c r="AJ198" s="13">
        <f>AI198*VLOOKUP('Données projet'!$B$10,Paramètres!$A$1:$I$89,3,0)*VLOOKUP('Données projet'!$B$10,Paramètres!$A$1:$I$89,5,0)</f>
        <v>6.7984728957526396E-14</v>
      </c>
      <c r="AK198" s="13">
        <f t="shared" si="164"/>
        <v>1.0682447123141398E-12</v>
      </c>
      <c r="AL198" s="20">
        <f t="shared" si="165"/>
        <v>1.978932943548152E-12</v>
      </c>
      <c r="AM198" s="59">
        <f t="shared" si="193"/>
        <v>293.3333333333353</v>
      </c>
      <c r="AN198" s="59">
        <f ca="1">AVERAGE(OFFSET($AM$3,0,0,'Données projet'!$E$10+1,1))-AVERAGE(OFFSET($H$3,0,0,'Données projet'!$E$10+1,1))</f>
        <v>388.12151914648013</v>
      </c>
      <c r="AO198" s="59">
        <f t="shared" si="205"/>
        <v>481.43684454382793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11.348846694526848</v>
      </c>
      <c r="AV198" s="21">
        <f>EXP(-LN(2)/25)*AV197+(1-EXP(-LN(2)/25))/(LN(2)/25)*Calculateur!AQ198*Calculateur!AS198*VLOOKUP('Données projet'!$B$10,Paramètres!$A$1:$I$89,3,0)*0.475*44/12</f>
        <v>1.3071940787333727</v>
      </c>
      <c r="AW198" s="21">
        <f>EXP(-LN(2)/2)*AW197+(1-EXP(-LN(2)/2))/(LN(2)/2)*AQ198*AT198*VLOOKUP('Données projet'!$B$10,Paramètres!$A$1:$I$89,3,0)*0.475*44/12</f>
        <v>9.2601713074450754E-20</v>
      </c>
      <c r="AX198" s="21">
        <f t="shared" si="166"/>
        <v>12.656040773260221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415.24818074059294</v>
      </c>
      <c r="BJ198" s="59">
        <f t="shared" si="206"/>
        <v>404.45811532046872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5.1725822913745683</v>
      </c>
      <c r="BQ198" s="21">
        <f>EXP(-LN(2)/25)*BQ197+(1-EXP(-LN(2)/25))/(LN(2)/25)*Calculateur!BL198*Calculateur!BN198*VLOOKUP('Données projet'!$B$11,Paramètres!$A$1:$I$89,3,0)*0.475*44/12</f>
        <v>2.0536792683330112</v>
      </c>
      <c r="BR198" s="21">
        <f>EXP(-LN(2)/2)*BR197+(1-EXP(-LN(2)/2))/(LN(2)/2)*BL198*BO198*VLOOKUP('Données projet'!$B$11,Paramètres!$A$1:$I$89,3,0)*0.475*44/12</f>
        <v>3.6632610212809896E-16</v>
      </c>
      <c r="BS198" s="22">
        <f t="shared" si="169"/>
        <v>7.226261559707579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384.34044781465661</v>
      </c>
      <c r="CE198" s="59">
        <f t="shared" si="207"/>
        <v>374.99493809709708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5.8529257494471008</v>
      </c>
      <c r="CL198" s="21">
        <f>EXP(-LN(2)/25)*CL197+(1-EXP(-LN(2)/25))/(LN(2)/25)*Calculateur!CG198*Calculateur!CI198*VLOOKUP('Données projet'!$B$12,Paramètres!$A$1:$I$89,3,0)*0.475*44/12</f>
        <v>2.3237972048846287</v>
      </c>
      <c r="CM198" s="21">
        <f>EXP(-LN(2)/2)*CM197+(1-EXP(-LN(2)/2))/(LN(2)/2)*CG198*CJ198*VLOOKUP('Données projet'!$B$12,Paramètres!$A$1:$I$89,3,0)*0.475*44/12</f>
        <v>3.3629937244546799E-16</v>
      </c>
      <c r="CN198" s="22">
        <f t="shared" si="172"/>
        <v>8.1767229543317299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5.6843418860808015E-13</v>
      </c>
      <c r="CU198" s="17">
        <f>CT198*VLOOKUP('Données projet'!$B$13,Paramètres!$A$1:$I$89,3,0)*VLOOKUP('Données projet'!$B$13,Paramètres!$A$1:$I$89,5,0)</f>
        <v>3.177547114319168E-13</v>
      </c>
      <c r="CV198" s="13">
        <f t="shared" si="173"/>
        <v>4.1725404435445377E-12</v>
      </c>
      <c r="CW198" s="20">
        <f t="shared" si="174"/>
        <v>7.820597394917325E-12</v>
      </c>
      <c r="CX198" s="59">
        <f t="shared" si="196"/>
        <v>293.33333333334116</v>
      </c>
      <c r="CY198" s="59">
        <f ca="1">AVERAGE(OFFSET($CX$3,0,0,'Données projet'!$E$13+1,1))-AVERAGE(OFFSET($H$3,0,0,'Données projet'!$E$13+1,1))</f>
        <v>386.66324266750968</v>
      </c>
      <c r="CZ198" s="59">
        <f t="shared" si="208"/>
        <v>356.22149461585769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19.41029647835887</v>
      </c>
      <c r="DG198" s="21">
        <f>EXP(-LN(2)/25)*DG197+(1-EXP(-LN(2)/25))/(LN(2)/25)*Calculateur!DB198*Calculateur!DD198*VLOOKUP('Données projet'!$B$13,Paramètres!$A$1:$I$89,3,0)*0.475*44/12</f>
        <v>2.3986670384188389</v>
      </c>
      <c r="DH198" s="21">
        <f>EXP(-LN(2)/2)*DH197+(1-EXP(-LN(2)/2))/(LN(2)/2)*DB198*DE198*VLOOKUP('Données projet'!$B$13,Paramètres!$A$1:$I$89,3,0)*0.475*44/12</f>
        <v>1.1577212336740615E-17</v>
      </c>
      <c r="DI198" s="22">
        <f t="shared" si="175"/>
        <v>21.808963516777709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>
        <f>DO198*VLOOKUP('Données projet'!$B$14,Paramètres!$A$1:$I$89,3,0)*VLOOKUP('Données projet'!$B$14,Paramètres!$A$1:$I$89,5,0)</f>
        <v>0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347.17417070871716</v>
      </c>
      <c r="DU198" s="59">
        <f t="shared" si="209"/>
        <v>339.56378046986441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4.2398215503070196</v>
      </c>
      <c r="EB198" s="21">
        <f>EXP(-LN(2)/25)*EB197+(1-EXP(-LN(2)/25))/(LN(2)/25)*Calculateur!DW198*Calculateur!DY198*VLOOKUP('Données projet'!$B$14,Paramètres!$A$1:$I$89,3,0)*0.475*44/12</f>
        <v>1.6833436625680422</v>
      </c>
      <c r="EC198" s="21">
        <f>EXP(-LN(2)/2)*EC197+(1-EXP(-LN(2)/2))/(LN(2)/2)*DW198*DZ198*VLOOKUP('Données projet'!$B$14,Paramètres!$A$1:$I$89,3,0)*0.475*44/12</f>
        <v>3.0026729682631125E-16</v>
      </c>
      <c r="ED198" s="22">
        <f t="shared" si="178"/>
        <v>5.9231652128750616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>
        <f>EJ198*VLOOKUP('Données projet'!$B$15,Paramètres!$A$1:$I$89,3,0)*VLOOKUP('Données projet'!$B$15,Paramètres!$A$1:$I$89,5,0)</f>
        <v>0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384.34044781465661</v>
      </c>
      <c r="EP198" s="59">
        <f t="shared" si="210"/>
        <v>374.99493809709708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4.7486001363438675</v>
      </c>
      <c r="EW198" s="21">
        <f>EXP(-LN(2)/25)*EW197+(1-EXP(-LN(2)/25))/(LN(2)/25)*Calculateur!ER198*Calculateur!ET198*VLOOKUP('Données projet'!$B$15,Paramètres!$A$1:$I$89,3,0)*0.475*44/12</f>
        <v>1.8853449020762096</v>
      </c>
      <c r="EX198" s="21">
        <f>EXP(-LN(2)/2)*EX197+(1-EXP(-LN(2)/2))/(LN(2)/2)*ER198*EU198*VLOOKUP('Données projet'!$B$15,Paramètres!$A$1:$I$89,3,0)*0.475*44/12</f>
        <v>3.3629937244546799E-16</v>
      </c>
      <c r="EY198" s="22">
        <f t="shared" si="181"/>
        <v>6.6339450384200767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>
        <f>FE198*VLOOKUP('Données projet'!$B$16,Paramètres!$A$1:$I$89,3,0)*VLOOKUP('Données projet'!$B$16,Paramètres!$A$1:$I$89,5,0)</f>
        <v>0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359.57284550600366</v>
      </c>
      <c r="FK198" s="59">
        <f t="shared" si="211"/>
        <v>351.38386928091433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4.409414412319304</v>
      </c>
      <c r="FR198" s="21">
        <f>EXP(-LN(2)/25)*FR197+(1-EXP(-LN(2)/25))/(LN(2)/25)*Calculateur!FM198*Calculateur!FO198*VLOOKUP('Données projet'!$B$16,Paramètres!$A$1:$I$89,3,0)*0.475*44/12</f>
        <v>1.750677409070762</v>
      </c>
      <c r="FS198" s="21">
        <f>EXP(-LN(2)/2)*FS197+(1-EXP(-LN(2)/2))/(LN(2)/2)*FM198*FP198*VLOOKUP('Données projet'!$B$16,Paramètres!$A$1:$I$89,3,0)*0.475*44/12</f>
        <v>3.1227798869936581E-16</v>
      </c>
      <c r="FT198" s="22">
        <f t="shared" si="184"/>
        <v>6.1600918213900657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6">
        <f t="shared" si="192"/>
        <v>256.66666666666669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3.979039320256561E-13</v>
      </c>
      <c r="O199" s="13">
        <f>N199*VLOOKUP('Données projet'!$B$9,Paramètres!$A$1:$I$89,3,0)*VLOOKUP('Données projet'!$B$9,Paramètres!$A$1:$I$89,5,0)</f>
        <v>3.6002347769681362E-13</v>
      </c>
      <c r="P199" s="13">
        <f t="shared" si="203"/>
        <v>4.6593569189922594E-12</v>
      </c>
      <c r="Q199" s="20">
        <f t="shared" si="162"/>
        <v>8.7420875242334695E-12</v>
      </c>
      <c r="R199" s="59">
        <f t="shared" si="191"/>
        <v>293.33333333334207</v>
      </c>
      <c r="S199" s="59">
        <f ca="1">AVERAGE(OFFSET($R$3,0,0,'Données projet'!$E$9+1,1))-AVERAGE(OFFSET($H$3,0,0,'Données projet'!$E$9+1,1))</f>
        <v>695.0879239758051</v>
      </c>
      <c r="T199" s="59">
        <f t="shared" si="204"/>
        <v>226.22150997227476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83.752337824685497</v>
      </c>
      <c r="AA199" s="21">
        <f>EXP(-LN(2)/25)*AA198+(1-EXP(-LN(2)/25))/(LN(2)/25)*Calculateur!V199*Calculateur!X199*VLOOKUP('Données projet'!$B$9,Paramètres!$A$1:$I$89,3,0)*0.475*44/12</f>
        <v>10.903418681952553</v>
      </c>
      <c r="AB199" s="21">
        <f>EXP(-LN(2)/2)*AB198+(1-EXP(-LN(2)/2))/(LN(2)/2)*V199*Y199*VLOOKUP('Données projet'!$B$9,Paramètres!$A$1:$I$89,3,0)*0.475*44/12</f>
        <v>3.0702523637562556E-5</v>
      </c>
      <c r="AC199" s="22">
        <f t="shared" si="163"/>
        <v>94.655787209161687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1.1368683772161603E-13</v>
      </c>
      <c r="AJ199" s="13">
        <f>AI199*VLOOKUP('Données projet'!$B$10,Paramètres!$A$1:$I$89,3,0)*VLOOKUP('Données projet'!$B$10,Paramètres!$A$1:$I$89,5,0)</f>
        <v>6.7984728957526396E-14</v>
      </c>
      <c r="AK199" s="13">
        <f t="shared" si="164"/>
        <v>1.0682447123141398E-12</v>
      </c>
      <c r="AL199" s="20">
        <f t="shared" si="165"/>
        <v>1.978932943548152E-12</v>
      </c>
      <c r="AM199" s="59">
        <f t="shared" si="193"/>
        <v>293.3333333333353</v>
      </c>
      <c r="AN199" s="59">
        <f ca="1">AVERAGE(OFFSET($AM$3,0,0,'Données projet'!$E$10+1,1))-AVERAGE(OFFSET($H$3,0,0,'Données projet'!$E$10+1,1))</f>
        <v>388.12151914648013</v>
      </c>
      <c r="AO199" s="59">
        <f t="shared" si="205"/>
        <v>481.43684454382793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11.126302732960159</v>
      </c>
      <c r="AV199" s="21">
        <f>EXP(-LN(2)/25)*AV198+(1-EXP(-LN(2)/25))/(LN(2)/25)*Calculateur!AQ199*Calculateur!AS199*VLOOKUP('Données projet'!$B$10,Paramètres!$A$1:$I$89,3,0)*0.475*44/12</f>
        <v>1.2714487879080596</v>
      </c>
      <c r="AW199" s="21">
        <f>EXP(-LN(2)/2)*AW198+(1-EXP(-LN(2)/2))/(LN(2)/2)*AQ199*AT199*VLOOKUP('Données projet'!$B$10,Paramètres!$A$1:$I$89,3,0)*0.475*44/12</f>
        <v>6.5479299264435106E-20</v>
      </c>
      <c r="AX199" s="21">
        <f t="shared" si="166"/>
        <v>12.397751520868219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415.24818074059294</v>
      </c>
      <c r="BJ199" s="59">
        <f t="shared" si="206"/>
        <v>404.45811532046872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5.0711511076043836</v>
      </c>
      <c r="BQ199" s="21">
        <f>EXP(-LN(2)/25)*BQ198+(1-EXP(-LN(2)/25))/(LN(2)/25)*Calculateur!BL199*Calculateur!BN199*VLOOKUP('Données projet'!$B$11,Paramètres!$A$1:$I$89,3,0)*0.475*44/12</f>
        <v>1.997521300742146</v>
      </c>
      <c r="BR199" s="21">
        <f>EXP(-LN(2)/2)*BR198+(1-EXP(-LN(2)/2))/(LN(2)/2)*BL199*BO199*VLOOKUP('Données projet'!$B$11,Paramètres!$A$1:$I$89,3,0)*0.475*44/12</f>
        <v>2.5903167094041453E-16</v>
      </c>
      <c r="BS199" s="22">
        <f t="shared" si="169"/>
        <v>7.0686724083465293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384.34044781465661</v>
      </c>
      <c r="CE199" s="59">
        <f t="shared" si="207"/>
        <v>374.99493809709708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5.7381534454326486</v>
      </c>
      <c r="CL199" s="21">
        <f>EXP(-LN(2)/25)*CL198+(1-EXP(-LN(2)/25))/(LN(2)/25)*Calculateur!CG199*Calculateur!CI199*VLOOKUP('Données projet'!$B$12,Paramètres!$A$1:$I$89,3,0)*0.475*44/12</f>
        <v>2.2602528481138746</v>
      </c>
      <c r="CM199" s="21">
        <f>EXP(-LN(2)/2)*CM198+(1-EXP(-LN(2)/2))/(LN(2)/2)*CG199*CJ199*VLOOKUP('Données projet'!$B$12,Paramètres!$A$1:$I$89,3,0)*0.475*44/12</f>
        <v>2.3779956676497078E-16</v>
      </c>
      <c r="CN199" s="22">
        <f t="shared" si="172"/>
        <v>7.9984062935465232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5.6843418860808015E-13</v>
      </c>
      <c r="CU199" s="17">
        <f>CT199*VLOOKUP('Données projet'!$B$13,Paramètres!$A$1:$I$89,3,0)*VLOOKUP('Données projet'!$B$13,Paramètres!$A$1:$I$89,5,0)</f>
        <v>3.177547114319168E-13</v>
      </c>
      <c r="CV199" s="13">
        <f t="shared" si="173"/>
        <v>4.1725404435445377E-12</v>
      </c>
      <c r="CW199" s="20">
        <f t="shared" si="174"/>
        <v>7.820597394917325E-12</v>
      </c>
      <c r="CX199" s="59">
        <f t="shared" si="196"/>
        <v>293.33333333334116</v>
      </c>
      <c r="CY199" s="59">
        <f ca="1">AVERAGE(OFFSET($CX$3,0,0,'Données projet'!$E$13+1,1))-AVERAGE(OFFSET($H$3,0,0,'Données projet'!$E$13+1,1))</f>
        <v>386.66324266750968</v>
      </c>
      <c r="CZ199" s="59">
        <f t="shared" si="208"/>
        <v>356.22149461585769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19.029672403530089</v>
      </c>
      <c r="DG199" s="21">
        <f>EXP(-LN(2)/25)*DG198+(1-EXP(-LN(2)/25))/(LN(2)/25)*Calculateur!DB199*Calculateur!DD199*VLOOKUP('Données projet'!$B$13,Paramètres!$A$1:$I$89,3,0)*0.475*44/12</f>
        <v>2.3330753621128584</v>
      </c>
      <c r="DH199" s="21">
        <f>EXP(-LN(2)/2)*DH198+(1-EXP(-LN(2)/2))/(LN(2)/2)*DB199*DE199*VLOOKUP('Données projet'!$B$13,Paramètres!$A$1:$I$89,3,0)*0.475*44/12</f>
        <v>8.1863253505458441E-18</v>
      </c>
      <c r="DI199" s="22">
        <f t="shared" si="175"/>
        <v>21.362747765642947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>
        <f>DO199*VLOOKUP('Données projet'!$B$14,Paramètres!$A$1:$I$89,3,0)*VLOOKUP('Données projet'!$B$14,Paramètres!$A$1:$I$89,5,0)</f>
        <v>0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347.17417070871716</v>
      </c>
      <c r="DU199" s="59">
        <f t="shared" si="209"/>
        <v>339.56378046986441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4.1566812357412948</v>
      </c>
      <c r="EB199" s="21">
        <f>EXP(-LN(2)/25)*EB198+(1-EXP(-LN(2)/25))/(LN(2)/25)*Calculateur!DW199*Calculateur!DY199*VLOOKUP('Données projet'!$B$14,Paramètres!$A$1:$I$89,3,0)*0.475*44/12</f>
        <v>1.6373125415919232</v>
      </c>
      <c r="EC199" s="21">
        <f>EXP(-LN(2)/2)*EC198+(1-EXP(-LN(2)/2))/(LN(2)/2)*DW199*DZ199*VLOOKUP('Données projet'!$B$14,Paramètres!$A$1:$I$89,3,0)*0.475*44/12</f>
        <v>2.1232104175443859E-16</v>
      </c>
      <c r="ED199" s="22">
        <f t="shared" si="178"/>
        <v>5.7939937773332177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>
        <f>EJ199*VLOOKUP('Données projet'!$B$15,Paramètres!$A$1:$I$89,3,0)*VLOOKUP('Données projet'!$B$15,Paramètres!$A$1:$I$89,5,0)</f>
        <v>0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384.34044781465661</v>
      </c>
      <c r="EP199" s="59">
        <f t="shared" si="210"/>
        <v>374.99493809709708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4.6554829840302556</v>
      </c>
      <c r="EW199" s="21">
        <f>EXP(-LN(2)/25)*EW198+(1-EXP(-LN(2)/25))/(LN(2)/25)*Calculateur!ER199*Calculateur!ET199*VLOOKUP('Données projet'!$B$15,Paramètres!$A$1:$I$89,3,0)*0.475*44/12</f>
        <v>1.8337900465829562</v>
      </c>
      <c r="EX199" s="21">
        <f>EXP(-LN(2)/2)*EX198+(1-EXP(-LN(2)/2))/(LN(2)/2)*ER199*EU199*VLOOKUP('Données projet'!$B$15,Paramètres!$A$1:$I$89,3,0)*0.475*44/12</f>
        <v>2.3779956676497078E-16</v>
      </c>
      <c r="EY199" s="22">
        <f t="shared" si="181"/>
        <v>6.4892730306132123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>
        <f>FE199*VLOOKUP('Données projet'!$B$16,Paramètres!$A$1:$I$89,3,0)*VLOOKUP('Données projet'!$B$16,Paramètres!$A$1:$I$89,5,0)</f>
        <v>0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359.57284550600366</v>
      </c>
      <c r="FK199" s="59">
        <f t="shared" si="211"/>
        <v>351.38386928091433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4.3229484851709499</v>
      </c>
      <c r="FR199" s="21">
        <f>EXP(-LN(2)/25)*FR198+(1-EXP(-LN(2)/25))/(LN(2)/25)*Calculateur!FM199*Calculateur!FO199*VLOOKUP('Données projet'!$B$16,Paramètres!$A$1:$I$89,3,0)*0.475*44/12</f>
        <v>1.7028050432555983</v>
      </c>
      <c r="FS199" s="21">
        <f>EXP(-LN(2)/2)*FS198+(1-EXP(-LN(2)/2))/(LN(2)/2)*FM199*FP199*VLOOKUP('Données projet'!$B$16,Paramètres!$A$1:$I$89,3,0)*0.475*44/12</f>
        <v>2.2081388342461763E-16</v>
      </c>
      <c r="FT199" s="22">
        <f t="shared" si="184"/>
        <v>6.0257535284265487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6">
        <f t="shared" si="192"/>
        <v>256.66666666666669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3.979039320256561E-13</v>
      </c>
      <c r="O200" s="13">
        <f>N200*VLOOKUP('Données projet'!$B$9,Paramètres!$A$1:$I$89,3,0)*VLOOKUP('Données projet'!$B$9,Paramètres!$A$1:$I$89,5,0)</f>
        <v>3.6002347769681362E-13</v>
      </c>
      <c r="P200" s="13">
        <f t="shared" si="203"/>
        <v>4.6593569189922594E-12</v>
      </c>
      <c r="Q200" s="20">
        <f t="shared" si="162"/>
        <v>8.7420875242334695E-12</v>
      </c>
      <c r="R200" s="59">
        <f t="shared" si="191"/>
        <v>293.33333333334207</v>
      </c>
      <c r="S200" s="59">
        <f ca="1">AVERAGE(OFFSET($R$3,0,0,'Données projet'!$E$9+1,1))-AVERAGE(OFFSET($H$3,0,0,'Données projet'!$E$9+1,1))</f>
        <v>695.0879239758051</v>
      </c>
      <c r="T200" s="59">
        <f t="shared" si="204"/>
        <v>226.22150997227476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82.110005563825368</v>
      </c>
      <c r="AA200" s="21">
        <f>EXP(-LN(2)/25)*AA199+(1-EXP(-LN(2)/25))/(LN(2)/25)*Calculateur!V200*Calculateur!X200*VLOOKUP('Données projet'!$B$9,Paramètres!$A$1:$I$89,3,0)*0.475*44/12</f>
        <v>10.605264124708693</v>
      </c>
      <c r="AB200" s="21">
        <f>EXP(-LN(2)/2)*AB199+(1-EXP(-LN(2)/2))/(LN(2)/2)*V200*Y200*VLOOKUP('Données projet'!$B$9,Paramètres!$A$1:$I$89,3,0)*0.475*44/12</f>
        <v>2.170996266366075E-5</v>
      </c>
      <c r="AC200" s="22">
        <f t="shared" si="163"/>
        <v>92.715291398496731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1.1368683772161603E-13</v>
      </c>
      <c r="AJ200" s="13">
        <f>AI200*VLOOKUP('Données projet'!$B$10,Paramètres!$A$1:$I$89,3,0)*VLOOKUP('Données projet'!$B$10,Paramètres!$A$1:$I$89,5,0)</f>
        <v>6.7984728957526396E-14</v>
      </c>
      <c r="AK200" s="13">
        <f t="shared" si="164"/>
        <v>1.0682447123141398E-12</v>
      </c>
      <c r="AL200" s="20">
        <f t="shared" si="165"/>
        <v>1.978932943548152E-12</v>
      </c>
      <c r="AM200" s="59">
        <f t="shared" si="193"/>
        <v>293.3333333333353</v>
      </c>
      <c r="AN200" s="59">
        <f ca="1">AVERAGE(OFFSET($AM$3,0,0,'Données projet'!$E$10+1,1))-AVERAGE(OFFSET($H$3,0,0,'Données projet'!$E$10+1,1))</f>
        <v>388.12151914648013</v>
      </c>
      <c r="AO200" s="59">
        <f t="shared" si="205"/>
        <v>481.43684454382793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10.908122722741378</v>
      </c>
      <c r="AV200" s="21">
        <f>EXP(-LN(2)/25)*AV199+(1-EXP(-LN(2)/25))/(LN(2)/25)*Calculateur!AQ200*Calculateur!AS200*VLOOKUP('Données projet'!$B$10,Paramètres!$A$1:$I$89,3,0)*0.475*44/12</f>
        <v>1.2366809539401278</v>
      </c>
      <c r="AW200" s="21">
        <f>EXP(-LN(2)/2)*AW199+(1-EXP(-LN(2)/2))/(LN(2)/2)*AQ200*AT200*VLOOKUP('Données projet'!$B$10,Paramètres!$A$1:$I$89,3,0)*0.475*44/12</f>
        <v>4.6300856537225377E-20</v>
      </c>
      <c r="AX200" s="21">
        <f t="shared" si="166"/>
        <v>12.144803676681507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415.24818074059294</v>
      </c>
      <c r="BJ200" s="59">
        <f t="shared" si="206"/>
        <v>404.45811532046872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4.9717089274810196</v>
      </c>
      <c r="BQ200" s="21">
        <f>EXP(-LN(2)/25)*BQ199+(1-EXP(-LN(2)/25))/(LN(2)/25)*Calculateur!BL200*Calculateur!BN200*VLOOKUP('Données projet'!$B$11,Paramètres!$A$1:$I$89,3,0)*0.475*44/12</f>
        <v>1.9428989757282722</v>
      </c>
      <c r="BR200" s="21">
        <f>EXP(-LN(2)/2)*BR199+(1-EXP(-LN(2)/2))/(LN(2)/2)*BL200*BO200*VLOOKUP('Données projet'!$B$11,Paramètres!$A$1:$I$89,3,0)*0.475*44/12</f>
        <v>1.8316305106404948E-16</v>
      </c>
      <c r="BS200" s="22">
        <f t="shared" si="169"/>
        <v>6.9146079032092915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384.34044781465661</v>
      </c>
      <c r="CE200" s="59">
        <f t="shared" si="207"/>
        <v>374.99493809709708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5.6256317562957268</v>
      </c>
      <c r="CL200" s="21">
        <f>EXP(-LN(2)/25)*CL199+(1-EXP(-LN(2)/25))/(LN(2)/25)*Calculateur!CG200*Calculateur!CI200*VLOOKUP('Données projet'!$B$12,Paramètres!$A$1:$I$89,3,0)*0.475*44/12</f>
        <v>2.1984461151206691</v>
      </c>
      <c r="CM200" s="21">
        <f>EXP(-LN(2)/2)*CM199+(1-EXP(-LN(2)/2))/(LN(2)/2)*CG200*CJ200*VLOOKUP('Données projet'!$B$12,Paramètres!$A$1:$I$89,3,0)*0.475*44/12</f>
        <v>1.68149686222734E-16</v>
      </c>
      <c r="CN200" s="22">
        <f t="shared" si="172"/>
        <v>7.8240778714163959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5.6843418860808015E-13</v>
      </c>
      <c r="CU200" s="17">
        <f>CT200*VLOOKUP('Données projet'!$B$13,Paramètres!$A$1:$I$89,3,0)*VLOOKUP('Données projet'!$B$13,Paramètres!$A$1:$I$89,5,0)</f>
        <v>3.177547114319168E-13</v>
      </c>
      <c r="CV200" s="13">
        <f t="shared" si="173"/>
        <v>4.1725404435445377E-12</v>
      </c>
      <c r="CW200" s="20">
        <f t="shared" si="174"/>
        <v>7.820597394917325E-12</v>
      </c>
      <c r="CX200" s="59">
        <f t="shared" si="196"/>
        <v>293.33333333334116</v>
      </c>
      <c r="CY200" s="59">
        <f ca="1">AVERAGE(OFFSET($CX$3,0,0,'Données projet'!$E$13+1,1))-AVERAGE(OFFSET($H$3,0,0,'Données projet'!$E$13+1,1))</f>
        <v>386.66324266750968</v>
      </c>
      <c r="CZ200" s="59">
        <f t="shared" si="208"/>
        <v>356.22149461585769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18.656512134650939</v>
      </c>
      <c r="DG200" s="21">
        <f>EXP(-LN(2)/25)*DG199+(1-EXP(-LN(2)/25))/(LN(2)/25)*Calculateur!DB200*Calculateur!DD200*VLOOKUP('Données projet'!$B$13,Paramètres!$A$1:$I$89,3,0)*0.475*44/12</f>
        <v>2.2692772936447811</v>
      </c>
      <c r="DH200" s="21">
        <f>EXP(-LN(2)/2)*DH199+(1-EXP(-LN(2)/2))/(LN(2)/2)*DB200*DE200*VLOOKUP('Données projet'!$B$13,Paramètres!$A$1:$I$89,3,0)*0.475*44/12</f>
        <v>5.7886061683703073E-18</v>
      </c>
      <c r="DI200" s="22">
        <f t="shared" si="175"/>
        <v>20.925789428295719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>
        <f>DO200*VLOOKUP('Données projet'!$B$14,Paramètres!$A$1:$I$89,3,0)*VLOOKUP('Données projet'!$B$14,Paramètres!$A$1:$I$89,5,0)</f>
        <v>0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347.17417070871716</v>
      </c>
      <c r="DU200" s="59">
        <f t="shared" si="209"/>
        <v>339.56378046986441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4.075171252033619</v>
      </c>
      <c r="EB200" s="21">
        <f>EXP(-LN(2)/25)*EB199+(1-EXP(-LN(2)/25))/(LN(2)/25)*Calculateur!DW200*Calculateur!DY200*VLOOKUP('Données projet'!$B$14,Paramètres!$A$1:$I$89,3,0)*0.475*44/12</f>
        <v>1.5925401440395677</v>
      </c>
      <c r="EC200" s="21">
        <f>EXP(-LN(2)/2)*EC199+(1-EXP(-LN(2)/2))/(LN(2)/2)*DW200*DZ200*VLOOKUP('Données projet'!$B$14,Paramètres!$A$1:$I$89,3,0)*0.475*44/12</f>
        <v>1.5013364841315562E-16</v>
      </c>
      <c r="ED200" s="22">
        <f t="shared" si="178"/>
        <v>5.6677113960731864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>
        <f>EJ200*VLOOKUP('Données projet'!$B$15,Paramètres!$A$1:$I$89,3,0)*VLOOKUP('Données projet'!$B$15,Paramètres!$A$1:$I$89,5,0)</f>
        <v>0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384.34044781465661</v>
      </c>
      <c r="EP200" s="59">
        <f t="shared" si="210"/>
        <v>374.99493809709708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4.5641918022776586</v>
      </c>
      <c r="EW200" s="21">
        <f>EXP(-LN(2)/25)*EW199+(1-EXP(-LN(2)/25))/(LN(2)/25)*Calculateur!ER200*Calculateur!ET200*VLOOKUP('Données projet'!$B$15,Paramètres!$A$1:$I$89,3,0)*0.475*44/12</f>
        <v>1.7836449613243179</v>
      </c>
      <c r="EX200" s="21">
        <f>EXP(-LN(2)/2)*EX199+(1-EXP(-LN(2)/2))/(LN(2)/2)*ER200*EU200*VLOOKUP('Données projet'!$B$15,Paramètres!$A$1:$I$89,3,0)*0.475*44/12</f>
        <v>1.68149686222734E-16</v>
      </c>
      <c r="EY200" s="22">
        <f t="shared" si="181"/>
        <v>6.3478367636019764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>
        <f>FE200*VLOOKUP('Données projet'!$B$16,Paramètres!$A$1:$I$89,3,0)*VLOOKUP('Données projet'!$B$16,Paramètres!$A$1:$I$89,5,0)</f>
        <v>0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359.57284550600366</v>
      </c>
      <c r="FK200" s="59">
        <f t="shared" si="211"/>
        <v>351.38386928091433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4.2381781021149676</v>
      </c>
      <c r="FR200" s="21">
        <f>EXP(-LN(2)/25)*FR199+(1-EXP(-LN(2)/25))/(LN(2)/25)*Calculateur!FM200*Calculateur!FO200*VLOOKUP('Données projet'!$B$16,Paramètres!$A$1:$I$89,3,0)*0.475*44/12</f>
        <v>1.6562417498011486</v>
      </c>
      <c r="FS200" s="21">
        <f>EXP(-LN(2)/2)*FS199+(1-EXP(-LN(2)/2))/(LN(2)/2)*FM200*FP200*VLOOKUP('Données projet'!$B$16,Paramètres!$A$1:$I$89,3,0)*0.475*44/12</f>
        <v>1.5613899434968293E-16</v>
      </c>
      <c r="FT200" s="22">
        <f t="shared" si="184"/>
        <v>5.8944198519161164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6">
        <f t="shared" si="192"/>
        <v>256.66666666666669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3.979039320256561E-13</v>
      </c>
      <c r="O201" s="13">
        <f>N201*VLOOKUP('Données projet'!$B$9,Paramètres!$A$1:$I$89,3,0)*VLOOKUP('Données projet'!$B$9,Paramètres!$A$1:$I$89,5,0)</f>
        <v>3.6002347769681362E-13</v>
      </c>
      <c r="P201" s="13">
        <f t="shared" si="203"/>
        <v>4.6593569189922594E-12</v>
      </c>
      <c r="Q201" s="20">
        <f t="shared" si="162"/>
        <v>8.7420875242334695E-12</v>
      </c>
      <c r="R201" s="59">
        <f t="shared" si="191"/>
        <v>293.33333333334207</v>
      </c>
      <c r="S201" s="59">
        <f ca="1">AVERAGE(OFFSET($R$3,0,0,'Données projet'!$E$9+1,1))-AVERAGE(OFFSET($H$3,0,0,'Données projet'!$E$9+1,1))</f>
        <v>695.0879239758051</v>
      </c>
      <c r="T201" s="59">
        <f t="shared" si="204"/>
        <v>226.22150997227476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80.499878436876941</v>
      </c>
      <c r="AA201" s="21">
        <f>EXP(-LN(2)/25)*AA200+(1-EXP(-LN(2)/25))/(LN(2)/25)*Calculateur!V201*Calculateur!X201*VLOOKUP('Données projet'!$B$9,Paramètres!$A$1:$I$89,3,0)*0.475*44/12</f>
        <v>10.315262619511932</v>
      </c>
      <c r="AB201" s="21">
        <f>EXP(-LN(2)/2)*AB200+(1-EXP(-LN(2)/2))/(LN(2)/2)*V201*Y201*VLOOKUP('Données projet'!$B$9,Paramètres!$A$1:$I$89,3,0)*0.475*44/12</f>
        <v>1.5351261818781278E-5</v>
      </c>
      <c r="AC201" s="22">
        <f t="shared" si="163"/>
        <v>90.81515640765069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1.1368683772161603E-13</v>
      </c>
      <c r="AJ201" s="13">
        <f>AI201*VLOOKUP('Données projet'!$B$10,Paramètres!$A$1:$I$89,3,0)*VLOOKUP('Données projet'!$B$10,Paramètres!$A$1:$I$89,5,0)</f>
        <v>6.7984728957526396E-14</v>
      </c>
      <c r="AK201" s="13">
        <f t="shared" si="164"/>
        <v>1.0682447123141398E-12</v>
      </c>
      <c r="AL201" s="20">
        <f t="shared" si="165"/>
        <v>1.978932943548152E-12</v>
      </c>
      <c r="AM201" s="59">
        <f t="shared" si="193"/>
        <v>293.3333333333353</v>
      </c>
      <c r="AN201" s="59">
        <f ca="1">AVERAGE(OFFSET($AM$3,0,0,'Données projet'!$E$10+1,1))-AVERAGE(OFFSET($H$3,0,0,'Données projet'!$E$10+1,1))</f>
        <v>388.12151914648013</v>
      </c>
      <c r="AO201" s="59">
        <f t="shared" si="205"/>
        <v>481.43684454382793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10.694221089446323</v>
      </c>
      <c r="AV201" s="21">
        <f>EXP(-LN(2)/25)*AV200+(1-EXP(-LN(2)/25))/(LN(2)/25)*Calculateur!AQ201*Calculateur!AS201*VLOOKUP('Données projet'!$B$10,Paramètres!$A$1:$I$89,3,0)*0.475*44/12</f>
        <v>1.2028638482204101</v>
      </c>
      <c r="AW201" s="21">
        <f>EXP(-LN(2)/2)*AW200+(1-EXP(-LN(2)/2))/(LN(2)/2)*AQ201*AT201*VLOOKUP('Données projet'!$B$10,Paramètres!$A$1:$I$89,3,0)*0.475*44/12</f>
        <v>3.2739649632217553E-20</v>
      </c>
      <c r="AX201" s="21">
        <f t="shared" si="166"/>
        <v>11.897084937666733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415.24818074059294</v>
      </c>
      <c r="BJ201" s="59">
        <f t="shared" si="206"/>
        <v>404.45811532046872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4.874216747856134</v>
      </c>
      <c r="BQ201" s="21">
        <f>EXP(-LN(2)/25)*BQ200+(1-EXP(-LN(2)/25))/(LN(2)/25)*Calculateur!BL201*Calculateur!BN201*VLOOKUP('Données projet'!$B$11,Paramètres!$A$1:$I$89,3,0)*0.475*44/12</f>
        <v>1.8897703010643661</v>
      </c>
      <c r="BR201" s="21">
        <f>EXP(-LN(2)/2)*BR200+(1-EXP(-LN(2)/2))/(LN(2)/2)*BL201*BO201*VLOOKUP('Données projet'!$B$11,Paramètres!$A$1:$I$89,3,0)*0.475*44/12</f>
        <v>1.2951583547020727E-16</v>
      </c>
      <c r="BS201" s="22">
        <f t="shared" si="169"/>
        <v>6.7639870489204998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384.34044781465661</v>
      </c>
      <c r="CE201" s="59">
        <f t="shared" si="207"/>
        <v>374.99493809709708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5.5153165488513265</v>
      </c>
      <c r="CL201" s="21">
        <f>EXP(-LN(2)/25)*CL200+(1-EXP(-LN(2)/25))/(LN(2)/25)*Calculateur!CG201*Calculateur!CI201*VLOOKUP('Données projet'!$B$12,Paramètres!$A$1:$I$89,3,0)*0.475*44/12</f>
        <v>2.1383294904914378</v>
      </c>
      <c r="CM201" s="21">
        <f>EXP(-LN(2)/2)*CM200+(1-EXP(-LN(2)/2))/(LN(2)/2)*CG201*CJ201*VLOOKUP('Données projet'!$B$12,Paramètres!$A$1:$I$89,3,0)*0.475*44/12</f>
        <v>1.1889978338248539E-16</v>
      </c>
      <c r="CN201" s="22">
        <f t="shared" si="172"/>
        <v>7.6536460393427639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5.6843418860808015E-13</v>
      </c>
      <c r="CU201" s="17">
        <f>CT201*VLOOKUP('Données projet'!$B$13,Paramètres!$A$1:$I$89,3,0)*VLOOKUP('Données projet'!$B$13,Paramètres!$A$1:$I$89,5,0)</f>
        <v>3.177547114319168E-13</v>
      </c>
      <c r="CV201" s="13">
        <f t="shared" si="173"/>
        <v>4.1725404435445377E-12</v>
      </c>
      <c r="CW201" s="20">
        <f t="shared" si="174"/>
        <v>7.820597394917325E-12</v>
      </c>
      <c r="CX201" s="59">
        <f t="shared" si="196"/>
        <v>293.33333333334116</v>
      </c>
      <c r="CY201" s="59">
        <f ca="1">AVERAGE(OFFSET($CX$3,0,0,'Données projet'!$E$13+1,1))-AVERAGE(OFFSET($H$3,0,0,'Données projet'!$E$13+1,1))</f>
        <v>386.66324266750968</v>
      </c>
      <c r="CZ201" s="59">
        <f t="shared" si="208"/>
        <v>356.22149461585769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18.290669311039217</v>
      </c>
      <c r="DG201" s="21">
        <f>EXP(-LN(2)/25)*DG200+(1-EXP(-LN(2)/25))/(LN(2)/25)*Calculateur!DB201*Calculateur!DD201*VLOOKUP('Données projet'!$B$13,Paramètres!$A$1:$I$89,3,0)*0.475*44/12</f>
        <v>2.2072237867139584</v>
      </c>
      <c r="DH201" s="21">
        <f>EXP(-LN(2)/2)*DH200+(1-EXP(-LN(2)/2))/(LN(2)/2)*DB201*DE201*VLOOKUP('Données projet'!$B$13,Paramètres!$A$1:$I$89,3,0)*0.475*44/12</f>
        <v>4.0931626752729221E-18</v>
      </c>
      <c r="DI201" s="22">
        <f t="shared" si="175"/>
        <v>20.497893097753174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>
        <f>DO201*VLOOKUP('Données projet'!$B$14,Paramètres!$A$1:$I$89,3,0)*VLOOKUP('Données projet'!$B$14,Paramètres!$A$1:$I$89,5,0)</f>
        <v>0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347.17417070871716</v>
      </c>
      <c r="DU201" s="59">
        <f t="shared" si="209"/>
        <v>339.56378046986441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3.99525962939027</v>
      </c>
      <c r="EB201" s="21">
        <f>EXP(-LN(2)/25)*EB200+(1-EXP(-LN(2)/25))/(LN(2)/25)*Calculateur!DW201*Calculateur!DY201*VLOOKUP('Données projet'!$B$14,Paramètres!$A$1:$I$89,3,0)*0.475*44/12</f>
        <v>1.5489920500527594</v>
      </c>
      <c r="EC201" s="21">
        <f>EXP(-LN(2)/2)*EC200+(1-EXP(-LN(2)/2))/(LN(2)/2)*DW201*DZ201*VLOOKUP('Données projet'!$B$14,Paramètres!$A$1:$I$89,3,0)*0.475*44/12</f>
        <v>1.0616052087721929E-16</v>
      </c>
      <c r="ED201" s="22">
        <f t="shared" si="178"/>
        <v>5.544251679443029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>
        <f>EJ201*VLOOKUP('Données projet'!$B$15,Paramètres!$A$1:$I$89,3,0)*VLOOKUP('Données projet'!$B$15,Paramètres!$A$1:$I$89,5,0)</f>
        <v>0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384.34044781465661</v>
      </c>
      <c r="EP201" s="59">
        <f t="shared" si="210"/>
        <v>374.99493809709708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4.474690784917108</v>
      </c>
      <c r="EW201" s="21">
        <f>EXP(-LN(2)/25)*EW200+(1-EXP(-LN(2)/25))/(LN(2)/25)*Calculateur!ER201*Calculateur!ET201*VLOOKUP('Données projet'!$B$15,Paramètres!$A$1:$I$89,3,0)*0.475*44/12</f>
        <v>1.7348710960590925</v>
      </c>
      <c r="EX201" s="21">
        <f>EXP(-LN(2)/2)*EX200+(1-EXP(-LN(2)/2))/(LN(2)/2)*ER201*EU201*VLOOKUP('Données projet'!$B$15,Paramètres!$A$1:$I$89,3,0)*0.475*44/12</f>
        <v>1.1889978338248539E-16</v>
      </c>
      <c r="EY201" s="22">
        <f t="shared" si="181"/>
        <v>6.2095618809762003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>
        <f>FE201*VLOOKUP('Données projet'!$B$16,Paramètres!$A$1:$I$89,3,0)*VLOOKUP('Données projet'!$B$16,Paramètres!$A$1:$I$89,5,0)</f>
        <v>0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359.57284550600366</v>
      </c>
      <c r="FK201" s="59">
        <f t="shared" si="211"/>
        <v>351.38386928091433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4.1550700145658848</v>
      </c>
      <c r="FR201" s="21">
        <f>EXP(-LN(2)/25)*FR200+(1-EXP(-LN(2)/25))/(LN(2)/25)*Calculateur!FM201*Calculateur!FO201*VLOOKUP('Données projet'!$B$16,Paramètres!$A$1:$I$89,3,0)*0.475*44/12</f>
        <v>1.6109517320548679</v>
      </c>
      <c r="FS201" s="21">
        <f>EXP(-LN(2)/2)*FS200+(1-EXP(-LN(2)/2))/(LN(2)/2)*FM201*FP201*VLOOKUP('Données projet'!$B$16,Paramètres!$A$1:$I$89,3,0)*0.475*44/12</f>
        <v>1.1040694171230884E-16</v>
      </c>
      <c r="FT201" s="22">
        <f t="shared" si="184"/>
        <v>5.7660217466207531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6">
        <f t="shared" si="192"/>
        <v>256.66666666666669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3.979039320256561E-13</v>
      </c>
      <c r="O202" s="13">
        <f>N202*VLOOKUP('Données projet'!$B$9,Paramètres!$A$1:$I$89,3,0)*VLOOKUP('Données projet'!$B$9,Paramètres!$A$1:$I$89,5,0)</f>
        <v>3.6002347769681362E-13</v>
      </c>
      <c r="P202" s="13">
        <f t="shared" si="203"/>
        <v>4.6593569189922594E-12</v>
      </c>
      <c r="Q202" s="20">
        <f t="shared" si="162"/>
        <v>8.7420875242334695E-12</v>
      </c>
      <c r="R202" s="59">
        <f t="shared" si="191"/>
        <v>293.33333333334207</v>
      </c>
      <c r="S202" s="59">
        <f ca="1">AVERAGE(OFFSET($R$3,0,0,'Données projet'!$E$9+1,1))-AVERAGE(OFFSET($H$3,0,0,'Données projet'!$E$9+1,1))</f>
        <v>695.0879239758051</v>
      </c>
      <c r="T202" s="59">
        <f t="shared" si="204"/>
        <v>226.22150997227476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78.921324920807407</v>
      </c>
      <c r="AA202" s="21">
        <f>EXP(-LN(2)/25)*AA201+(1-EXP(-LN(2)/25))/(LN(2)/25)*Calculateur!V202*Calculateur!X202*VLOOKUP('Données projet'!$B$9,Paramètres!$A$1:$I$89,3,0)*0.475*44/12</f>
        <v>10.033191220725293</v>
      </c>
      <c r="AB202" s="21">
        <f>EXP(-LN(2)/2)*AB201+(1-EXP(-LN(2)/2))/(LN(2)/2)*V202*Y202*VLOOKUP('Données projet'!$B$9,Paramètres!$A$1:$I$89,3,0)*0.475*44/12</f>
        <v>1.0854981331830375E-5</v>
      </c>
      <c r="AC202" s="22">
        <f t="shared" si="163"/>
        <v>88.954526996514033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1.1368683772161603E-13</v>
      </c>
      <c r="AJ202" s="13">
        <f>AI202*VLOOKUP('Données projet'!$B$10,Paramètres!$A$1:$I$89,3,0)*VLOOKUP('Données projet'!$B$10,Paramètres!$A$1:$I$89,5,0)</f>
        <v>6.7984728957526396E-14</v>
      </c>
      <c r="AK202" s="13">
        <f t="shared" si="164"/>
        <v>1.0682447123141398E-12</v>
      </c>
      <c r="AL202" s="20">
        <f t="shared" si="165"/>
        <v>1.978932943548152E-12</v>
      </c>
      <c r="AM202" s="59">
        <f t="shared" si="193"/>
        <v>293.3333333333353</v>
      </c>
      <c r="AN202" s="59">
        <f ca="1">AVERAGE(OFFSET($AM$3,0,0,'Données projet'!$E$10+1,1))-AVERAGE(OFFSET($H$3,0,0,'Données projet'!$E$10+1,1))</f>
        <v>388.12151914648013</v>
      </c>
      <c r="AO202" s="59">
        <f t="shared" si="205"/>
        <v>481.43684454382793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10.48451393671307</v>
      </c>
      <c r="AV202" s="21">
        <f>EXP(-LN(2)/25)*AV201+(1-EXP(-LN(2)/25))/(LN(2)/25)*Calculateur!AQ202*Calculateur!AS202*VLOOKUP('Données projet'!$B$10,Paramètres!$A$1:$I$89,3,0)*0.475*44/12</f>
        <v>1.1699714730349624</v>
      </c>
      <c r="AW202" s="21">
        <f>EXP(-LN(2)/2)*AW201+(1-EXP(-LN(2)/2))/(LN(2)/2)*AQ202*AT202*VLOOKUP('Données projet'!$B$10,Paramètres!$A$1:$I$89,3,0)*0.475*44/12</f>
        <v>2.3150428268612689E-20</v>
      </c>
      <c r="AX202" s="21">
        <f t="shared" si="166"/>
        <v>11.654485409748032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415.24818074059294</v>
      </c>
      <c r="BJ202" s="59">
        <f t="shared" si="206"/>
        <v>404.45811532046872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4.7786363304093342</v>
      </c>
      <c r="BQ202" s="21">
        <f>EXP(-LN(2)/25)*BQ201+(1-EXP(-LN(2)/25))/(LN(2)/25)*Calculateur!BL202*Calculateur!BN202*VLOOKUP('Données projet'!$B$11,Paramètres!$A$1:$I$89,3,0)*0.475*44/12</f>
        <v>1.83809443280306</v>
      </c>
      <c r="BR202" s="21">
        <f>EXP(-LN(2)/2)*BR201+(1-EXP(-LN(2)/2))/(LN(2)/2)*BL202*BO202*VLOOKUP('Données projet'!$B$11,Paramètres!$A$1:$I$89,3,0)*0.475*44/12</f>
        <v>9.158152553202474E-17</v>
      </c>
      <c r="BS202" s="22">
        <f t="shared" si="169"/>
        <v>6.6167307632123942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384.34044781465661</v>
      </c>
      <c r="CE202" s="59">
        <f t="shared" si="207"/>
        <v>374.99493809709708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5.4071645553392784</v>
      </c>
      <c r="CL202" s="21">
        <f>EXP(-LN(2)/25)*CL201+(1-EXP(-LN(2)/25))/(LN(2)/25)*Calculateur!CG202*Calculateur!CI202*VLOOKUP('Données projet'!$B$12,Paramètres!$A$1:$I$89,3,0)*0.475*44/12</f>
        <v>2.0798567581240888</v>
      </c>
      <c r="CM202" s="21">
        <f>EXP(-LN(2)/2)*CM201+(1-EXP(-LN(2)/2))/(LN(2)/2)*CG202*CJ202*VLOOKUP('Données projet'!$B$12,Paramètres!$A$1:$I$89,3,0)*0.475*44/12</f>
        <v>8.4074843111366999E-17</v>
      </c>
      <c r="CN202" s="22">
        <f t="shared" si="172"/>
        <v>7.4870213134633676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5.6843418860808015E-13</v>
      </c>
      <c r="CU202" s="17">
        <f>CT202*VLOOKUP('Données projet'!$B$13,Paramètres!$A$1:$I$89,3,0)*VLOOKUP('Données projet'!$B$13,Paramètres!$A$1:$I$89,5,0)</f>
        <v>3.177547114319168E-13</v>
      </c>
      <c r="CV202" s="13">
        <f t="shared" si="173"/>
        <v>4.1725404435445377E-12</v>
      </c>
      <c r="CW202" s="20">
        <f t="shared" si="174"/>
        <v>7.820597394917325E-12</v>
      </c>
      <c r="CX202" s="59">
        <f t="shared" si="196"/>
        <v>293.33333333334116</v>
      </c>
      <c r="CY202" s="59">
        <f ca="1">AVERAGE(OFFSET($CX$3,0,0,'Données projet'!$E$13+1,1))-AVERAGE(OFFSET($H$3,0,0,'Données projet'!$E$13+1,1))</f>
        <v>386.66324266750968</v>
      </c>
      <c r="CZ202" s="59">
        <f t="shared" si="208"/>
        <v>356.22149461585769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17.932000442056435</v>
      </c>
      <c r="DG202" s="21">
        <f>EXP(-LN(2)/25)*DG201+(1-EXP(-LN(2)/25))/(LN(2)/25)*Calculateur!DB202*Calculateur!DD202*VLOOKUP('Données projet'!$B$13,Paramètres!$A$1:$I$89,3,0)*0.475*44/12</f>
        <v>2.1468671361934111</v>
      </c>
      <c r="DH202" s="21">
        <f>EXP(-LN(2)/2)*DH201+(1-EXP(-LN(2)/2))/(LN(2)/2)*DB202*DE202*VLOOKUP('Données projet'!$B$13,Paramètres!$A$1:$I$89,3,0)*0.475*44/12</f>
        <v>2.8943030841851536E-18</v>
      </c>
      <c r="DI202" s="22">
        <f t="shared" si="175"/>
        <v>20.078867578249845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>
        <f>DO202*VLOOKUP('Données projet'!$B$14,Paramètres!$A$1:$I$89,3,0)*VLOOKUP('Données projet'!$B$14,Paramètres!$A$1:$I$89,5,0)</f>
        <v>0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347.17417070871716</v>
      </c>
      <c r="DU202" s="59">
        <f t="shared" si="209"/>
        <v>339.56378046986441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3.9169150249256801</v>
      </c>
      <c r="EB202" s="21">
        <f>EXP(-LN(2)/25)*EB201+(1-EXP(-LN(2)/25))/(LN(2)/25)*Calculateur!DW202*Calculateur!DY202*VLOOKUP('Données projet'!$B$14,Paramètres!$A$1:$I$89,3,0)*0.475*44/12</f>
        <v>1.5066347809861151</v>
      </c>
      <c r="EC202" s="21">
        <f>EXP(-LN(2)/2)*EC201+(1-EXP(-LN(2)/2))/(LN(2)/2)*DW202*DZ202*VLOOKUP('Données projet'!$B$14,Paramètres!$A$1:$I$89,3,0)*0.475*44/12</f>
        <v>7.5066824206577812E-17</v>
      </c>
      <c r="ED202" s="22">
        <f t="shared" si="178"/>
        <v>5.4235498059117955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>
        <f>EJ202*VLOOKUP('Données projet'!$B$15,Paramètres!$A$1:$I$89,3,0)*VLOOKUP('Données projet'!$B$15,Paramètres!$A$1:$I$89,5,0)</f>
        <v>0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384.34044781465661</v>
      </c>
      <c r="EP202" s="59">
        <f t="shared" si="210"/>
        <v>374.99493809709708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4.3869448279167669</v>
      </c>
      <c r="EW202" s="21">
        <f>EXP(-LN(2)/25)*EW201+(1-EXP(-LN(2)/25))/(LN(2)/25)*Calculateur!ER202*Calculateur!ET202*VLOOKUP('Données projet'!$B$15,Paramètres!$A$1:$I$89,3,0)*0.475*44/12</f>
        <v>1.6874309547044508</v>
      </c>
      <c r="EX202" s="21">
        <f>EXP(-LN(2)/2)*EX201+(1-EXP(-LN(2)/2))/(LN(2)/2)*ER202*EU202*VLOOKUP('Données projet'!$B$15,Paramètres!$A$1:$I$89,3,0)*0.475*44/12</f>
        <v>8.4074843111366999E-17</v>
      </c>
      <c r="EY202" s="22">
        <f t="shared" si="181"/>
        <v>6.0743757826212175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>
        <f>FE202*VLOOKUP('Données projet'!$B$16,Paramètres!$A$1:$I$89,3,0)*VLOOKUP('Données projet'!$B$16,Paramètres!$A$1:$I$89,5,0)</f>
        <v>0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359.57284550600366</v>
      </c>
      <c r="FK202" s="59">
        <f t="shared" si="211"/>
        <v>351.38386928091433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4.0735916259227114</v>
      </c>
      <c r="FR202" s="21">
        <f>EXP(-LN(2)/25)*FR201+(1-EXP(-LN(2)/25))/(LN(2)/25)*Calculateur!FM202*Calculateur!FO202*VLOOKUP('Données projet'!$B$16,Paramètres!$A$1:$I$89,3,0)*0.475*44/12</f>
        <v>1.5669001722255578</v>
      </c>
      <c r="FS202" s="21">
        <f>EXP(-LN(2)/2)*FS201+(1-EXP(-LN(2)/2))/(LN(2)/2)*FM202*FP202*VLOOKUP('Données projet'!$B$16,Paramètres!$A$1:$I$89,3,0)*0.475*44/12</f>
        <v>7.8069497174841478E-17</v>
      </c>
      <c r="FT202" s="22">
        <f t="shared" si="184"/>
        <v>5.6404917981482692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6">
        <f t="shared" si="192"/>
        <v>256.66666666666669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3.979039320256561E-13</v>
      </c>
      <c r="O203" s="13">
        <f>N203*VLOOKUP('Données projet'!$B$9,Paramètres!$A$1:$I$89,3,0)*VLOOKUP('Données projet'!$B$9,Paramètres!$A$1:$I$89,5,0)</f>
        <v>3.6002347769681362E-13</v>
      </c>
      <c r="P203" s="13">
        <f t="shared" si="203"/>
        <v>4.6593569189922594E-12</v>
      </c>
      <c r="Q203" s="20">
        <f t="shared" si="162"/>
        <v>8.7420875242334695E-12</v>
      </c>
      <c r="R203" s="59">
        <f t="shared" si="191"/>
        <v>293.33333333334207</v>
      </c>
      <c r="S203" s="59">
        <f ca="1">AVERAGE(OFFSET($R$3,0,0,'Données projet'!$E$9+1,1))-AVERAGE(OFFSET($H$3,0,0,'Données projet'!$E$9+1,1))</f>
        <v>695.0879239758051</v>
      </c>
      <c r="T203" s="59">
        <f t="shared" si="204"/>
        <v>226.22150997227476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77.373725876365413</v>
      </c>
      <c r="AA203" s="21">
        <f>EXP(-LN(2)/25)*AA202+(1-EXP(-LN(2)/25))/(LN(2)/25)*Calculateur!V203*Calculateur!X203*VLOOKUP('Données projet'!$B$9,Paramètres!$A$1:$I$89,3,0)*0.475*44/12</f>
        <v>9.7588330791719642</v>
      </c>
      <c r="AB203" s="21">
        <f>EXP(-LN(2)/2)*AB202+(1-EXP(-LN(2)/2))/(LN(2)/2)*V203*Y203*VLOOKUP('Données projet'!$B$9,Paramètres!$A$1:$I$89,3,0)*0.475*44/12</f>
        <v>7.6756309093906389E-6</v>
      </c>
      <c r="AC203" s="22">
        <f t="shared" si="163"/>
        <v>87.132566631168288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1.1368683772161603E-13</v>
      </c>
      <c r="AJ203" s="13">
        <f>AI203*VLOOKUP('Données projet'!$B$10,Paramètres!$A$1:$I$89,3,0)*VLOOKUP('Données projet'!$B$10,Paramètres!$A$1:$I$89,5,0)</f>
        <v>6.7984728957526396E-14</v>
      </c>
      <c r="AK203" s="13">
        <f t="shared" si="164"/>
        <v>1.0682447123141398E-12</v>
      </c>
      <c r="AL203" s="20">
        <f t="shared" si="165"/>
        <v>1.978932943548152E-12</v>
      </c>
      <c r="AM203" s="59">
        <f t="shared" si="193"/>
        <v>293.3333333333353</v>
      </c>
      <c r="AN203" s="59">
        <f ca="1">AVERAGE(OFFSET($AM$3,0,0,'Données projet'!$E$10+1,1))-AVERAGE(OFFSET($H$3,0,0,'Données projet'!$E$10+1,1))</f>
        <v>388.12151914648013</v>
      </c>
      <c r="AO203" s="59">
        <f t="shared" si="205"/>
        <v>481.43684454382793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10.278919013336182</v>
      </c>
      <c r="AV203" s="21">
        <f>EXP(-LN(2)/25)*AV202+(1-EXP(-LN(2)/25))/(LN(2)/25)*Calculateur!AQ203*Calculateur!AS203*VLOOKUP('Données projet'!$B$10,Paramètres!$A$1:$I$89,3,0)*0.475*44/12</f>
        <v>1.1379785415786956</v>
      </c>
      <c r="AW203" s="21">
        <f>EXP(-LN(2)/2)*AW202+(1-EXP(-LN(2)/2))/(LN(2)/2)*AQ203*AT203*VLOOKUP('Données projet'!$B$10,Paramètres!$A$1:$I$89,3,0)*0.475*44/12</f>
        <v>1.6369824816108776E-20</v>
      </c>
      <c r="AX203" s="21">
        <f t="shared" si="166"/>
        <v>11.416897554914877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415.24818074059294</v>
      </c>
      <c r="BJ203" s="59">
        <f t="shared" si="206"/>
        <v>404.45811532046872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4.6849301866503676</v>
      </c>
      <c r="BQ203" s="21">
        <f>EXP(-LN(2)/25)*BQ202+(1-EXP(-LN(2)/25))/(LN(2)/25)*Calculateur!BL203*Calculateur!BN203*VLOOKUP('Données projet'!$B$11,Paramètres!$A$1:$I$89,3,0)*0.475*44/12</f>
        <v>1.7878316438768751</v>
      </c>
      <c r="BR203" s="21">
        <f>EXP(-LN(2)/2)*BR202+(1-EXP(-LN(2)/2))/(LN(2)/2)*BL203*BO203*VLOOKUP('Données projet'!$B$11,Paramètres!$A$1:$I$89,3,0)*0.475*44/12</f>
        <v>6.4757917735103633E-17</v>
      </c>
      <c r="BS203" s="22">
        <f t="shared" si="169"/>
        <v>6.4727618305272427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384.34044781465661</v>
      </c>
      <c r="CE203" s="59">
        <f t="shared" si="207"/>
        <v>374.99493809709708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5.301133356453799</v>
      </c>
      <c r="CL203" s="21">
        <f>EXP(-LN(2)/25)*CL202+(1-EXP(-LN(2)/25))/(LN(2)/25)*Calculateur!CG203*Calculateur!CI203*VLOOKUP('Données projet'!$B$12,Paramètres!$A$1:$I$89,3,0)*0.475*44/12</f>
        <v>2.0229829656982723</v>
      </c>
      <c r="CM203" s="21">
        <f>EXP(-LN(2)/2)*CM202+(1-EXP(-LN(2)/2))/(LN(2)/2)*CG203*CJ203*VLOOKUP('Données projet'!$B$12,Paramètres!$A$1:$I$89,3,0)*0.475*44/12</f>
        <v>5.9449891691242696E-17</v>
      </c>
      <c r="CN203" s="22">
        <f t="shared" si="172"/>
        <v>7.3241163221520713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5.6843418860808015E-13</v>
      </c>
      <c r="CU203" s="17">
        <f>CT203*VLOOKUP('Données projet'!$B$13,Paramètres!$A$1:$I$89,3,0)*VLOOKUP('Données projet'!$B$13,Paramètres!$A$1:$I$89,5,0)</f>
        <v>3.177547114319168E-13</v>
      </c>
      <c r="CV203" s="13">
        <f t="shared" si="173"/>
        <v>4.1725404435445377E-12</v>
      </c>
      <c r="CW203" s="20">
        <f t="shared" si="174"/>
        <v>7.820597394917325E-12</v>
      </c>
      <c r="CX203" s="59">
        <f t="shared" si="196"/>
        <v>293.33333333334116</v>
      </c>
      <c r="CY203" s="59">
        <f ca="1">AVERAGE(OFFSET($CX$3,0,0,'Données projet'!$E$13+1,1))-AVERAGE(OFFSET($H$3,0,0,'Données projet'!$E$13+1,1))</f>
        <v>386.66324266750968</v>
      </c>
      <c r="CZ203" s="59">
        <f t="shared" si="208"/>
        <v>356.22149461585769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17.580364850827994</v>
      </c>
      <c r="DG203" s="21">
        <f>EXP(-LN(2)/25)*DG202+(1-EXP(-LN(2)/25))/(LN(2)/25)*Calculateur!DB203*Calculateur!DD203*VLOOKUP('Données projet'!$B$13,Paramètres!$A$1:$I$89,3,0)*0.475*44/12</f>
        <v>2.0881609414553663</v>
      </c>
      <c r="DH203" s="21">
        <f>EXP(-LN(2)/2)*DH202+(1-EXP(-LN(2)/2))/(LN(2)/2)*DB203*DE203*VLOOKUP('Données projet'!$B$13,Paramètres!$A$1:$I$89,3,0)*0.475*44/12</f>
        <v>2.046581337636461E-18</v>
      </c>
      <c r="DI203" s="22">
        <f t="shared" si="175"/>
        <v>19.668525792283361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>
        <f>DO203*VLOOKUP('Données projet'!$B$14,Paramètres!$A$1:$I$89,3,0)*VLOOKUP('Données projet'!$B$14,Paramètres!$A$1:$I$89,5,0)</f>
        <v>0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347.17417070871716</v>
      </c>
      <c r="DU203" s="59">
        <f t="shared" si="209"/>
        <v>339.56378046986441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3.8401067103691506</v>
      </c>
      <c r="EB203" s="21">
        <f>EXP(-LN(2)/25)*EB202+(1-EXP(-LN(2)/25))/(LN(2)/25)*Calculateur!DW203*Calculateur!DY203*VLOOKUP('Données projet'!$B$14,Paramètres!$A$1:$I$89,3,0)*0.475*44/12</f>
        <v>1.4654357736695702</v>
      </c>
      <c r="EC203" s="21">
        <f>EXP(-LN(2)/2)*EC202+(1-EXP(-LN(2)/2))/(LN(2)/2)*DW203*DZ203*VLOOKUP('Données projet'!$B$14,Paramètres!$A$1:$I$89,3,0)*0.475*44/12</f>
        <v>5.3080260438609647E-17</v>
      </c>
      <c r="ED203" s="22">
        <f t="shared" si="178"/>
        <v>5.3055424840387211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>
        <f>EJ203*VLOOKUP('Données projet'!$B$15,Paramètres!$A$1:$I$89,3,0)*VLOOKUP('Données projet'!$B$15,Paramètres!$A$1:$I$89,5,0)</f>
        <v>0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384.34044781465661</v>
      </c>
      <c r="EP203" s="59">
        <f t="shared" si="210"/>
        <v>374.99493809709708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4.3009195156134536</v>
      </c>
      <c r="EW203" s="21">
        <f>EXP(-LN(2)/25)*EW202+(1-EXP(-LN(2)/25))/(LN(2)/25)*Calculateur!ER203*Calculateur!ET203*VLOOKUP('Données projet'!$B$15,Paramètres!$A$1:$I$89,3,0)*0.475*44/12</f>
        <v>1.6412880665099203</v>
      </c>
      <c r="EX203" s="21">
        <f>EXP(-LN(2)/2)*EX202+(1-EXP(-LN(2)/2))/(LN(2)/2)*ER203*EU203*VLOOKUP('Données projet'!$B$15,Paramètres!$A$1:$I$89,3,0)*0.475*44/12</f>
        <v>5.9449891691242696E-17</v>
      </c>
      <c r="EY203" s="22">
        <f t="shared" si="181"/>
        <v>5.9422075821233742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>
        <f>FE203*VLOOKUP('Données projet'!$B$16,Paramètres!$A$1:$I$89,3,0)*VLOOKUP('Données projet'!$B$16,Paramètres!$A$1:$I$89,5,0)</f>
        <v>0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359.57284550600366</v>
      </c>
      <c r="FK203" s="59">
        <f t="shared" si="211"/>
        <v>351.38386928091433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3.9937109787839207</v>
      </c>
      <c r="FR203" s="21">
        <f>EXP(-LN(2)/25)*FR202+(1-EXP(-LN(2)/25))/(LN(2)/25)*Calculateur!FM203*Calculateur!FO203*VLOOKUP('Données projet'!$B$16,Paramètres!$A$1:$I$89,3,0)*0.475*44/12</f>
        <v>1.5240532046163511</v>
      </c>
      <c r="FS203" s="21">
        <f>EXP(-LN(2)/2)*FS202+(1-EXP(-LN(2)/2))/(LN(2)/2)*FM203*FP203*VLOOKUP('Données projet'!$B$16,Paramètres!$A$1:$I$89,3,0)*0.475*44/12</f>
        <v>5.5203470856154426E-17</v>
      </c>
      <c r="FT203" s="22">
        <f t="shared" si="184"/>
        <v>5.5177641834002715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104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104</v>
      </c>
      <c r="BA204" s="80" t="s">
        <v>104</v>
      </c>
      <c r="BV204" s="80" t="s">
        <v>104</v>
      </c>
      <c r="CQ204" s="80" t="s">
        <v>104</v>
      </c>
      <c r="DL204" s="80" t="s">
        <v>104</v>
      </c>
      <c r="EG204" s="80" t="s">
        <v>104</v>
      </c>
      <c r="FB204" s="80" t="s">
        <v>104</v>
      </c>
      <c r="FW204" s="80" t="s">
        <v>104</v>
      </c>
      <c r="GR204" s="80" t="s">
        <v>104</v>
      </c>
    </row>
    <row r="205" spans="1:218" ht="15" thickBot="1" x14ac:dyDescent="0.4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1.1636646418946561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1.3927421509577205</v>
      </c>
      <c r="BA205" s="81">
        <f>EXP(LN('Données projet'!B88)/'Données projet'!A88)</f>
        <v>1.3208724756526424</v>
      </c>
      <c r="BV205" s="81">
        <f>EXP(LN('Données projet'!B114)/'Données projet'!A114)</f>
        <v>1.3208724756526424</v>
      </c>
      <c r="CQ205" s="81">
        <f>EXP(LN('Données projet'!B140)/'Données projet'!A140)</f>
        <v>1.2855297099408214</v>
      </c>
      <c r="DL205" s="81">
        <f>EXP(LN('Données projet'!B166)/'Données projet'!A166)</f>
        <v>1.3208724756526424</v>
      </c>
      <c r="EG205" s="81">
        <f>EXP(LN('Données projet'!B192)/'Données projet'!A192)</f>
        <v>1.3208724756526424</v>
      </c>
      <c r="FB205" s="81">
        <f>EXP(LN('Données projet'!B218)/'Données projet'!A218)</f>
        <v>1.3208724756526424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0" t="s">
        <v>105</v>
      </c>
      <c r="B1" s="111" t="s">
        <v>106</v>
      </c>
      <c r="C1" s="112" t="s">
        <v>107</v>
      </c>
      <c r="D1" s="111" t="s">
        <v>108</v>
      </c>
      <c r="E1" s="112" t="s">
        <v>109</v>
      </c>
      <c r="F1" s="112" t="s">
        <v>108</v>
      </c>
      <c r="G1" s="112" t="s">
        <v>110</v>
      </c>
      <c r="H1" s="112" t="s">
        <v>108</v>
      </c>
      <c r="I1" s="113" t="s">
        <v>111</v>
      </c>
      <c r="J1" s="77"/>
      <c r="K1" s="77"/>
      <c r="L1" s="77"/>
      <c r="M1" s="77"/>
      <c r="N1" s="77"/>
    </row>
    <row r="2" spans="1:16" x14ac:dyDescent="0.35">
      <c r="A2" s="114" t="s">
        <v>112</v>
      </c>
      <c r="B2" s="115" t="s">
        <v>113</v>
      </c>
      <c r="C2" s="116">
        <v>0.62</v>
      </c>
      <c r="D2" s="116" t="s">
        <v>114</v>
      </c>
      <c r="E2" s="116">
        <v>1.56</v>
      </c>
      <c r="F2" s="116" t="s">
        <v>115</v>
      </c>
      <c r="G2" s="117">
        <v>0.43</v>
      </c>
      <c r="H2" s="118" t="s">
        <v>116</v>
      </c>
      <c r="I2" s="119">
        <v>0.25</v>
      </c>
      <c r="J2" s="77"/>
      <c r="K2" s="77"/>
      <c r="L2" s="77"/>
      <c r="M2" s="77"/>
      <c r="N2" s="77"/>
      <c r="O2" s="286" t="s">
        <v>117</v>
      </c>
      <c r="P2" s="120">
        <v>0</v>
      </c>
    </row>
    <row r="3" spans="1:16" ht="15" thickBot="1" x14ac:dyDescent="0.4">
      <c r="A3" s="121" t="s">
        <v>118</v>
      </c>
      <c r="B3" s="122" t="s">
        <v>119</v>
      </c>
      <c r="C3" s="123">
        <v>0.64</v>
      </c>
      <c r="D3" s="123" t="s">
        <v>114</v>
      </c>
      <c r="E3" s="123">
        <v>1.56</v>
      </c>
      <c r="F3" s="124" t="s">
        <v>115</v>
      </c>
      <c r="G3" s="125">
        <v>0.43</v>
      </c>
      <c r="H3" s="123" t="s">
        <v>116</v>
      </c>
      <c r="I3" s="126">
        <v>0.25</v>
      </c>
      <c r="J3" s="77"/>
      <c r="K3" s="77"/>
      <c r="L3" s="77"/>
      <c r="M3" s="77"/>
      <c r="N3" s="77"/>
      <c r="O3" s="287"/>
      <c r="P3" s="127">
        <v>0.2</v>
      </c>
    </row>
    <row r="4" spans="1:16" ht="15" thickBot="1" x14ac:dyDescent="0.4">
      <c r="A4" s="121" t="s">
        <v>120</v>
      </c>
      <c r="B4" s="122" t="s">
        <v>121</v>
      </c>
      <c r="C4" s="123">
        <v>0.42</v>
      </c>
      <c r="D4" s="123" t="s">
        <v>114</v>
      </c>
      <c r="E4" s="123">
        <v>1.56</v>
      </c>
      <c r="F4" s="124" t="s">
        <v>115</v>
      </c>
      <c r="G4" s="125">
        <v>0.43</v>
      </c>
      <c r="H4" s="123" t="s">
        <v>116</v>
      </c>
      <c r="I4" s="126">
        <v>0.25</v>
      </c>
      <c r="J4" s="77"/>
      <c r="K4" s="77"/>
      <c r="L4" s="77"/>
      <c r="M4" s="77"/>
      <c r="N4" s="77"/>
    </row>
    <row r="5" spans="1:16" x14ac:dyDescent="0.35">
      <c r="A5" s="121" t="s">
        <v>122</v>
      </c>
      <c r="B5" s="122" t="s">
        <v>123</v>
      </c>
      <c r="C5" s="123">
        <v>0.42</v>
      </c>
      <c r="D5" s="123" t="s">
        <v>114</v>
      </c>
      <c r="E5" s="123">
        <v>1.56</v>
      </c>
      <c r="F5" s="124" t="s">
        <v>115</v>
      </c>
      <c r="G5" s="125">
        <v>0.43</v>
      </c>
      <c r="H5" s="123" t="s">
        <v>116</v>
      </c>
      <c r="I5" s="126">
        <v>0.25</v>
      </c>
      <c r="J5" s="77"/>
      <c r="K5" s="77"/>
      <c r="L5" s="77"/>
      <c r="M5" s="77"/>
      <c r="N5" s="77"/>
      <c r="O5" s="286" t="s">
        <v>124</v>
      </c>
      <c r="P5" s="120">
        <v>0</v>
      </c>
    </row>
    <row r="6" spans="1:16" x14ac:dyDescent="0.35">
      <c r="A6" s="121" t="s">
        <v>125</v>
      </c>
      <c r="B6" s="122" t="s">
        <v>126</v>
      </c>
      <c r="C6" s="123">
        <v>0.42</v>
      </c>
      <c r="D6" s="123" t="s">
        <v>114</v>
      </c>
      <c r="E6" s="123">
        <v>1.56</v>
      </c>
      <c r="F6" s="124" t="s">
        <v>115</v>
      </c>
      <c r="G6" s="125">
        <v>0.43</v>
      </c>
      <c r="H6" s="123" t="s">
        <v>116</v>
      </c>
      <c r="I6" s="126">
        <v>0.25</v>
      </c>
      <c r="J6" s="77"/>
      <c r="K6" s="77"/>
      <c r="L6" s="77"/>
      <c r="M6" s="77"/>
      <c r="N6" s="77"/>
      <c r="O6" s="288"/>
      <c r="P6" s="128">
        <v>0.05</v>
      </c>
    </row>
    <row r="7" spans="1:16" x14ac:dyDescent="0.35">
      <c r="A7" s="121" t="s">
        <v>127</v>
      </c>
      <c r="B7" s="122" t="s">
        <v>128</v>
      </c>
      <c r="C7" s="123">
        <v>0.52</v>
      </c>
      <c r="D7" s="123" t="s">
        <v>114</v>
      </c>
      <c r="E7" s="123">
        <v>1.56</v>
      </c>
      <c r="F7" s="124" t="s">
        <v>115</v>
      </c>
      <c r="G7" s="125">
        <v>0.43</v>
      </c>
      <c r="H7" s="123" t="s">
        <v>116</v>
      </c>
      <c r="I7" s="126">
        <v>0.25</v>
      </c>
      <c r="J7" s="77"/>
      <c r="K7" s="77"/>
      <c r="L7" s="77"/>
      <c r="M7" s="77"/>
      <c r="N7" s="77"/>
      <c r="O7" s="288"/>
      <c r="P7" s="128">
        <v>0.1</v>
      </c>
    </row>
    <row r="8" spans="1:16" ht="15" thickBot="1" x14ac:dyDescent="0.4">
      <c r="A8" s="121" t="s">
        <v>129</v>
      </c>
      <c r="B8" s="122" t="s">
        <v>130</v>
      </c>
      <c r="C8" s="123">
        <v>0.36</v>
      </c>
      <c r="D8" s="123" t="s">
        <v>114</v>
      </c>
      <c r="E8" s="123">
        <v>1.3</v>
      </c>
      <c r="F8" s="124" t="s">
        <v>115</v>
      </c>
      <c r="G8" s="125">
        <v>0.55000000000000004</v>
      </c>
      <c r="H8" s="123" t="s">
        <v>131</v>
      </c>
      <c r="I8" s="126">
        <v>0.43</v>
      </c>
      <c r="J8" s="77"/>
      <c r="K8" s="77"/>
      <c r="L8" s="77"/>
      <c r="M8" s="77"/>
      <c r="N8" s="77"/>
      <c r="O8" s="287"/>
      <c r="P8" s="127">
        <v>0.15</v>
      </c>
    </row>
    <row r="9" spans="1:16" ht="15" thickBot="1" x14ac:dyDescent="0.4">
      <c r="A9" s="121" t="s">
        <v>21</v>
      </c>
      <c r="B9" s="122" t="s">
        <v>132</v>
      </c>
      <c r="C9" s="123">
        <v>0.61</v>
      </c>
      <c r="D9" s="123" t="s">
        <v>114</v>
      </c>
      <c r="E9" s="123">
        <v>1.56</v>
      </c>
      <c r="F9" s="124" t="s">
        <v>115</v>
      </c>
      <c r="G9" s="125">
        <v>0.43</v>
      </c>
      <c r="H9" s="123" t="s">
        <v>116</v>
      </c>
      <c r="I9" s="126">
        <v>0.25</v>
      </c>
      <c r="J9" s="77"/>
      <c r="K9" s="77"/>
      <c r="L9" s="77"/>
      <c r="M9" s="77"/>
      <c r="N9" s="77"/>
    </row>
    <row r="10" spans="1:16" x14ac:dyDescent="0.35">
      <c r="A10" s="121" t="s">
        <v>133</v>
      </c>
      <c r="B10" s="122" t="s">
        <v>134</v>
      </c>
      <c r="C10" s="123">
        <v>0.66</v>
      </c>
      <c r="D10" s="123" t="s">
        <v>114</v>
      </c>
      <c r="E10" s="123">
        <v>1.56</v>
      </c>
      <c r="F10" s="124" t="s">
        <v>115</v>
      </c>
      <c r="G10" s="125">
        <v>0.43</v>
      </c>
      <c r="H10" s="123" t="s">
        <v>116</v>
      </c>
      <c r="I10" s="126">
        <v>0.25</v>
      </c>
      <c r="J10" s="77"/>
      <c r="K10" s="77"/>
      <c r="L10" s="77"/>
      <c r="M10" s="77"/>
      <c r="N10" s="77"/>
      <c r="O10" s="286" t="s">
        <v>135</v>
      </c>
      <c r="P10" s="120">
        <v>0</v>
      </c>
    </row>
    <row r="11" spans="1:16" ht="15" thickBot="1" x14ac:dyDescent="0.4">
      <c r="A11" s="121" t="s">
        <v>136</v>
      </c>
      <c r="B11" s="122" t="s">
        <v>137</v>
      </c>
      <c r="C11" s="123">
        <v>0.47</v>
      </c>
      <c r="D11" s="123" t="s">
        <v>114</v>
      </c>
      <c r="E11" s="123">
        <v>1.56</v>
      </c>
      <c r="F11" s="124" t="s">
        <v>115</v>
      </c>
      <c r="G11" s="125">
        <v>0.43</v>
      </c>
      <c r="H11" s="123" t="s">
        <v>116</v>
      </c>
      <c r="I11" s="126">
        <v>0.25</v>
      </c>
      <c r="J11" s="77"/>
      <c r="K11" s="77"/>
      <c r="L11" s="77"/>
      <c r="M11" s="77"/>
      <c r="N11" s="77"/>
      <c r="O11" s="287"/>
      <c r="P11" s="127">
        <v>0.1</v>
      </c>
    </row>
    <row r="12" spans="1:16" x14ac:dyDescent="0.35">
      <c r="A12" s="121" t="s">
        <v>138</v>
      </c>
      <c r="B12" s="122" t="s">
        <v>139</v>
      </c>
      <c r="C12" s="123">
        <v>0.67</v>
      </c>
      <c r="D12" s="123" t="s">
        <v>114</v>
      </c>
      <c r="E12" s="123">
        <v>1.56</v>
      </c>
      <c r="F12" s="124" t="s">
        <v>115</v>
      </c>
      <c r="G12" s="125">
        <v>0.43</v>
      </c>
      <c r="H12" s="123" t="s">
        <v>140</v>
      </c>
      <c r="I12" s="126">
        <v>0.25</v>
      </c>
      <c r="J12" s="77"/>
      <c r="K12" s="77"/>
      <c r="L12" s="77"/>
      <c r="M12" s="77"/>
      <c r="N12" s="77"/>
    </row>
    <row r="13" spans="1:16" x14ac:dyDescent="0.35">
      <c r="A13" s="121" t="s">
        <v>141</v>
      </c>
      <c r="B13" s="122" t="s">
        <v>142</v>
      </c>
      <c r="C13" s="123">
        <v>0.7</v>
      </c>
      <c r="D13" s="123" t="s">
        <v>114</v>
      </c>
      <c r="E13" s="123">
        <v>1.56</v>
      </c>
      <c r="F13" s="124" t="s">
        <v>115</v>
      </c>
      <c r="G13" s="125">
        <v>0.43</v>
      </c>
      <c r="H13" s="123" t="s">
        <v>140</v>
      </c>
      <c r="I13" s="126">
        <v>0.25</v>
      </c>
      <c r="J13" s="77"/>
      <c r="K13" s="77"/>
      <c r="L13" s="77"/>
      <c r="M13" s="77"/>
      <c r="N13" s="77"/>
    </row>
    <row r="14" spans="1:16" x14ac:dyDescent="0.35">
      <c r="A14" s="121" t="s">
        <v>143</v>
      </c>
      <c r="B14" s="122" t="s">
        <v>144</v>
      </c>
      <c r="C14" s="123">
        <v>0.54</v>
      </c>
      <c r="D14" s="123" t="s">
        <v>114</v>
      </c>
      <c r="E14" s="123">
        <v>1.56</v>
      </c>
      <c r="F14" s="124" t="s">
        <v>115</v>
      </c>
      <c r="G14" s="125">
        <v>0.43</v>
      </c>
      <c r="H14" s="123" t="s">
        <v>140</v>
      </c>
      <c r="I14" s="126">
        <v>0.25</v>
      </c>
      <c r="J14" s="77"/>
      <c r="K14" s="77"/>
      <c r="L14" s="77"/>
      <c r="M14" s="77"/>
      <c r="N14" s="77"/>
    </row>
    <row r="15" spans="1:16" x14ac:dyDescent="0.35">
      <c r="A15" s="121" t="s">
        <v>145</v>
      </c>
      <c r="B15" s="122" t="s">
        <v>146</v>
      </c>
      <c r="C15" s="123">
        <v>0.65</v>
      </c>
      <c r="D15" s="123" t="s">
        <v>114</v>
      </c>
      <c r="E15" s="123">
        <v>1.56</v>
      </c>
      <c r="F15" s="124" t="s">
        <v>115</v>
      </c>
      <c r="G15" s="125">
        <v>0.43</v>
      </c>
      <c r="H15" s="123" t="s">
        <v>140</v>
      </c>
      <c r="I15" s="126">
        <v>0.25</v>
      </c>
      <c r="J15" s="77"/>
      <c r="K15" s="77"/>
      <c r="L15" s="77"/>
      <c r="M15" s="77"/>
      <c r="N15" s="77"/>
    </row>
    <row r="16" spans="1:16" x14ac:dyDescent="0.35">
      <c r="A16" s="121" t="s">
        <v>29</v>
      </c>
      <c r="B16" s="122" t="s">
        <v>147</v>
      </c>
      <c r="C16" s="123">
        <v>0.56000000000000005</v>
      </c>
      <c r="D16" s="123" t="s">
        <v>114</v>
      </c>
      <c r="E16" s="123">
        <v>1.56</v>
      </c>
      <c r="F16" s="124" t="s">
        <v>115</v>
      </c>
      <c r="G16" s="125">
        <v>0.43</v>
      </c>
      <c r="H16" s="123" t="s">
        <v>140</v>
      </c>
      <c r="I16" s="126">
        <v>0.25</v>
      </c>
      <c r="J16" s="77"/>
      <c r="K16" s="77"/>
      <c r="L16" s="77"/>
      <c r="M16" s="77"/>
      <c r="N16" s="77"/>
    </row>
    <row r="17" spans="1:14" x14ac:dyDescent="0.35">
      <c r="A17" s="121" t="s">
        <v>16</v>
      </c>
      <c r="B17" s="122" t="s">
        <v>148</v>
      </c>
      <c r="C17" s="123">
        <v>0.57999999999999996</v>
      </c>
      <c r="D17" s="123" t="s">
        <v>114</v>
      </c>
      <c r="E17" s="123">
        <v>1.56</v>
      </c>
      <c r="F17" s="124" t="s">
        <v>115</v>
      </c>
      <c r="G17" s="125">
        <v>0.43</v>
      </c>
      <c r="H17" s="123" t="s">
        <v>140</v>
      </c>
      <c r="I17" s="126">
        <v>0.25</v>
      </c>
      <c r="J17" s="77"/>
      <c r="K17" s="77"/>
      <c r="L17" s="77"/>
      <c r="M17" s="77"/>
      <c r="N17" s="77"/>
    </row>
    <row r="18" spans="1:14" x14ac:dyDescent="0.35">
      <c r="A18" s="121" t="s">
        <v>149</v>
      </c>
      <c r="B18" s="122" t="s">
        <v>150</v>
      </c>
      <c r="C18" s="123">
        <v>0.64</v>
      </c>
      <c r="D18" s="123" t="s">
        <v>114</v>
      </c>
      <c r="E18" s="123">
        <v>1.56</v>
      </c>
      <c r="F18" s="124" t="s">
        <v>115</v>
      </c>
      <c r="G18" s="125">
        <v>0.43</v>
      </c>
      <c r="H18" s="123" t="s">
        <v>140</v>
      </c>
      <c r="I18" s="126">
        <v>0.25</v>
      </c>
      <c r="J18" s="77"/>
      <c r="K18" s="77"/>
      <c r="L18" s="77"/>
      <c r="M18" s="77"/>
      <c r="N18" s="77"/>
    </row>
    <row r="19" spans="1:14" x14ac:dyDescent="0.35">
      <c r="A19" s="121" t="s">
        <v>151</v>
      </c>
      <c r="B19" s="122" t="s">
        <v>152</v>
      </c>
      <c r="C19" s="123">
        <v>0.73</v>
      </c>
      <c r="D19" s="123" t="s">
        <v>114</v>
      </c>
      <c r="E19" s="123">
        <v>1.56</v>
      </c>
      <c r="F19" s="124" t="s">
        <v>115</v>
      </c>
      <c r="G19" s="125">
        <v>0.43</v>
      </c>
      <c r="H19" s="123" t="s">
        <v>140</v>
      </c>
      <c r="I19" s="126">
        <v>0.25</v>
      </c>
      <c r="J19" s="77"/>
      <c r="K19" s="77"/>
      <c r="L19" s="77"/>
      <c r="M19" s="77"/>
      <c r="N19" s="77"/>
    </row>
    <row r="20" spans="1:14" x14ac:dyDescent="0.35">
      <c r="A20" s="121" t="s">
        <v>153</v>
      </c>
      <c r="B20" s="122" t="s">
        <v>154</v>
      </c>
      <c r="C20" s="123">
        <v>0.69</v>
      </c>
      <c r="D20" s="123" t="s">
        <v>155</v>
      </c>
      <c r="E20" s="123">
        <v>1.56</v>
      </c>
      <c r="F20" s="124" t="s">
        <v>115</v>
      </c>
      <c r="G20" s="125">
        <v>0.43</v>
      </c>
      <c r="H20" s="123" t="s">
        <v>156</v>
      </c>
      <c r="I20" s="126">
        <v>0.25</v>
      </c>
      <c r="J20" s="77"/>
      <c r="K20" s="77"/>
      <c r="L20" s="77"/>
      <c r="M20" s="77"/>
      <c r="N20" s="77"/>
    </row>
    <row r="21" spans="1:14" x14ac:dyDescent="0.35">
      <c r="A21" s="121" t="s">
        <v>157</v>
      </c>
      <c r="B21" s="122" t="s">
        <v>158</v>
      </c>
      <c r="C21" s="123">
        <v>0.36</v>
      </c>
      <c r="D21" s="123" t="s">
        <v>114</v>
      </c>
      <c r="E21" s="123">
        <v>1.3</v>
      </c>
      <c r="F21" s="124" t="s">
        <v>115</v>
      </c>
      <c r="G21" s="125">
        <v>0.55000000000000004</v>
      </c>
      <c r="H21" s="123" t="s">
        <v>131</v>
      </c>
      <c r="I21" s="126">
        <v>0.43</v>
      </c>
      <c r="J21" s="77"/>
      <c r="K21" s="77"/>
      <c r="L21" s="77"/>
      <c r="M21" s="77"/>
      <c r="N21" s="77"/>
    </row>
    <row r="22" spans="1:14" x14ac:dyDescent="0.35">
      <c r="A22" s="121" t="s">
        <v>159</v>
      </c>
      <c r="B22" s="122" t="s">
        <v>160</v>
      </c>
      <c r="C22" s="123">
        <v>0.4</v>
      </c>
      <c r="D22" s="123" t="s">
        <v>114</v>
      </c>
      <c r="E22" s="123">
        <v>1.3</v>
      </c>
      <c r="F22" s="124" t="s">
        <v>115</v>
      </c>
      <c r="G22" s="125">
        <v>0.55000000000000004</v>
      </c>
      <c r="H22" s="123" t="s">
        <v>131</v>
      </c>
      <c r="I22" s="126">
        <v>0.43</v>
      </c>
      <c r="J22" s="77"/>
      <c r="K22" s="77"/>
      <c r="L22" s="77"/>
      <c r="M22" s="77"/>
      <c r="N22" s="77"/>
    </row>
    <row r="23" spans="1:14" x14ac:dyDescent="0.35">
      <c r="A23" s="121" t="s">
        <v>25</v>
      </c>
      <c r="B23" s="122" t="s">
        <v>161</v>
      </c>
      <c r="C23" s="123">
        <v>0.43</v>
      </c>
      <c r="D23" s="123" t="s">
        <v>114</v>
      </c>
      <c r="E23" s="123">
        <v>1.3</v>
      </c>
      <c r="F23" s="124" t="s">
        <v>115</v>
      </c>
      <c r="G23" s="125">
        <v>0.55000000000000004</v>
      </c>
      <c r="H23" s="123" t="s">
        <v>131</v>
      </c>
      <c r="I23" s="126">
        <v>0.43</v>
      </c>
      <c r="J23" s="77"/>
      <c r="K23" s="77"/>
      <c r="L23" s="77"/>
      <c r="M23" s="77"/>
      <c r="N23" s="77"/>
    </row>
    <row r="24" spans="1:14" x14ac:dyDescent="0.35">
      <c r="A24" s="121" t="s">
        <v>162</v>
      </c>
      <c r="B24" s="122" t="s">
        <v>163</v>
      </c>
      <c r="C24" s="123">
        <v>0.37</v>
      </c>
      <c r="D24" s="123" t="s">
        <v>114</v>
      </c>
      <c r="E24" s="123">
        <v>1.3</v>
      </c>
      <c r="F24" s="124" t="s">
        <v>115</v>
      </c>
      <c r="G24" s="125">
        <v>0.55000000000000004</v>
      </c>
      <c r="H24" s="123" t="s">
        <v>140</v>
      </c>
      <c r="I24" s="126">
        <v>0.43</v>
      </c>
      <c r="J24" s="77"/>
      <c r="K24" s="77"/>
      <c r="L24" s="77"/>
      <c r="M24" s="77"/>
      <c r="N24" s="77"/>
    </row>
    <row r="25" spans="1:14" x14ac:dyDescent="0.35">
      <c r="A25" s="121" t="s">
        <v>164</v>
      </c>
      <c r="B25" s="122" t="s">
        <v>165</v>
      </c>
      <c r="C25" s="123">
        <v>0.36</v>
      </c>
      <c r="D25" s="123" t="s">
        <v>114</v>
      </c>
      <c r="E25" s="123">
        <v>1.3</v>
      </c>
      <c r="F25" s="124" t="s">
        <v>115</v>
      </c>
      <c r="G25" s="125">
        <v>0.55000000000000004</v>
      </c>
      <c r="H25" s="123" t="s">
        <v>140</v>
      </c>
      <c r="I25" s="126">
        <v>0.43</v>
      </c>
      <c r="J25" s="77"/>
      <c r="K25" s="77"/>
      <c r="L25" s="77"/>
      <c r="M25" s="77"/>
      <c r="N25" s="77"/>
    </row>
    <row r="26" spans="1:14" x14ac:dyDescent="0.35">
      <c r="A26" s="121" t="s">
        <v>23</v>
      </c>
      <c r="B26" s="122" t="s">
        <v>166</v>
      </c>
      <c r="C26" s="123">
        <v>0.56000000000000005</v>
      </c>
      <c r="D26" s="123" t="s">
        <v>114</v>
      </c>
      <c r="E26" s="123">
        <v>1.56</v>
      </c>
      <c r="F26" s="124" t="s">
        <v>115</v>
      </c>
      <c r="G26" s="125">
        <v>0.53</v>
      </c>
      <c r="H26" s="123" t="s">
        <v>167</v>
      </c>
      <c r="I26" s="126">
        <v>0.25</v>
      </c>
      <c r="J26" s="77"/>
      <c r="K26" s="77"/>
      <c r="L26" s="77"/>
      <c r="M26" s="77"/>
      <c r="N26" s="77"/>
    </row>
    <row r="27" spans="1:14" x14ac:dyDescent="0.35">
      <c r="A27" s="121" t="s">
        <v>168</v>
      </c>
      <c r="B27" s="122" t="s">
        <v>169</v>
      </c>
      <c r="C27" s="123">
        <v>0.51</v>
      </c>
      <c r="D27" s="123" t="s">
        <v>114</v>
      </c>
      <c r="E27" s="123">
        <v>1.56</v>
      </c>
      <c r="F27" s="124" t="s">
        <v>115</v>
      </c>
      <c r="G27" s="125">
        <v>0.53</v>
      </c>
      <c r="H27" s="123" t="s">
        <v>167</v>
      </c>
      <c r="I27" s="126">
        <v>0.25</v>
      </c>
      <c r="J27" s="77"/>
      <c r="K27" s="77"/>
      <c r="L27" s="77"/>
      <c r="M27" s="77"/>
      <c r="N27" s="77"/>
    </row>
    <row r="28" spans="1:14" x14ac:dyDescent="0.35">
      <c r="A28" s="121" t="s">
        <v>170</v>
      </c>
      <c r="B28" s="122" t="s">
        <v>171</v>
      </c>
      <c r="C28" s="123">
        <v>0.51</v>
      </c>
      <c r="D28" s="123" t="s">
        <v>114</v>
      </c>
      <c r="E28" s="123">
        <v>1.56</v>
      </c>
      <c r="F28" s="124" t="s">
        <v>115</v>
      </c>
      <c r="G28" s="125">
        <v>0.53</v>
      </c>
      <c r="H28" s="123" t="s">
        <v>167</v>
      </c>
      <c r="I28" s="126">
        <v>0.25</v>
      </c>
      <c r="J28" s="77"/>
      <c r="K28" s="77"/>
      <c r="L28" s="77"/>
      <c r="M28" s="77"/>
      <c r="N28" s="77"/>
    </row>
    <row r="29" spans="1:14" x14ac:dyDescent="0.35">
      <c r="A29" s="121" t="s">
        <v>172</v>
      </c>
      <c r="B29" s="122" t="s">
        <v>172</v>
      </c>
      <c r="C29" s="123">
        <v>0.56000000000000005</v>
      </c>
      <c r="D29" s="123" t="s">
        <v>114</v>
      </c>
      <c r="E29" s="123">
        <v>1.56</v>
      </c>
      <c r="F29" s="124" t="s">
        <v>115</v>
      </c>
      <c r="G29" s="125">
        <v>0.53</v>
      </c>
      <c r="H29" s="123" t="s">
        <v>167</v>
      </c>
      <c r="I29" s="126">
        <v>0.25</v>
      </c>
      <c r="J29" s="77"/>
      <c r="K29" s="77"/>
      <c r="L29" s="77"/>
      <c r="M29" s="77"/>
      <c r="N29" s="77"/>
    </row>
    <row r="30" spans="1:14" x14ac:dyDescent="0.35">
      <c r="A30" s="121" t="s">
        <v>173</v>
      </c>
      <c r="B30" s="122" t="s">
        <v>174</v>
      </c>
      <c r="C30" s="123">
        <v>0.55000000000000004</v>
      </c>
      <c r="D30" s="123" t="s">
        <v>114</v>
      </c>
      <c r="E30" s="123">
        <v>1.56</v>
      </c>
      <c r="F30" s="124" t="s">
        <v>115</v>
      </c>
      <c r="G30" s="125">
        <v>0.53</v>
      </c>
      <c r="H30" s="123" t="s">
        <v>140</v>
      </c>
      <c r="I30" s="126">
        <v>0.25</v>
      </c>
      <c r="J30" s="77"/>
      <c r="K30" s="77"/>
      <c r="L30" s="77"/>
      <c r="M30" s="77"/>
      <c r="N30" s="77"/>
    </row>
    <row r="31" spans="1:14" x14ac:dyDescent="0.35">
      <c r="A31" s="121" t="s">
        <v>175</v>
      </c>
      <c r="B31" s="122" t="s">
        <v>176</v>
      </c>
      <c r="C31" s="123">
        <v>0.56000000000000005</v>
      </c>
      <c r="D31" s="123" t="s">
        <v>114</v>
      </c>
      <c r="E31" s="123">
        <v>1.56</v>
      </c>
      <c r="F31" s="124" t="s">
        <v>115</v>
      </c>
      <c r="G31" s="125">
        <v>0.43</v>
      </c>
      <c r="H31" s="123" t="s">
        <v>116</v>
      </c>
      <c r="I31" s="126">
        <v>0.25</v>
      </c>
      <c r="J31" s="77"/>
      <c r="K31" s="77"/>
      <c r="L31" s="77"/>
      <c r="M31" s="77"/>
      <c r="N31" s="77"/>
    </row>
    <row r="32" spans="1:14" x14ac:dyDescent="0.35">
      <c r="A32" s="121" t="s">
        <v>177</v>
      </c>
      <c r="B32" s="122" t="s">
        <v>178</v>
      </c>
      <c r="C32" s="123">
        <v>0.48</v>
      </c>
      <c r="D32" s="123" t="s">
        <v>114</v>
      </c>
      <c r="E32" s="123">
        <v>1.3</v>
      </c>
      <c r="F32" s="124" t="s">
        <v>115</v>
      </c>
      <c r="G32" s="125">
        <v>0.6</v>
      </c>
      <c r="H32" s="123" t="s">
        <v>179</v>
      </c>
      <c r="I32" s="126">
        <v>0.43</v>
      </c>
      <c r="J32" s="77"/>
      <c r="K32" s="77"/>
      <c r="L32" s="77"/>
      <c r="M32" s="77"/>
      <c r="N32" s="77"/>
    </row>
    <row r="33" spans="1:14" x14ac:dyDescent="0.35">
      <c r="A33" s="121" t="s">
        <v>180</v>
      </c>
      <c r="B33" s="122" t="s">
        <v>181</v>
      </c>
      <c r="C33" s="123">
        <v>0.42</v>
      </c>
      <c r="D33" s="123" t="s">
        <v>114</v>
      </c>
      <c r="E33" s="123">
        <v>1.3</v>
      </c>
      <c r="F33" s="124" t="s">
        <v>115</v>
      </c>
      <c r="G33" s="125">
        <v>0.6</v>
      </c>
      <c r="H33" s="123" t="s">
        <v>179</v>
      </c>
      <c r="I33" s="126">
        <v>0.43</v>
      </c>
      <c r="J33" s="77"/>
      <c r="K33" s="77"/>
      <c r="L33" s="77"/>
      <c r="M33" s="77"/>
      <c r="N33" s="77"/>
    </row>
    <row r="34" spans="1:14" x14ac:dyDescent="0.35">
      <c r="A34" s="121" t="s">
        <v>182</v>
      </c>
      <c r="B34" s="122" t="s">
        <v>183</v>
      </c>
      <c r="C34" s="123">
        <v>0.42</v>
      </c>
      <c r="D34" s="123" t="s">
        <v>184</v>
      </c>
      <c r="E34" s="123">
        <v>1.3</v>
      </c>
      <c r="F34" s="124" t="s">
        <v>115</v>
      </c>
      <c r="G34" s="125">
        <v>0.6</v>
      </c>
      <c r="H34" s="122" t="s">
        <v>185</v>
      </c>
      <c r="I34" s="126">
        <v>0.43</v>
      </c>
      <c r="J34" s="77"/>
      <c r="K34" s="77"/>
      <c r="L34" s="77"/>
      <c r="M34" s="77"/>
      <c r="N34" s="77"/>
    </row>
    <row r="35" spans="1:14" x14ac:dyDescent="0.35">
      <c r="A35" s="121" t="s">
        <v>27</v>
      </c>
      <c r="B35" s="122" t="s">
        <v>186</v>
      </c>
      <c r="C35" s="123">
        <v>0.5</v>
      </c>
      <c r="D35" s="123" t="s">
        <v>114</v>
      </c>
      <c r="E35" s="123">
        <v>1.56</v>
      </c>
      <c r="F35" s="124" t="s">
        <v>115</v>
      </c>
      <c r="G35" s="125">
        <v>0.43</v>
      </c>
      <c r="H35" s="123" t="s">
        <v>116</v>
      </c>
      <c r="I35" s="126">
        <v>0.25</v>
      </c>
      <c r="J35" s="77"/>
      <c r="K35" s="77"/>
      <c r="L35" s="77"/>
      <c r="M35" s="77"/>
      <c r="N35" s="77"/>
    </row>
    <row r="36" spans="1:14" x14ac:dyDescent="0.35">
      <c r="A36" s="121" t="s">
        <v>187</v>
      </c>
      <c r="B36" s="122" t="s">
        <v>188</v>
      </c>
      <c r="C36" s="123">
        <v>0.55000000000000004</v>
      </c>
      <c r="D36" s="123" t="s">
        <v>114</v>
      </c>
      <c r="E36" s="123">
        <v>1.56</v>
      </c>
      <c r="F36" s="124" t="s">
        <v>115</v>
      </c>
      <c r="G36" s="125">
        <v>0.53</v>
      </c>
      <c r="H36" s="123" t="s">
        <v>167</v>
      </c>
      <c r="I36" s="126">
        <v>0.25</v>
      </c>
      <c r="J36" s="77"/>
      <c r="K36" s="77"/>
      <c r="L36" s="77"/>
      <c r="M36" s="77"/>
      <c r="N36" s="77"/>
    </row>
    <row r="37" spans="1:14" x14ac:dyDescent="0.35">
      <c r="A37" s="121" t="s">
        <v>189</v>
      </c>
      <c r="B37" s="122" t="s">
        <v>190</v>
      </c>
      <c r="C37" s="123">
        <v>0.52</v>
      </c>
      <c r="D37" s="123" t="s">
        <v>114</v>
      </c>
      <c r="E37" s="123">
        <v>1.56</v>
      </c>
      <c r="F37" s="124" t="s">
        <v>115</v>
      </c>
      <c r="G37" s="125">
        <v>0.53</v>
      </c>
      <c r="H37" s="123" t="s">
        <v>167</v>
      </c>
      <c r="I37" s="126">
        <v>0.25</v>
      </c>
      <c r="J37" s="77"/>
      <c r="K37" s="77"/>
      <c r="L37" s="77"/>
      <c r="M37" s="77"/>
      <c r="N37" s="77"/>
    </row>
    <row r="38" spans="1:14" x14ac:dyDescent="0.35">
      <c r="A38" s="121" t="s">
        <v>191</v>
      </c>
      <c r="B38" s="122" t="s">
        <v>192</v>
      </c>
      <c r="C38" s="123">
        <v>0.52</v>
      </c>
      <c r="D38" s="123" t="s">
        <v>114</v>
      </c>
      <c r="E38" s="123">
        <v>1.56</v>
      </c>
      <c r="F38" s="124" t="s">
        <v>115</v>
      </c>
      <c r="G38" s="125">
        <v>0.43</v>
      </c>
      <c r="H38" s="123" t="s">
        <v>116</v>
      </c>
      <c r="I38" s="126">
        <v>0.25</v>
      </c>
      <c r="J38" s="77"/>
      <c r="K38" s="77"/>
      <c r="L38" s="77"/>
      <c r="M38" s="77"/>
      <c r="N38" s="77"/>
    </row>
    <row r="39" spans="1:14" x14ac:dyDescent="0.35">
      <c r="A39" s="121" t="s">
        <v>193</v>
      </c>
      <c r="B39" s="122" t="s">
        <v>194</v>
      </c>
      <c r="C39" s="123">
        <v>0.313</v>
      </c>
      <c r="D39" s="123" t="s">
        <v>195</v>
      </c>
      <c r="E39" s="123">
        <v>1.56</v>
      </c>
      <c r="F39" s="124" t="s">
        <v>115</v>
      </c>
      <c r="G39" s="125">
        <v>0.6</v>
      </c>
      <c r="H39" s="123" t="s">
        <v>196</v>
      </c>
      <c r="I39" s="126">
        <v>1.03</v>
      </c>
      <c r="J39" s="77"/>
      <c r="K39" s="77"/>
      <c r="L39" s="77"/>
      <c r="M39" s="77"/>
      <c r="N39" s="77"/>
    </row>
    <row r="40" spans="1:14" x14ac:dyDescent="0.35">
      <c r="A40" s="121" t="s">
        <v>197</v>
      </c>
      <c r="B40" s="122" t="s">
        <v>194</v>
      </c>
      <c r="C40" s="123">
        <v>0.35199999999999998</v>
      </c>
      <c r="D40" s="123" t="s">
        <v>195</v>
      </c>
      <c r="E40" s="123">
        <v>1.56</v>
      </c>
      <c r="F40" s="124" t="s">
        <v>115</v>
      </c>
      <c r="G40" s="125">
        <v>0.6</v>
      </c>
      <c r="H40" s="123" t="s">
        <v>196</v>
      </c>
      <c r="I40" s="126">
        <v>1.03</v>
      </c>
      <c r="J40" s="77"/>
      <c r="K40" s="77"/>
      <c r="L40" s="77"/>
      <c r="M40" s="77"/>
      <c r="N40" s="77"/>
    </row>
    <row r="41" spans="1:14" x14ac:dyDescent="0.35">
      <c r="A41" s="121" t="s">
        <v>198</v>
      </c>
      <c r="B41" s="122" t="s">
        <v>194</v>
      </c>
      <c r="C41" s="123">
        <v>0.32200000000000001</v>
      </c>
      <c r="D41" s="123" t="s">
        <v>195</v>
      </c>
      <c r="E41" s="123">
        <v>1.56</v>
      </c>
      <c r="F41" s="124" t="s">
        <v>115</v>
      </c>
      <c r="G41" s="125">
        <v>0.6</v>
      </c>
      <c r="H41" s="123" t="s">
        <v>196</v>
      </c>
      <c r="I41" s="126">
        <v>1.03</v>
      </c>
      <c r="J41" s="77"/>
      <c r="K41" s="77"/>
      <c r="L41" s="77"/>
      <c r="M41" s="77"/>
      <c r="N41" s="77"/>
    </row>
    <row r="42" spans="1:14" x14ac:dyDescent="0.35">
      <c r="A42" s="121" t="s">
        <v>199</v>
      </c>
      <c r="B42" s="122" t="s">
        <v>194</v>
      </c>
      <c r="C42" s="123">
        <v>0.311</v>
      </c>
      <c r="D42" s="123" t="s">
        <v>195</v>
      </c>
      <c r="E42" s="123">
        <v>1.56</v>
      </c>
      <c r="F42" s="124" t="s">
        <v>115</v>
      </c>
      <c r="G42" s="125">
        <v>0.6</v>
      </c>
      <c r="H42" s="123" t="s">
        <v>196</v>
      </c>
      <c r="I42" s="126">
        <v>1.03</v>
      </c>
      <c r="J42" s="77"/>
      <c r="K42" s="77"/>
      <c r="L42" s="77"/>
      <c r="M42" s="77"/>
      <c r="N42" s="77"/>
    </row>
    <row r="43" spans="1:14" x14ac:dyDescent="0.35">
      <c r="A43" s="121" t="s">
        <v>200</v>
      </c>
      <c r="B43" s="122" t="s">
        <v>194</v>
      </c>
      <c r="C43" s="123">
        <v>0.33900000000000002</v>
      </c>
      <c r="D43" s="123" t="s">
        <v>195</v>
      </c>
      <c r="E43" s="123">
        <v>1.56</v>
      </c>
      <c r="F43" s="124" t="s">
        <v>115</v>
      </c>
      <c r="G43" s="125">
        <v>0.6</v>
      </c>
      <c r="H43" s="123" t="s">
        <v>196</v>
      </c>
      <c r="I43" s="126">
        <v>1.03</v>
      </c>
      <c r="J43" s="77"/>
      <c r="K43" s="77"/>
      <c r="L43" s="77"/>
      <c r="M43" s="77"/>
      <c r="N43" s="77"/>
    </row>
    <row r="44" spans="1:14" x14ac:dyDescent="0.35">
      <c r="A44" s="121" t="s">
        <v>201</v>
      </c>
      <c r="B44" s="122" t="s">
        <v>194</v>
      </c>
      <c r="C44" s="123">
        <v>0.33600000000000002</v>
      </c>
      <c r="D44" s="123" t="s">
        <v>195</v>
      </c>
      <c r="E44" s="123">
        <v>1.56</v>
      </c>
      <c r="F44" s="124" t="s">
        <v>115</v>
      </c>
      <c r="G44" s="125">
        <v>0.6</v>
      </c>
      <c r="H44" s="123" t="s">
        <v>196</v>
      </c>
      <c r="I44" s="126">
        <v>1.03</v>
      </c>
      <c r="J44" s="77"/>
      <c r="K44" s="77"/>
      <c r="L44" s="77"/>
      <c r="M44" s="77"/>
      <c r="N44" s="77"/>
    </row>
    <row r="45" spans="1:14" x14ac:dyDescent="0.35">
      <c r="A45" s="121" t="s">
        <v>202</v>
      </c>
      <c r="B45" s="122" t="s">
        <v>194</v>
      </c>
      <c r="C45" s="123">
        <v>0.32900000000000001</v>
      </c>
      <c r="D45" s="123" t="s">
        <v>195</v>
      </c>
      <c r="E45" s="123">
        <v>1.56</v>
      </c>
      <c r="F45" s="124" t="s">
        <v>115</v>
      </c>
      <c r="G45" s="125">
        <v>0.6</v>
      </c>
      <c r="H45" s="123" t="s">
        <v>196</v>
      </c>
      <c r="I45" s="126">
        <v>1.03</v>
      </c>
      <c r="J45" s="77"/>
      <c r="K45" s="77"/>
      <c r="L45" s="77"/>
      <c r="M45" s="77"/>
      <c r="N45" s="77"/>
    </row>
    <row r="46" spans="1:14" x14ac:dyDescent="0.35">
      <c r="A46" s="121" t="s">
        <v>203</v>
      </c>
      <c r="B46" s="122" t="s">
        <v>194</v>
      </c>
      <c r="C46" s="123">
        <v>0.34300000000000003</v>
      </c>
      <c r="D46" s="123" t="s">
        <v>195</v>
      </c>
      <c r="E46" s="123">
        <v>1.56</v>
      </c>
      <c r="F46" s="124" t="s">
        <v>115</v>
      </c>
      <c r="G46" s="125">
        <v>0.6</v>
      </c>
      <c r="H46" s="123" t="s">
        <v>196</v>
      </c>
      <c r="I46" s="126">
        <v>1.03</v>
      </c>
      <c r="J46" s="77"/>
      <c r="K46" s="77"/>
      <c r="L46" s="77"/>
      <c r="M46" s="77"/>
      <c r="N46" s="77"/>
    </row>
    <row r="47" spans="1:14" x14ac:dyDescent="0.35">
      <c r="A47" s="121" t="s">
        <v>204</v>
      </c>
      <c r="B47" s="122" t="s">
        <v>194</v>
      </c>
      <c r="C47" s="123">
        <v>0.32500000000000001</v>
      </c>
      <c r="D47" s="123" t="s">
        <v>195</v>
      </c>
      <c r="E47" s="123">
        <v>1.56</v>
      </c>
      <c r="F47" s="124" t="s">
        <v>115</v>
      </c>
      <c r="G47" s="125">
        <v>0.6</v>
      </c>
      <c r="H47" s="123" t="s">
        <v>196</v>
      </c>
      <c r="I47" s="126">
        <v>1.03</v>
      </c>
      <c r="J47" s="77"/>
      <c r="K47" s="77"/>
      <c r="L47" s="77"/>
      <c r="M47" s="77"/>
      <c r="N47" s="77"/>
    </row>
    <row r="48" spans="1:14" x14ac:dyDescent="0.35">
      <c r="A48" s="121" t="s">
        <v>205</v>
      </c>
      <c r="B48" s="122" t="s">
        <v>194</v>
      </c>
      <c r="C48" s="123">
        <v>0.32</v>
      </c>
      <c r="D48" s="123" t="s">
        <v>195</v>
      </c>
      <c r="E48" s="123">
        <v>1.56</v>
      </c>
      <c r="F48" s="124" t="s">
        <v>115</v>
      </c>
      <c r="G48" s="125">
        <v>0.6</v>
      </c>
      <c r="H48" s="123" t="s">
        <v>196</v>
      </c>
      <c r="I48" s="126">
        <v>1.03</v>
      </c>
      <c r="J48" s="77"/>
      <c r="K48" s="77"/>
      <c r="L48" s="77"/>
      <c r="M48" s="77"/>
      <c r="N48" s="77"/>
    </row>
    <row r="49" spans="1:14" x14ac:dyDescent="0.35">
      <c r="A49" s="121" t="s">
        <v>206</v>
      </c>
      <c r="B49" s="122" t="s">
        <v>194</v>
      </c>
      <c r="C49" s="123">
        <v>0.28199999999999997</v>
      </c>
      <c r="D49" s="123" t="s">
        <v>195</v>
      </c>
      <c r="E49" s="123">
        <v>1.56</v>
      </c>
      <c r="F49" s="124" t="s">
        <v>115</v>
      </c>
      <c r="G49" s="125">
        <v>0.6</v>
      </c>
      <c r="H49" s="123" t="s">
        <v>196</v>
      </c>
      <c r="I49" s="126">
        <v>1.03</v>
      </c>
      <c r="J49" s="77"/>
      <c r="K49" s="77"/>
      <c r="L49" s="77"/>
      <c r="M49" s="77"/>
      <c r="N49" s="77"/>
    </row>
    <row r="50" spans="1:14" x14ac:dyDescent="0.35">
      <c r="A50" s="121" t="s">
        <v>207</v>
      </c>
      <c r="B50" s="122" t="s">
        <v>194</v>
      </c>
      <c r="C50" s="123">
        <v>0.32800000000000001</v>
      </c>
      <c r="D50" s="123" t="s">
        <v>195</v>
      </c>
      <c r="E50" s="123">
        <v>1.56</v>
      </c>
      <c r="F50" s="124" t="s">
        <v>115</v>
      </c>
      <c r="G50" s="125">
        <v>0.6</v>
      </c>
      <c r="H50" s="123" t="s">
        <v>196</v>
      </c>
      <c r="I50" s="126">
        <v>1.03</v>
      </c>
      <c r="J50" s="77"/>
      <c r="K50" s="77"/>
      <c r="L50" s="77"/>
      <c r="M50" s="77"/>
      <c r="N50" s="77"/>
    </row>
    <row r="51" spans="1:14" x14ac:dyDescent="0.35">
      <c r="A51" s="121" t="s">
        <v>208</v>
      </c>
      <c r="B51" s="122" t="s">
        <v>194</v>
      </c>
      <c r="C51" s="123">
        <v>0.32600000000000001</v>
      </c>
      <c r="D51" s="123" t="s">
        <v>195</v>
      </c>
      <c r="E51" s="123">
        <v>1.56</v>
      </c>
      <c r="F51" s="124" t="s">
        <v>115</v>
      </c>
      <c r="G51" s="125">
        <v>0.6</v>
      </c>
      <c r="H51" s="123" t="s">
        <v>196</v>
      </c>
      <c r="I51" s="126">
        <v>1.03</v>
      </c>
      <c r="J51" s="77"/>
      <c r="K51" s="77"/>
      <c r="L51" s="77"/>
      <c r="M51" s="77"/>
      <c r="N51" s="77"/>
    </row>
    <row r="52" spans="1:14" x14ac:dyDescent="0.35">
      <c r="A52" s="121" t="s">
        <v>209</v>
      </c>
      <c r="B52" s="122" t="s">
        <v>194</v>
      </c>
      <c r="C52" s="123">
        <v>0.35899999999999999</v>
      </c>
      <c r="D52" s="123" t="s">
        <v>195</v>
      </c>
      <c r="E52" s="123">
        <v>1.56</v>
      </c>
      <c r="F52" s="124" t="s">
        <v>115</v>
      </c>
      <c r="G52" s="125">
        <v>0.6</v>
      </c>
      <c r="H52" s="123" t="s">
        <v>196</v>
      </c>
      <c r="I52" s="126">
        <v>1.03</v>
      </c>
      <c r="J52" s="77"/>
      <c r="K52" s="77"/>
      <c r="L52" s="77"/>
      <c r="M52" s="77"/>
      <c r="N52" s="77"/>
    </row>
    <row r="53" spans="1:14" x14ac:dyDescent="0.35">
      <c r="A53" s="121" t="s">
        <v>210</v>
      </c>
      <c r="B53" s="122" t="s">
        <v>194</v>
      </c>
      <c r="C53" s="123">
        <v>0.34599999999999997</v>
      </c>
      <c r="D53" s="123" t="s">
        <v>195</v>
      </c>
      <c r="E53" s="123">
        <v>1.56</v>
      </c>
      <c r="F53" s="124" t="s">
        <v>115</v>
      </c>
      <c r="G53" s="125">
        <v>0.6</v>
      </c>
      <c r="H53" s="123" t="s">
        <v>196</v>
      </c>
      <c r="I53" s="126">
        <v>1.03</v>
      </c>
      <c r="J53" s="77"/>
      <c r="K53" s="77"/>
      <c r="L53" s="77"/>
      <c r="M53" s="77"/>
      <c r="N53" s="77"/>
    </row>
    <row r="54" spans="1:14" x14ac:dyDescent="0.35">
      <c r="A54" s="121" t="s">
        <v>211</v>
      </c>
      <c r="B54" s="122" t="s">
        <v>194</v>
      </c>
      <c r="C54" s="123">
        <v>0.32600000000000001</v>
      </c>
      <c r="D54" s="123" t="s">
        <v>195</v>
      </c>
      <c r="E54" s="123">
        <v>1.56</v>
      </c>
      <c r="F54" s="124" t="s">
        <v>115</v>
      </c>
      <c r="G54" s="125">
        <v>0.6</v>
      </c>
      <c r="H54" s="123" t="s">
        <v>196</v>
      </c>
      <c r="I54" s="126">
        <v>1.03</v>
      </c>
      <c r="J54" s="77"/>
      <c r="K54" s="77"/>
      <c r="L54" s="77"/>
      <c r="M54" s="77"/>
      <c r="N54" s="77"/>
    </row>
    <row r="55" spans="1:14" x14ac:dyDescent="0.35">
      <c r="A55" s="121" t="s">
        <v>212</v>
      </c>
      <c r="B55" s="122" t="s">
        <v>194</v>
      </c>
      <c r="C55" s="123">
        <v>0.30499999999999999</v>
      </c>
      <c r="D55" s="123" t="s">
        <v>195</v>
      </c>
      <c r="E55" s="123">
        <v>1.56</v>
      </c>
      <c r="F55" s="124" t="s">
        <v>115</v>
      </c>
      <c r="G55" s="125">
        <v>0.6</v>
      </c>
      <c r="H55" s="123" t="s">
        <v>196</v>
      </c>
      <c r="I55" s="126">
        <v>1.03</v>
      </c>
      <c r="J55" s="77"/>
      <c r="K55" s="77"/>
      <c r="L55" s="77"/>
      <c r="M55" s="77"/>
      <c r="N55" s="77"/>
    </row>
    <row r="56" spans="1:14" x14ac:dyDescent="0.35">
      <c r="A56" s="121" t="s">
        <v>213</v>
      </c>
      <c r="B56" s="122" t="s">
        <v>194</v>
      </c>
      <c r="C56" s="123">
        <v>0.32300000000000001</v>
      </c>
      <c r="D56" s="123" t="s">
        <v>195</v>
      </c>
      <c r="E56" s="123">
        <v>1.56</v>
      </c>
      <c r="F56" s="124" t="s">
        <v>115</v>
      </c>
      <c r="G56" s="125">
        <v>0.6</v>
      </c>
      <c r="H56" s="123" t="s">
        <v>196</v>
      </c>
      <c r="I56" s="126">
        <v>1.03</v>
      </c>
      <c r="J56" s="77"/>
      <c r="K56" s="77"/>
      <c r="L56" s="77"/>
      <c r="M56" s="77"/>
      <c r="N56" s="77"/>
    </row>
    <row r="57" spans="1:14" x14ac:dyDescent="0.35">
      <c r="A57" s="121" t="s">
        <v>214</v>
      </c>
      <c r="B57" s="122" t="s">
        <v>194</v>
      </c>
      <c r="C57" s="123">
        <v>0.36699999999999999</v>
      </c>
      <c r="D57" s="123" t="s">
        <v>195</v>
      </c>
      <c r="E57" s="123">
        <v>1.56</v>
      </c>
      <c r="F57" s="124" t="s">
        <v>115</v>
      </c>
      <c r="G57" s="125">
        <v>0.6</v>
      </c>
      <c r="H57" s="123" t="s">
        <v>196</v>
      </c>
      <c r="I57" s="126">
        <v>1.03</v>
      </c>
      <c r="J57" s="77"/>
      <c r="K57" s="77"/>
      <c r="L57" s="77"/>
      <c r="M57" s="77"/>
      <c r="N57" s="77"/>
    </row>
    <row r="58" spans="1:14" x14ac:dyDescent="0.35">
      <c r="A58" s="121" t="s">
        <v>215</v>
      </c>
      <c r="B58" s="122" t="s">
        <v>194</v>
      </c>
      <c r="C58" s="123">
        <v>0.36</v>
      </c>
      <c r="D58" s="123" t="s">
        <v>195</v>
      </c>
      <c r="E58" s="123">
        <v>1.56</v>
      </c>
      <c r="F58" s="124" t="s">
        <v>115</v>
      </c>
      <c r="G58" s="125">
        <v>0.6</v>
      </c>
      <c r="H58" s="123" t="s">
        <v>196</v>
      </c>
      <c r="I58" s="126">
        <v>1.03</v>
      </c>
      <c r="J58" s="77"/>
      <c r="K58" s="77"/>
      <c r="L58" s="77"/>
      <c r="M58" s="77"/>
      <c r="N58" s="77"/>
    </row>
    <row r="59" spans="1:14" x14ac:dyDescent="0.35">
      <c r="A59" s="121" t="s">
        <v>216</v>
      </c>
      <c r="B59" s="122" t="s">
        <v>194</v>
      </c>
      <c r="C59" s="123">
        <v>0.36799999999999999</v>
      </c>
      <c r="D59" s="123" t="s">
        <v>195</v>
      </c>
      <c r="E59" s="123">
        <v>1.56</v>
      </c>
      <c r="F59" s="124" t="s">
        <v>115</v>
      </c>
      <c r="G59" s="125">
        <v>0.6</v>
      </c>
      <c r="H59" s="123" t="s">
        <v>196</v>
      </c>
      <c r="I59" s="126">
        <v>1.03</v>
      </c>
      <c r="J59" s="77"/>
      <c r="K59" s="77"/>
      <c r="L59" s="77"/>
      <c r="M59" s="77"/>
      <c r="N59" s="77"/>
    </row>
    <row r="60" spans="1:14" x14ac:dyDescent="0.35">
      <c r="A60" s="121" t="s">
        <v>217</v>
      </c>
      <c r="B60" s="122" t="s">
        <v>194</v>
      </c>
      <c r="C60" s="123">
        <v>0.30599999999999999</v>
      </c>
      <c r="D60" s="123" t="s">
        <v>195</v>
      </c>
      <c r="E60" s="123">
        <v>1.56</v>
      </c>
      <c r="F60" s="124" t="s">
        <v>115</v>
      </c>
      <c r="G60" s="125">
        <v>0.6</v>
      </c>
      <c r="H60" s="123" t="s">
        <v>196</v>
      </c>
      <c r="I60" s="126">
        <v>1.03</v>
      </c>
      <c r="J60" s="77"/>
      <c r="K60" s="77"/>
      <c r="L60" s="77"/>
      <c r="M60" s="77"/>
      <c r="N60" s="77"/>
    </row>
    <row r="61" spans="1:14" x14ac:dyDescent="0.35">
      <c r="A61" s="121" t="s">
        <v>218</v>
      </c>
      <c r="B61" s="122" t="s">
        <v>194</v>
      </c>
      <c r="C61" s="123">
        <v>0.313</v>
      </c>
      <c r="D61" s="123" t="s">
        <v>195</v>
      </c>
      <c r="E61" s="123">
        <v>1.56</v>
      </c>
      <c r="F61" s="124" t="s">
        <v>115</v>
      </c>
      <c r="G61" s="125">
        <v>0.6</v>
      </c>
      <c r="H61" s="123" t="s">
        <v>196</v>
      </c>
      <c r="I61" s="126">
        <v>1.03</v>
      </c>
      <c r="J61" s="77"/>
      <c r="K61" s="77"/>
      <c r="L61" s="77"/>
      <c r="M61" s="77"/>
      <c r="N61" s="77"/>
    </row>
    <row r="62" spans="1:14" x14ac:dyDescent="0.35">
      <c r="A62" s="121" t="s">
        <v>219</v>
      </c>
      <c r="B62" s="122" t="s">
        <v>220</v>
      </c>
      <c r="C62" s="123">
        <v>0.37</v>
      </c>
      <c r="D62" s="123" t="s">
        <v>114</v>
      </c>
      <c r="E62" s="123">
        <v>1.56</v>
      </c>
      <c r="F62" s="124" t="s">
        <v>115</v>
      </c>
      <c r="G62" s="125">
        <v>0.6</v>
      </c>
      <c r="H62" s="123" t="s">
        <v>196</v>
      </c>
      <c r="I62" s="126">
        <v>1.03</v>
      </c>
      <c r="J62" s="77"/>
      <c r="K62" s="77"/>
      <c r="L62" s="77"/>
      <c r="M62" s="77"/>
      <c r="N62" s="77"/>
    </row>
    <row r="63" spans="1:14" x14ac:dyDescent="0.35">
      <c r="A63" s="121" t="s">
        <v>221</v>
      </c>
      <c r="B63" s="122" t="s">
        <v>222</v>
      </c>
      <c r="C63" s="123">
        <v>0.45</v>
      </c>
      <c r="D63" s="123" t="s">
        <v>114</v>
      </c>
      <c r="E63" s="123">
        <v>1.3</v>
      </c>
      <c r="F63" s="124" t="s">
        <v>115</v>
      </c>
      <c r="G63" s="125">
        <v>0.45</v>
      </c>
      <c r="H63" s="123" t="s">
        <v>223</v>
      </c>
      <c r="I63" s="126">
        <v>0.43</v>
      </c>
      <c r="J63" s="77"/>
      <c r="K63" s="77"/>
      <c r="L63" s="77"/>
      <c r="M63" s="77"/>
      <c r="N63" s="77"/>
    </row>
    <row r="64" spans="1:14" x14ac:dyDescent="0.35">
      <c r="A64" s="121" t="s">
        <v>224</v>
      </c>
      <c r="B64" s="122" t="s">
        <v>225</v>
      </c>
      <c r="C64" s="123">
        <v>0.39</v>
      </c>
      <c r="D64" s="123" t="s">
        <v>114</v>
      </c>
      <c r="E64" s="123">
        <v>1.3</v>
      </c>
      <c r="F64" s="124" t="s">
        <v>115</v>
      </c>
      <c r="G64" s="125">
        <v>0.45</v>
      </c>
      <c r="H64" s="123" t="s">
        <v>223</v>
      </c>
      <c r="I64" s="126">
        <v>0.43</v>
      </c>
      <c r="J64" s="77"/>
      <c r="K64" s="77"/>
      <c r="L64" s="77"/>
      <c r="M64" s="77"/>
      <c r="N64" s="77"/>
    </row>
    <row r="65" spans="1:14" x14ac:dyDescent="0.35">
      <c r="A65" s="121" t="s">
        <v>226</v>
      </c>
      <c r="B65" s="122" t="s">
        <v>227</v>
      </c>
      <c r="C65" s="123">
        <v>0.44</v>
      </c>
      <c r="D65" s="123" t="s">
        <v>114</v>
      </c>
      <c r="E65" s="123">
        <v>1.3</v>
      </c>
      <c r="F65" s="124" t="s">
        <v>115</v>
      </c>
      <c r="G65" s="125">
        <v>0.45</v>
      </c>
      <c r="H65" s="123" t="s">
        <v>223</v>
      </c>
      <c r="I65" s="126">
        <v>0.43</v>
      </c>
      <c r="J65" s="77"/>
      <c r="K65" s="77"/>
      <c r="L65" s="77"/>
      <c r="M65" s="77"/>
      <c r="N65" s="77"/>
    </row>
    <row r="66" spans="1:14" x14ac:dyDescent="0.35">
      <c r="A66" s="121" t="s">
        <v>228</v>
      </c>
      <c r="B66" s="122" t="s">
        <v>229</v>
      </c>
      <c r="C66" s="123">
        <v>0.46</v>
      </c>
      <c r="D66" s="123" t="s">
        <v>114</v>
      </c>
      <c r="E66" s="123">
        <v>1.3</v>
      </c>
      <c r="F66" s="124" t="s">
        <v>115</v>
      </c>
      <c r="G66" s="125">
        <v>0.45</v>
      </c>
      <c r="H66" s="123" t="s">
        <v>223</v>
      </c>
      <c r="I66" s="126">
        <v>0.43</v>
      </c>
      <c r="J66" s="77"/>
      <c r="K66" s="77"/>
      <c r="L66" s="77"/>
      <c r="M66" s="77"/>
      <c r="N66" s="77"/>
    </row>
    <row r="67" spans="1:14" x14ac:dyDescent="0.35">
      <c r="A67" s="121" t="s">
        <v>19</v>
      </c>
      <c r="B67" s="122" t="s">
        <v>230</v>
      </c>
      <c r="C67" s="123">
        <v>0.46</v>
      </c>
      <c r="D67" s="123" t="s">
        <v>114</v>
      </c>
      <c r="E67" s="123">
        <v>1.3</v>
      </c>
      <c r="F67" s="124" t="s">
        <v>115</v>
      </c>
      <c r="G67" s="125">
        <v>0.45</v>
      </c>
      <c r="H67" s="123" t="s">
        <v>140</v>
      </c>
      <c r="I67" s="126">
        <v>0.59</v>
      </c>
      <c r="J67" s="77"/>
      <c r="K67" s="77"/>
      <c r="L67" s="77"/>
      <c r="M67" s="77"/>
      <c r="N67" s="77"/>
    </row>
    <row r="68" spans="1:14" x14ac:dyDescent="0.35">
      <c r="A68" s="121" t="s">
        <v>231</v>
      </c>
      <c r="B68" s="122" t="s">
        <v>232</v>
      </c>
      <c r="C68" s="123">
        <v>0.44</v>
      </c>
      <c r="D68" s="123" t="s">
        <v>114</v>
      </c>
      <c r="E68" s="123">
        <v>1.3</v>
      </c>
      <c r="F68" s="124" t="s">
        <v>115</v>
      </c>
      <c r="G68" s="125">
        <v>0.45</v>
      </c>
      <c r="H68" s="123" t="s">
        <v>223</v>
      </c>
      <c r="I68" s="126">
        <v>0.43</v>
      </c>
      <c r="J68" s="77"/>
      <c r="K68" s="77"/>
      <c r="L68" s="77"/>
      <c r="M68" s="77"/>
      <c r="N68" s="77"/>
    </row>
    <row r="69" spans="1:14" x14ac:dyDescent="0.35">
      <c r="A69" s="121" t="s">
        <v>233</v>
      </c>
      <c r="B69" s="122" t="s">
        <v>234</v>
      </c>
      <c r="C69" s="123">
        <v>0.46</v>
      </c>
      <c r="D69" s="123" t="s">
        <v>114</v>
      </c>
      <c r="E69" s="123">
        <v>1.3</v>
      </c>
      <c r="F69" s="124" t="s">
        <v>115</v>
      </c>
      <c r="G69" s="125">
        <v>0.45</v>
      </c>
      <c r="H69" s="123" t="s">
        <v>223</v>
      </c>
      <c r="I69" s="126">
        <v>0.43</v>
      </c>
      <c r="J69" s="77"/>
      <c r="K69" s="77"/>
      <c r="L69" s="77"/>
      <c r="M69" s="77"/>
      <c r="N69" s="77"/>
    </row>
    <row r="70" spans="1:14" x14ac:dyDescent="0.35">
      <c r="A70" s="121" t="s">
        <v>235</v>
      </c>
      <c r="B70" s="122" t="s">
        <v>236</v>
      </c>
      <c r="C70" s="123">
        <v>0.48</v>
      </c>
      <c r="D70" s="123" t="s">
        <v>114</v>
      </c>
      <c r="E70" s="123">
        <v>2.4</v>
      </c>
      <c r="F70" s="123" t="s">
        <v>237</v>
      </c>
      <c r="G70" s="125">
        <v>0.45</v>
      </c>
      <c r="H70" s="123" t="s">
        <v>223</v>
      </c>
      <c r="I70" s="126">
        <v>0.43</v>
      </c>
      <c r="J70" s="77"/>
      <c r="K70" s="77"/>
      <c r="L70" s="77"/>
      <c r="M70" s="77"/>
      <c r="N70" s="77"/>
    </row>
    <row r="71" spans="1:14" x14ac:dyDescent="0.35">
      <c r="A71" s="121" t="s">
        <v>238</v>
      </c>
      <c r="B71" s="122" t="s">
        <v>239</v>
      </c>
      <c r="C71" s="123">
        <v>0.46</v>
      </c>
      <c r="D71" s="123" t="s">
        <v>240</v>
      </c>
      <c r="E71" s="123">
        <v>1.3</v>
      </c>
      <c r="F71" s="124" t="s">
        <v>115</v>
      </c>
      <c r="G71" s="125">
        <v>0.45</v>
      </c>
      <c r="H71" s="123" t="s">
        <v>223</v>
      </c>
      <c r="I71" s="126">
        <v>0.43</v>
      </c>
      <c r="J71" s="77"/>
      <c r="K71" s="77"/>
      <c r="L71" s="77"/>
      <c r="M71" s="77"/>
      <c r="N71" s="77"/>
    </row>
    <row r="72" spans="1:14" x14ac:dyDescent="0.35">
      <c r="A72" s="121" t="s">
        <v>241</v>
      </c>
      <c r="B72" s="122" t="s">
        <v>242</v>
      </c>
      <c r="C72" s="123">
        <v>0.44</v>
      </c>
      <c r="D72" s="123" t="s">
        <v>114</v>
      </c>
      <c r="E72" s="123">
        <v>1.3</v>
      </c>
      <c r="F72" s="124" t="s">
        <v>115</v>
      </c>
      <c r="G72" s="125">
        <v>0.45</v>
      </c>
      <c r="H72" s="123" t="s">
        <v>223</v>
      </c>
      <c r="I72" s="126">
        <v>0.43</v>
      </c>
      <c r="J72" s="77"/>
      <c r="K72" s="77"/>
      <c r="L72" s="77"/>
      <c r="M72" s="77"/>
      <c r="N72" s="77"/>
    </row>
    <row r="73" spans="1:14" x14ac:dyDescent="0.35">
      <c r="A73" s="121" t="s">
        <v>243</v>
      </c>
      <c r="B73" s="122" t="s">
        <v>244</v>
      </c>
      <c r="C73" s="123">
        <v>0.46</v>
      </c>
      <c r="D73" s="123" t="s">
        <v>245</v>
      </c>
      <c r="E73" s="123">
        <v>1.3</v>
      </c>
      <c r="F73" s="124" t="s">
        <v>115</v>
      </c>
      <c r="G73" s="125">
        <v>0.45</v>
      </c>
      <c r="H73" s="123" t="s">
        <v>223</v>
      </c>
      <c r="I73" s="126">
        <v>0.43</v>
      </c>
      <c r="J73" s="77"/>
      <c r="K73" s="77"/>
      <c r="L73" s="77"/>
      <c r="M73" s="77"/>
      <c r="N73" s="77"/>
    </row>
    <row r="74" spans="1:14" x14ac:dyDescent="0.35">
      <c r="A74" s="121" t="s">
        <v>246</v>
      </c>
      <c r="B74" s="122" t="s">
        <v>247</v>
      </c>
      <c r="C74" s="123">
        <v>0.34</v>
      </c>
      <c r="D74" s="123" t="s">
        <v>114</v>
      </c>
      <c r="E74" s="123">
        <v>1.3</v>
      </c>
      <c r="F74" s="124" t="s">
        <v>115</v>
      </c>
      <c r="G74" s="125">
        <v>0.45</v>
      </c>
      <c r="H74" s="123" t="s">
        <v>223</v>
      </c>
      <c r="I74" s="126">
        <v>0.43</v>
      </c>
      <c r="J74" s="77"/>
      <c r="K74" s="77"/>
      <c r="L74" s="77"/>
      <c r="M74" s="77"/>
      <c r="N74" s="77"/>
    </row>
    <row r="75" spans="1:14" x14ac:dyDescent="0.35">
      <c r="A75" s="121" t="s">
        <v>248</v>
      </c>
      <c r="B75" s="122" t="s">
        <v>249</v>
      </c>
      <c r="C75" s="123">
        <v>0.5</v>
      </c>
      <c r="D75" s="123" t="s">
        <v>114</v>
      </c>
      <c r="E75" s="123">
        <v>1.56</v>
      </c>
      <c r="F75" s="124" t="s">
        <v>115</v>
      </c>
      <c r="G75" s="125">
        <v>0.53</v>
      </c>
      <c r="H75" s="123" t="s">
        <v>167</v>
      </c>
      <c r="I75" s="126">
        <v>0.25</v>
      </c>
      <c r="J75" s="77"/>
      <c r="K75" s="77"/>
      <c r="L75" s="77"/>
      <c r="M75" s="77"/>
      <c r="N75" s="77"/>
    </row>
    <row r="76" spans="1:14" x14ac:dyDescent="0.35">
      <c r="A76" s="121" t="s">
        <v>250</v>
      </c>
      <c r="B76" s="122" t="s">
        <v>251</v>
      </c>
      <c r="C76" s="123">
        <v>0.57999999999999996</v>
      </c>
      <c r="D76" s="123" t="s">
        <v>114</v>
      </c>
      <c r="E76" s="123">
        <v>1.56</v>
      </c>
      <c r="F76" s="124" t="s">
        <v>115</v>
      </c>
      <c r="G76" s="125">
        <v>0.3</v>
      </c>
      <c r="H76" s="123" t="s">
        <v>252</v>
      </c>
      <c r="I76" s="126">
        <v>0.25</v>
      </c>
      <c r="J76" s="77"/>
      <c r="K76" s="77"/>
      <c r="L76" s="77"/>
      <c r="M76" s="77"/>
      <c r="N76" s="77"/>
    </row>
    <row r="77" spans="1:14" x14ac:dyDescent="0.35">
      <c r="A77" s="121" t="s">
        <v>253</v>
      </c>
      <c r="B77" s="122" t="s">
        <v>254</v>
      </c>
      <c r="C77" s="123">
        <v>0.37</v>
      </c>
      <c r="D77" s="123" t="s">
        <v>114</v>
      </c>
      <c r="E77" s="123">
        <v>1.3</v>
      </c>
      <c r="F77" s="124" t="s">
        <v>115</v>
      </c>
      <c r="G77" s="125">
        <v>0.55000000000000004</v>
      </c>
      <c r="H77" s="123" t="s">
        <v>140</v>
      </c>
      <c r="I77" s="126">
        <v>0.43</v>
      </c>
      <c r="J77" s="77"/>
      <c r="K77" s="77"/>
      <c r="L77" s="77"/>
      <c r="M77" s="77"/>
      <c r="N77" s="77"/>
    </row>
    <row r="78" spans="1:14" x14ac:dyDescent="0.35">
      <c r="A78" s="121" t="s">
        <v>255</v>
      </c>
      <c r="B78" s="122" t="s">
        <v>256</v>
      </c>
      <c r="C78" s="123">
        <v>0.37</v>
      </c>
      <c r="D78" s="123" t="s">
        <v>114</v>
      </c>
      <c r="E78" s="123">
        <v>1.3</v>
      </c>
      <c r="F78" s="124" t="s">
        <v>115</v>
      </c>
      <c r="G78" s="125">
        <v>0.55000000000000004</v>
      </c>
      <c r="H78" s="123" t="s">
        <v>140</v>
      </c>
      <c r="I78" s="126">
        <v>0.43</v>
      </c>
      <c r="J78" s="77"/>
      <c r="K78" s="77"/>
      <c r="L78" s="77"/>
      <c r="M78" s="77"/>
      <c r="N78" s="77"/>
    </row>
    <row r="79" spans="1:14" x14ac:dyDescent="0.35">
      <c r="A79" s="121" t="s">
        <v>257</v>
      </c>
      <c r="B79" s="122" t="s">
        <v>258</v>
      </c>
      <c r="C79" s="123">
        <v>0.38</v>
      </c>
      <c r="D79" s="123" t="s">
        <v>114</v>
      </c>
      <c r="E79" s="123">
        <v>1.3</v>
      </c>
      <c r="F79" s="124" t="s">
        <v>115</v>
      </c>
      <c r="G79" s="125">
        <v>0.55000000000000004</v>
      </c>
      <c r="H79" s="123" t="s">
        <v>131</v>
      </c>
      <c r="I79" s="126">
        <v>0.43</v>
      </c>
      <c r="J79" s="77"/>
      <c r="K79" s="77"/>
      <c r="L79" s="77"/>
      <c r="M79" s="77"/>
      <c r="N79" s="77"/>
    </row>
    <row r="80" spans="1:14" x14ac:dyDescent="0.35">
      <c r="A80" s="121" t="s">
        <v>259</v>
      </c>
      <c r="B80" s="122" t="s">
        <v>260</v>
      </c>
      <c r="C80" s="123">
        <v>0.36</v>
      </c>
      <c r="D80" s="123" t="s">
        <v>114</v>
      </c>
      <c r="E80" s="123">
        <v>1.3</v>
      </c>
      <c r="F80" s="124" t="s">
        <v>115</v>
      </c>
      <c r="G80" s="125">
        <v>0.55000000000000004</v>
      </c>
      <c r="H80" s="123" t="s">
        <v>131</v>
      </c>
      <c r="I80" s="126">
        <v>0.43</v>
      </c>
      <c r="J80" s="77"/>
      <c r="K80" s="77"/>
      <c r="L80" s="77"/>
      <c r="M80" s="77"/>
      <c r="N80" s="77"/>
    </row>
    <row r="81" spans="1:14" x14ac:dyDescent="0.35">
      <c r="A81" s="121" t="s">
        <v>261</v>
      </c>
      <c r="B81" s="122" t="s">
        <v>262</v>
      </c>
      <c r="C81" s="123">
        <v>0.37</v>
      </c>
      <c r="D81" s="123" t="s">
        <v>114</v>
      </c>
      <c r="E81" s="123">
        <v>1.56</v>
      </c>
      <c r="F81" s="124" t="s">
        <v>115</v>
      </c>
      <c r="G81" s="125">
        <v>0.43</v>
      </c>
      <c r="H81" s="123" t="s">
        <v>116</v>
      </c>
      <c r="I81" s="126">
        <v>0.25</v>
      </c>
      <c r="J81" s="77"/>
      <c r="K81" s="77"/>
      <c r="L81" s="77"/>
      <c r="M81" s="77"/>
      <c r="N81" s="77"/>
    </row>
    <row r="82" spans="1:14" x14ac:dyDescent="0.35">
      <c r="A82" s="121" t="s">
        <v>263</v>
      </c>
      <c r="B82" s="122" t="s">
        <v>264</v>
      </c>
      <c r="C82" s="123">
        <v>0.35</v>
      </c>
      <c r="D82" s="123" t="s">
        <v>265</v>
      </c>
      <c r="E82" s="123">
        <v>1.3</v>
      </c>
      <c r="F82" s="124" t="s">
        <v>115</v>
      </c>
      <c r="G82" s="125">
        <v>0.55000000000000004</v>
      </c>
      <c r="H82" s="123" t="s">
        <v>131</v>
      </c>
      <c r="I82" s="126">
        <v>0.43</v>
      </c>
      <c r="J82" s="77"/>
      <c r="K82" s="77"/>
      <c r="L82" s="77"/>
      <c r="M82" s="77"/>
      <c r="N82" s="77"/>
    </row>
    <row r="83" spans="1:14" x14ac:dyDescent="0.35">
      <c r="A83" s="121" t="s">
        <v>266</v>
      </c>
      <c r="B83" s="122" t="s">
        <v>267</v>
      </c>
      <c r="C83" s="123">
        <v>0.34</v>
      </c>
      <c r="D83" s="123" t="s">
        <v>114</v>
      </c>
      <c r="E83" s="123">
        <v>1.3</v>
      </c>
      <c r="F83" s="124" t="s">
        <v>115</v>
      </c>
      <c r="G83" s="125">
        <v>0.55000000000000004</v>
      </c>
      <c r="H83" s="123" t="s">
        <v>131</v>
      </c>
      <c r="I83" s="126">
        <v>0.43</v>
      </c>
      <c r="J83" s="77"/>
      <c r="K83" s="77"/>
      <c r="L83" s="77"/>
      <c r="M83" s="77"/>
      <c r="N83" s="77"/>
    </row>
    <row r="84" spans="1:14" x14ac:dyDescent="0.35">
      <c r="A84" s="121" t="s">
        <v>268</v>
      </c>
      <c r="B84" s="122" t="s">
        <v>269</v>
      </c>
      <c r="C84" s="123">
        <v>0.31</v>
      </c>
      <c r="D84" s="123" t="s">
        <v>114</v>
      </c>
      <c r="E84" s="123">
        <v>1.3</v>
      </c>
      <c r="F84" s="124" t="s">
        <v>115</v>
      </c>
      <c r="G84" s="125">
        <v>0.55000000000000004</v>
      </c>
      <c r="H84" s="123" t="s">
        <v>131</v>
      </c>
      <c r="I84" s="126">
        <v>0.43</v>
      </c>
      <c r="J84" s="77"/>
      <c r="K84" s="77"/>
      <c r="L84" s="77"/>
      <c r="M84" s="77"/>
      <c r="N84" s="77"/>
    </row>
    <row r="85" spans="1:14" x14ac:dyDescent="0.35">
      <c r="A85" s="121" t="s">
        <v>270</v>
      </c>
      <c r="B85" s="122" t="s">
        <v>271</v>
      </c>
      <c r="C85" s="123">
        <v>0.43</v>
      </c>
      <c r="D85" s="123" t="s">
        <v>114</v>
      </c>
      <c r="E85" s="123">
        <v>1.56</v>
      </c>
      <c r="F85" s="124" t="s">
        <v>115</v>
      </c>
      <c r="G85" s="125">
        <v>0.53</v>
      </c>
      <c r="H85" s="123" t="s">
        <v>167</v>
      </c>
      <c r="I85" s="126">
        <v>0.25</v>
      </c>
      <c r="J85" s="77"/>
      <c r="K85" s="77"/>
      <c r="L85" s="77"/>
      <c r="M85" s="77"/>
      <c r="N85" s="77"/>
    </row>
    <row r="86" spans="1:14" x14ac:dyDescent="0.35">
      <c r="A86" s="121" t="s">
        <v>272</v>
      </c>
      <c r="B86" s="122" t="s">
        <v>273</v>
      </c>
      <c r="C86" s="123">
        <v>0.38</v>
      </c>
      <c r="D86" s="123" t="s">
        <v>114</v>
      </c>
      <c r="E86" s="123">
        <v>1.56</v>
      </c>
      <c r="F86" s="124" t="s">
        <v>115</v>
      </c>
      <c r="G86" s="125">
        <v>0.6</v>
      </c>
      <c r="H86" s="123" t="s">
        <v>274</v>
      </c>
      <c r="I86" s="126">
        <v>0.25</v>
      </c>
      <c r="J86" s="77"/>
      <c r="K86" s="77"/>
      <c r="L86" s="77"/>
      <c r="M86" s="77"/>
      <c r="N86" s="77"/>
    </row>
    <row r="87" spans="1:14" x14ac:dyDescent="0.35">
      <c r="A87" s="250" t="s">
        <v>275</v>
      </c>
      <c r="B87" s="251" t="s">
        <v>276</v>
      </c>
      <c r="C87" s="252">
        <v>0.41</v>
      </c>
      <c r="D87" s="252" t="s">
        <v>277</v>
      </c>
      <c r="E87" s="252">
        <v>1.56</v>
      </c>
      <c r="F87" s="253" t="s">
        <v>115</v>
      </c>
      <c r="G87" s="254">
        <v>0.43</v>
      </c>
      <c r="H87" s="252" t="s">
        <v>116</v>
      </c>
      <c r="I87" s="255">
        <v>0.25</v>
      </c>
      <c r="J87" s="77"/>
      <c r="K87" s="77"/>
      <c r="L87" s="77"/>
      <c r="M87" s="77"/>
      <c r="N87" s="77"/>
    </row>
    <row r="88" spans="1:14" x14ac:dyDescent="0.35">
      <c r="A88" s="121" t="s">
        <v>74</v>
      </c>
      <c r="B88" s="129"/>
      <c r="C88" s="123">
        <v>0.42</v>
      </c>
      <c r="D88" s="123" t="s">
        <v>114</v>
      </c>
      <c r="E88" s="123">
        <v>1.3</v>
      </c>
      <c r="F88" s="124" t="s">
        <v>115</v>
      </c>
      <c r="G88" s="130"/>
      <c r="H88" s="129"/>
      <c r="I88" s="131"/>
    </row>
    <row r="89" spans="1:14" ht="15" thickBot="1" x14ac:dyDescent="0.4">
      <c r="A89" s="132" t="s">
        <v>278</v>
      </c>
      <c r="B89" s="133"/>
      <c r="C89" s="134">
        <v>0.56999999999999995</v>
      </c>
      <c r="D89" s="135" t="s">
        <v>114</v>
      </c>
      <c r="E89" s="134">
        <v>1.56</v>
      </c>
      <c r="F89" s="134" t="s">
        <v>115</v>
      </c>
      <c r="G89" s="133"/>
      <c r="H89" s="133"/>
      <c r="I89" s="136"/>
    </row>
    <row r="93" spans="1:14" x14ac:dyDescent="0.35">
      <c r="A93" s="121" t="s">
        <v>75</v>
      </c>
    </row>
    <row r="94" spans="1:14" x14ac:dyDescent="0.35">
      <c r="A94" s="121" t="s">
        <v>76</v>
      </c>
    </row>
    <row r="95" spans="1:14" x14ac:dyDescent="0.35">
      <c r="A95" s="121" t="s">
        <v>77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Normal="100" workbookViewId="0">
      <selection activeCell="C20" sqref="C20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7" t="s">
        <v>279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9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7" t="s">
        <v>280</v>
      </c>
      <c r="B5" s="138" t="s">
        <v>281</v>
      </c>
      <c r="C5" s="139" t="str">
        <f>Calculateur!S2</f>
        <v>ΔStock moyen de long terme (tCO₂/ha)</v>
      </c>
      <c r="D5" s="139" t="str">
        <f>Calculateur!T2</f>
        <v>Δstock CO₂ 30 ans (tCO₂/ha)</v>
      </c>
      <c r="E5" s="139" t="s">
        <v>282</v>
      </c>
      <c r="F5" s="139" t="s">
        <v>283</v>
      </c>
      <c r="G5" s="139" t="s">
        <v>284</v>
      </c>
      <c r="H5" s="140" t="s">
        <v>285</v>
      </c>
      <c r="I5" s="141" t="s">
        <v>286</v>
      </c>
      <c r="J5" s="142" t="s">
        <v>287</v>
      </c>
      <c r="K5" s="143" t="s">
        <v>288</v>
      </c>
      <c r="L5" s="83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4" t="str">
        <f>IF('Données projet'!$B$9="","",'Données projet'!$B$9)</f>
        <v>Chêne sessile</v>
      </c>
      <c r="B6" s="145">
        <f>'Données projet'!D9</f>
        <v>8.8919999999999995</v>
      </c>
      <c r="C6" s="146">
        <f ca="1">IF(OR('Données projet'!B9="",'Données projet'!C9="",'Données projet'!C9=0%),0,Calculateur!S3)</f>
        <v>695.0879239758051</v>
      </c>
      <c r="D6" s="146">
        <f>IF(OR('Données projet'!B9="",'Données projet'!C9="",'Données projet'!C9=0%),0,Calculateur!T3)</f>
        <v>226.22150997227476</v>
      </c>
      <c r="E6" s="146">
        <f ca="1">MIN(C6,D6)</f>
        <v>226.22150997227476</v>
      </c>
      <c r="F6" s="146">
        <f ca="1">E6*B6</f>
        <v>2011.561666673467</v>
      </c>
      <c r="G6" s="146">
        <f ca="1">F6*(100%-'Données projet'!$C$24)*(100%-'Données projet'!$C$25)*(100%-'Données projet'!$C$26)*(100%-'Données projet'!$C$27)</f>
        <v>1629.3649500055083</v>
      </c>
      <c r="H6" s="147">
        <f>IF(OR('Données projet'!B9="",'Données projet'!C9="",'Données projet'!C9=0%),0,AVERAGE(Calculateur!$AC$3:$AC$33)*B6)</f>
        <v>0</v>
      </c>
      <c r="I6" s="148">
        <f>H6*(100%-'Données projet'!$C$24)*(100%-'Données projet'!$C$25)*(100%-'Données projet'!$C$26)*(100%-'Données projet'!$C$27)</f>
        <v>0</v>
      </c>
      <c r="J6" s="149">
        <f>IF(OR('Données projet'!B9="",'Données projet'!C9="",'Données projet'!C9=0%),0,SUM(Calculateur!$V$3:$V$33)*VLOOKUP('Données projet'!$B$9,Paramètres!$A$1:$I$89,9,0)*B6)</f>
        <v>0</v>
      </c>
      <c r="K6" s="150">
        <f>J6*(100%-'Données projet'!$C$24)*(100%-'Données projet'!$C$25)*(100%-'Données projet'!$C$26)*(100%-'Données projet'!$C$27)</f>
        <v>0</v>
      </c>
      <c r="L6" s="151">
        <f ca="1">G6+I6+K6</f>
        <v>1629.3649500055083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2" t="str">
        <f>IF('Données projet'!$B$10="","",'Données projet'!$B$10)</f>
        <v>Pin maritime</v>
      </c>
      <c r="B7" s="153">
        <f>'Données projet'!D10</f>
        <v>0.46799999999999997</v>
      </c>
      <c r="C7" s="146">
        <f ca="1">IF(OR('Données projet'!B10="",'Données projet'!C10="",'Données projet'!C10=0%),0,Calculateur!AN3)</f>
        <v>388.12151914648013</v>
      </c>
      <c r="D7" s="146">
        <f>IF(OR('Données projet'!B10="",'Données projet'!C10="",'Données projet'!C10=0%),0,Calculateur!AO3)</f>
        <v>481.43684454382793</v>
      </c>
      <c r="E7" s="146">
        <f t="shared" ref="E7:E15" ca="1" si="0">MIN(C7,D7)</f>
        <v>388.12151914648013</v>
      </c>
      <c r="F7" s="146">
        <f t="shared" ref="F7:F15" ca="1" si="1">E7*B7</f>
        <v>181.64087096055269</v>
      </c>
      <c r="G7" s="146">
        <f ca="1">F7*(100%-'Données projet'!$C$24)*(100%-'Données projet'!$C$25)*(100%-'Données projet'!$C$26)*(100%-'Données projet'!$C$27)</f>
        <v>147.12910547804771</v>
      </c>
      <c r="H7" s="154">
        <f>IF(OR('Données projet'!B10="",'Données projet'!C10="",'Données projet'!C10=0%),0,AVERAGE(Calculateur!$AX$3:$AX$33)*B7)</f>
        <v>6.6439227015574165</v>
      </c>
      <c r="I7" s="148">
        <f>H7*(100%-'Données projet'!$C$24)*(100%-'Données projet'!$C$25)*(100%-'Données projet'!$C$26)*(100%-'Données projet'!$C$27)</f>
        <v>5.3815773882615074</v>
      </c>
      <c r="J7" s="149">
        <f>IF(OR('Données projet'!B10="",'Données projet'!C10="",'Données projet'!C10=0%),0,SUM(Calculateur!$AQ$3:$AQ$33)*VLOOKUP('Données projet'!$B$10,Paramètres!$A$1:$I$89,9,0)*B7)</f>
        <v>44.673454800000002</v>
      </c>
      <c r="K7" s="150">
        <f>J7*(100%-'Données projet'!$C$24)*(100%-'Données projet'!$C$25)*(100%-'Données projet'!$C$26)*(100%-'Données projet'!$C$27)</f>
        <v>36.185498388000006</v>
      </c>
      <c r="L7" s="151">
        <f t="shared" ref="L7:L15" ca="1" si="2">G7+I7+K7</f>
        <v>188.69618125430924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2" t="str">
        <f>IF('Données projet'!$B$11="","",'Données projet'!$B$11)</f>
        <v>Charme</v>
      </c>
      <c r="B8" s="153">
        <f>'Données projet'!D11</f>
        <v>2.8079999999999998</v>
      </c>
      <c r="C8" s="146">
        <f ca="1">IF(OR('Données projet'!B11="",'Données projet'!C11="",'Données projet'!C11=0%),0,Calculateur!BI3)</f>
        <v>415.24818074059294</v>
      </c>
      <c r="D8" s="146">
        <f>IF(OR('Données projet'!B11="",'Données projet'!C11="",'Données projet'!C11=0%),0,Calculateur!BJ3)</f>
        <v>404.45811532046872</v>
      </c>
      <c r="E8" s="146">
        <f t="shared" ca="1" si="0"/>
        <v>404.45811532046872</v>
      </c>
      <c r="F8" s="146">
        <f t="shared" ca="1" si="1"/>
        <v>1135.7183878198762</v>
      </c>
      <c r="G8" s="146">
        <f ca="1">F8*(100%-'Données projet'!$C$24)*(100%-'Données projet'!$C$25)*(100%-'Données projet'!$C$26)*(100%-'Données projet'!$C$27)</f>
        <v>919.93189413409971</v>
      </c>
      <c r="H8" s="154">
        <f>IF(OR('Données projet'!B11="",'Données projet'!C11="",'Données projet'!C11=0%),0,AVERAGE(Calculateur!$BS$3:$BS$33)*B8)</f>
        <v>17.854056620101659</v>
      </c>
      <c r="I8" s="148">
        <f>H8*(100%-'Données projet'!$C$24)*(100%-'Données projet'!$C$25)*(100%-'Données projet'!$C$26)*(100%-'Données projet'!$C$27)</f>
        <v>14.461785862282344</v>
      </c>
      <c r="J8" s="149">
        <f>IF(OR('Données projet'!B11="",'Données projet'!C11="",'Données projet'!C11=0%),0,SUM(Calculateur!$BL$3:$BL$33)*VLOOKUP('Données projet'!$B$11,Paramètres!$A$1:$I$89,9,0)*B8)</f>
        <v>96.173999999999992</v>
      </c>
      <c r="K8" s="150">
        <f>J8*(100%-'Données projet'!$C$24)*(100%-'Données projet'!$C$25)*(100%-'Données projet'!$C$26)*(100%-'Données projet'!$C$27)</f>
        <v>77.900939999999991</v>
      </c>
      <c r="L8" s="151">
        <f t="shared" ca="1" si="2"/>
        <v>1012.294619996382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2" t="str">
        <f>IF('Données projet'!$B$12="","",'Données projet'!$B$12)</f>
        <v>Erable champêtre</v>
      </c>
      <c r="B9" s="153">
        <f>'Données projet'!D12</f>
        <v>2.8079999999999998</v>
      </c>
      <c r="C9" s="146">
        <f ca="1">IF(OR('Données projet'!B12="",'Données projet'!C12="",'Données projet'!C12=0%),0,Calculateur!CD3)</f>
        <v>384.34044781465661</v>
      </c>
      <c r="D9" s="146">
        <f>IF(OR('Données projet'!B12="",'Données projet'!C12="",'Données projet'!C12=0%),0,Calculateur!CE3)</f>
        <v>374.99493809709708</v>
      </c>
      <c r="E9" s="146">
        <f t="shared" ca="1" si="0"/>
        <v>374.99493809709708</v>
      </c>
      <c r="F9" s="146">
        <f t="shared" ca="1" si="1"/>
        <v>1052.9857861766486</v>
      </c>
      <c r="G9" s="146">
        <f ca="1">F9*(100%-'Données projet'!$C$24)*(100%-'Données projet'!$C$25)*(100%-'Données projet'!$C$26)*(100%-'Données projet'!$C$27)</f>
        <v>852.91848680308544</v>
      </c>
      <c r="H9" s="154">
        <f>IF(OR('Données projet'!B12="",'Données projet'!C12="",'Données projet'!C12=0%),0,AVERAGE(Calculateur!$CN$3:$CN$33)*B9)</f>
        <v>18.616907293418137</v>
      </c>
      <c r="I9" s="148">
        <f>H9*(100%-'Données projet'!$C$24)*(100%-'Données projet'!$C$25)*(100%-'Données projet'!$C$26)*(100%-'Données projet'!$C$27)</f>
        <v>15.079694907668692</v>
      </c>
      <c r="J9" s="149">
        <f>IF(OR('Données projet'!B12="",'Données projet'!C12="",'Données projet'!C12=0%),0,SUM(Calculateur!$CG$3:$CG$33)*VLOOKUP('Données projet'!$B$12,Paramètres!$A$1:$I$89,9,0)*B9)</f>
        <v>96.173999999999992</v>
      </c>
      <c r="K9" s="150">
        <f>J9*(100%-'Données projet'!$C$24)*(100%-'Données projet'!$C$25)*(100%-'Données projet'!$C$26)*(100%-'Données projet'!$C$27)</f>
        <v>77.900939999999991</v>
      </c>
      <c r="L9" s="151">
        <f t="shared" ca="1" si="2"/>
        <v>945.89912171075412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2" t="str">
        <f>IF('Données projet'!$B$13="","",'Données projet'!$B$13)</f>
        <v>Douglas</v>
      </c>
      <c r="B10" s="153">
        <f>'Données projet'!D13</f>
        <v>0.156</v>
      </c>
      <c r="C10" s="146">
        <f ca="1">IF(OR('Données projet'!B13="",'Données projet'!C13="",'Données projet'!C13=0%),0,Calculateur!CY3)</f>
        <v>386.66324266750968</v>
      </c>
      <c r="D10" s="146">
        <f>IF(OR('Données projet'!B13="",'Données projet'!C13="",'Données projet'!C13=0%),0,Calculateur!CZ3)</f>
        <v>356.22149461585769</v>
      </c>
      <c r="E10" s="146">
        <f t="shared" ca="1" si="0"/>
        <v>356.22149461585769</v>
      </c>
      <c r="F10" s="146">
        <f t="shared" ca="1" si="1"/>
        <v>55.5705531600738</v>
      </c>
      <c r="G10" s="146">
        <f ca="1">F10*(100%-'Données projet'!$C$24)*(100%-'Données projet'!$C$25)*(100%-'Données projet'!$C$26)*(100%-'Données projet'!$C$27)</f>
        <v>45.012148059659779</v>
      </c>
      <c r="H10" s="154">
        <f>IF(OR('Données projet'!B13="",'Données projet'!C13="",'Données projet'!C13=0%),0,AVERAGE(Calculateur!$DI$3:$DI$33)*B10)</f>
        <v>1.427091131659374</v>
      </c>
      <c r="I10" s="148">
        <f>H10*(100%-'Données projet'!$C$24)*(100%-'Données projet'!$C$25)*(100%-'Données projet'!$C$26)*(100%-'Données projet'!$C$27)</f>
        <v>1.155943816644093</v>
      </c>
      <c r="J10" s="149">
        <f>IF(OR('Données projet'!B13="",'Données projet'!C13="",'Données projet'!C13=0%),0,SUM(Calculateur!$DB$3:$DB$33)*VLOOKUP('Données projet'!$B$13,Paramètres!$A$1:$I$89,9,0)*B10)</f>
        <v>8.8706591999999986</v>
      </c>
      <c r="K10" s="150">
        <f>J10*(100%-'Données projet'!$C$24)*(100%-'Données projet'!$C$25)*(100%-'Données projet'!$C$26)*(100%-'Données projet'!$C$27)</f>
        <v>7.185233951999999</v>
      </c>
      <c r="L10" s="151">
        <f t="shared" ca="1" si="2"/>
        <v>53.353325828303866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2" t="str">
        <f>IF('Données projet'!$B$14="","",'Données projet'!$B$14)</f>
        <v>Merisier</v>
      </c>
      <c r="B11" s="153">
        <f>'Données projet'!D14</f>
        <v>0.156</v>
      </c>
      <c r="C11" s="146">
        <f ca="1">IF(OR('Données projet'!B14="",'Données projet'!C14="",'Données projet'!C14=0%),0,Calculateur!DT3)</f>
        <v>347.17417070871716</v>
      </c>
      <c r="D11" s="146">
        <f>IF(OR('Données projet'!B14="",'Données projet'!C14="",'Données projet'!C14=0%),0,Calculateur!DU3)</f>
        <v>339.56378046986441</v>
      </c>
      <c r="E11" s="146">
        <f t="shared" ca="1" si="0"/>
        <v>339.56378046986441</v>
      </c>
      <c r="F11" s="146">
        <f t="shared" ca="1" si="1"/>
        <v>52.971949753298851</v>
      </c>
      <c r="G11" s="146">
        <f ca="1">F11*(100%-'Données projet'!$C$24)*(100%-'Données projet'!$C$25)*(100%-'Données projet'!$C$26)*(100%-'Données projet'!$C$27)</f>
        <v>42.907279300172071</v>
      </c>
      <c r="H11" s="154">
        <f>IF(OR('Données projet'!B14="",'Données projet'!C14="",'Données projet'!C14=0%),0,AVERAGE(Calculateur!$ED$3:$ED$33)*B11)</f>
        <v>0.81302625774597714</v>
      </c>
      <c r="I11" s="148">
        <f>H11*(100%-'Données projet'!$C$24)*(100%-'Données projet'!$C$25)*(100%-'Données projet'!$C$26)*(100%-'Données projet'!$C$27)</f>
        <v>0.65855126877424153</v>
      </c>
      <c r="J11" s="149">
        <f>IF(OR('Données projet'!B14="",'Données projet'!C14="",'Données projet'!C14=0%),0,SUM(Calculateur!$DW$3:$DW$33)*VLOOKUP('Données projet'!$B$14,Paramètres!$A$1:$I$89,9,0)*B11)</f>
        <v>5.343</v>
      </c>
      <c r="K11" s="150">
        <f>J11*(100%-'Données projet'!$C$24)*(100%-'Données projet'!$C$25)*(100%-'Données projet'!$C$26)*(100%-'Données projet'!$C$27)</f>
        <v>4.3278300000000005</v>
      </c>
      <c r="L11" s="151">
        <f t="shared" ca="1" si="2"/>
        <v>47.893660568946309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2" t="str">
        <f>IF('Données projet'!$B$15="","",'Données projet'!$B$15)</f>
        <v>Chêne rouge d'Amérique</v>
      </c>
      <c r="B12" s="153">
        <f>'Données projet'!D15</f>
        <v>0.156</v>
      </c>
      <c r="C12" s="146">
        <f ca="1">IF(OR('Données projet'!B15="",'Données projet'!C15="",'Données projet'!C15=0%),0,Calculateur!EO3)</f>
        <v>384.34044781465661</v>
      </c>
      <c r="D12" s="146">
        <f>IF(OR('Données projet'!B15="",'Données projet'!C15="",'Données projet'!C15=0%),0,Calculateur!EP3)</f>
        <v>374.99493809709708</v>
      </c>
      <c r="E12" s="146">
        <f t="shared" ca="1" si="0"/>
        <v>374.99493809709708</v>
      </c>
      <c r="F12" s="146">
        <f t="shared" ca="1" si="1"/>
        <v>58.499210343147141</v>
      </c>
      <c r="G12" s="146">
        <f ca="1">F12*(100%-'Données projet'!$C$24)*(100%-'Données projet'!$C$25)*(100%-'Données projet'!$C$26)*(100%-'Données projet'!$C$27)</f>
        <v>47.384360377949186</v>
      </c>
      <c r="H12" s="154">
        <f>IF(OR('Données projet'!B15="",'Données projet'!C15="",'Données projet'!C15=0%),0,AVERAGE(Calculateur!$EY$3:$EY$33)*B12)</f>
        <v>0.91058940867549465</v>
      </c>
      <c r="I12" s="148">
        <f>H12*(100%-'Données projet'!$C$24)*(100%-'Données projet'!$C$25)*(100%-'Données projet'!$C$26)*(100%-'Données projet'!$C$27)</f>
        <v>0.73757742102715074</v>
      </c>
      <c r="J12" s="149">
        <f>IF(OR('Données projet'!B15="",'Données projet'!C15="",'Données projet'!C15=0%),0,SUM(Calculateur!$ER$3:$ER$33)*VLOOKUP('Données projet'!$B$15,Paramètres!$A$1:$I$89,9,0)*B12)</f>
        <v>5.343</v>
      </c>
      <c r="K12" s="150">
        <f>J12*(100%-'Données projet'!$C$24)*(100%-'Données projet'!$C$25)*(100%-'Données projet'!$C$26)*(100%-'Données projet'!$C$27)</f>
        <v>4.3278300000000005</v>
      </c>
      <c r="L12" s="151">
        <f t="shared" ca="1" si="2"/>
        <v>52.449767798976332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2" t="str">
        <f>IF('Données projet'!$B$16="","",'Données projet'!$B$16)</f>
        <v>Bouleau verruqueux</v>
      </c>
      <c r="B13" s="153">
        <f>'Données projet'!D16</f>
        <v>0.156</v>
      </c>
      <c r="C13" s="146">
        <f ca="1">IF(OR('Données projet'!B16="",'Données projet'!C16="",'Données projet'!C16=0%),0,Calculateur!FJ3)</f>
        <v>359.57284550600366</v>
      </c>
      <c r="D13" s="146">
        <f>IF(OR('Données projet'!B16="",'Données projet'!C16="",'Données projet'!C16=0%),0,Calculateur!FK3)</f>
        <v>351.38386928091433</v>
      </c>
      <c r="E13" s="146">
        <f t="shared" ca="1" si="0"/>
        <v>351.38386928091433</v>
      </c>
      <c r="F13" s="146">
        <f t="shared" ca="1" si="1"/>
        <v>54.815883607822634</v>
      </c>
      <c r="G13" s="146">
        <f ca="1">F13*(100%-'Données projet'!$C$24)*(100%-'Données projet'!$C$25)*(100%-'Données projet'!$C$26)*(100%-'Données projet'!$C$27)</f>
        <v>44.400865722336334</v>
      </c>
      <c r="H13" s="154">
        <f>IF(OR('Données projet'!B16="",'Données projet'!C16="",'Données projet'!C16=0%),0,AVERAGE(Calculateur!$FT$3:$FT$33)*B13)</f>
        <v>0.84554730805581624</v>
      </c>
      <c r="I13" s="148">
        <f>H13*(100%-'Données projet'!$C$24)*(100%-'Données projet'!$C$25)*(100%-'Données projet'!$C$26)*(100%-'Données projet'!$C$27)</f>
        <v>0.68489331952521115</v>
      </c>
      <c r="J13" s="149">
        <f>IF(OR('Données projet'!C16="",'Données projet'!C16=0%),0,SUM(Calculateur!$FM$3:$FM$33)*VLOOKUP('Données projet'!$B$16,Paramètres!$A$1:$I$89,9,0)*B13)</f>
        <v>5.343</v>
      </c>
      <c r="K13" s="150">
        <f>J13*(100%-'Données projet'!$C$24)*(100%-'Données projet'!$C$25)*(100%-'Données projet'!$C$26)*(100%-'Données projet'!$C$27)</f>
        <v>4.3278300000000005</v>
      </c>
      <c r="L13" s="151">
        <f t="shared" ca="1" si="2"/>
        <v>49.413589041861542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2" t="str">
        <f>IF('Données projet'!$B$17="","",'Données projet'!$B$17)</f>
        <v/>
      </c>
      <c r="B14" s="153">
        <f>'Données projet'!D17</f>
        <v>0</v>
      </c>
      <c r="C14" s="146">
        <f>IF(OR('Données projet'!B17="",'Données projet'!C17="",'Données projet'!C17=0%),0,Calculateur!GE3)</f>
        <v>0</v>
      </c>
      <c r="D14" s="146">
        <f>IF(OR('Données projet'!B17="",'Données projet'!C17="",'Données projet'!C17=0%),0,Calculateur!GF3)</f>
        <v>0</v>
      </c>
      <c r="E14" s="146">
        <f t="shared" si="0"/>
        <v>0</v>
      </c>
      <c r="F14" s="146">
        <f t="shared" si="1"/>
        <v>0</v>
      </c>
      <c r="G14" s="146">
        <f>F14*(100%-'Données projet'!$C$24)*(100%-'Données projet'!$C$25)*(100%-'Données projet'!$C$26)*(100%-'Données projet'!$C$27)</f>
        <v>0</v>
      </c>
      <c r="H14" s="154">
        <f>IF(OR('Données projet'!B17="",'Données projet'!C17="",'Données projet'!C17=0%),0,AVERAGE(Calculateur!$GO$3:$GO$33)*B14)</f>
        <v>0</v>
      </c>
      <c r="I14" s="148">
        <f>H14*(100%-'Données projet'!$C$24)*(100%-'Données projet'!$C$25)*(100%-'Données projet'!$C$26)*(100%-'Données projet'!$C$27)</f>
        <v>0</v>
      </c>
      <c r="J14" s="149">
        <f>IF(OR('Données projet'!B17="",'Données projet'!C17="",'Données projet'!C17=0%),0,SUM(Calculateur!$GH$3:$GH$33)*VLOOKUP('Données projet'!$B$17,Paramètres!$A$1:$I$89,9,0)*B14)</f>
        <v>0</v>
      </c>
      <c r="K14" s="150">
        <f>J14*(100%-'Données projet'!$C$24)*(100%-'Données projet'!$C$25)*(100%-'Données projet'!$C$26)*(100%-'Données projet'!$C$27)</f>
        <v>0</v>
      </c>
      <c r="L14" s="151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5" t="str">
        <f>IF('Données projet'!B18="","",'Données projet'!B18)</f>
        <v/>
      </c>
      <c r="B15" s="156">
        <f>'Données projet'!D18</f>
        <v>0</v>
      </c>
      <c r="C15" s="157">
        <f>IF(OR('Données projet'!B18="",'Données projet'!C18="",'Données projet'!C18=0%),0,Calculateur!GZ3)</f>
        <v>0</v>
      </c>
      <c r="D15" s="157">
        <f>IF(OR('Données projet'!B18="",'Données projet'!C18="",'Données projet'!C18=0%),0,Calculateur!HA3)</f>
        <v>0</v>
      </c>
      <c r="E15" s="157">
        <f t="shared" si="0"/>
        <v>0</v>
      </c>
      <c r="F15" s="158">
        <f t="shared" si="1"/>
        <v>0</v>
      </c>
      <c r="G15" s="158">
        <f>F15*(100%-'Données projet'!$C$24)*(100%-'Données projet'!$C$25)*(100%-'Données projet'!$C$26)*(100%-'Données projet'!$C$27)</f>
        <v>0</v>
      </c>
      <c r="H15" s="159">
        <f>IF(OR('Données projet'!B18="",'Données projet'!C18="",'Données projet'!C18=0%),0,AVERAGE(Calculateur!$HJ$3:$HJ$33)*B15)</f>
        <v>0</v>
      </c>
      <c r="I15" s="160">
        <f>H15*(100%-'Données projet'!$C$24)*(100%-'Données projet'!$C$25)*(100%-'Données projet'!$C$26)*(100%-'Données projet'!$C$27)</f>
        <v>0</v>
      </c>
      <c r="J15" s="161">
        <f>IF(OR('Données projet'!B18="",'Données projet'!C18="",'Données projet'!C18=0%),0,SUM(Calculateur!$HC$3:$HC$33)*VLOOKUP('Données projet'!$B$18,Paramètres!$A$1:$I$89,9,0)*B15)</f>
        <v>0</v>
      </c>
      <c r="K15" s="162">
        <f>J15*(100%-'Données projet'!$C$24)*(100%-'Données projet'!$C$25)*(100%-'Données projet'!$C$26)*(100%-'Données projet'!$C$27)</f>
        <v>0</v>
      </c>
      <c r="L15" s="163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8"/>
      <c r="B16" s="212"/>
      <c r="C16" s="213"/>
      <c r="D16" s="23"/>
      <c r="E16" s="23"/>
      <c r="F16" s="164">
        <f t="shared" ref="F16:L16" ca="1" si="3">SUM(F6:F15)</f>
        <v>4603.7643084948868</v>
      </c>
      <c r="G16" s="165">
        <f t="shared" ca="1" si="3"/>
        <v>3729.049089880858</v>
      </c>
      <c r="H16" s="166">
        <f t="shared" si="3"/>
        <v>47.111140721213864</v>
      </c>
      <c r="I16" s="166">
        <f t="shared" si="3"/>
        <v>38.160023984183226</v>
      </c>
      <c r="J16" s="167">
        <f t="shared" si="3"/>
        <v>261.92111399999999</v>
      </c>
      <c r="K16" s="167">
        <f t="shared" si="3"/>
        <v>212.15610234000002</v>
      </c>
      <c r="L16" s="168">
        <f t="shared" ca="1" si="3"/>
        <v>3979.3652162050416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8"/>
      <c r="B17" s="212"/>
      <c r="C17" s="213"/>
      <c r="D17" s="23"/>
      <c r="E17" s="23"/>
      <c r="F17" s="289" t="s">
        <v>290</v>
      </c>
      <c r="G17" s="290"/>
      <c r="H17" s="290"/>
      <c r="I17" s="290"/>
      <c r="J17" s="290"/>
      <c r="K17" s="290"/>
      <c r="L17" s="290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8"/>
      <c r="B18" s="212"/>
      <c r="C18" s="213"/>
      <c r="D18" s="23"/>
      <c r="E18" s="23"/>
      <c r="F18" s="276"/>
      <c r="G18" s="276"/>
      <c r="H18" s="276"/>
      <c r="I18" s="276"/>
      <c r="J18" s="276"/>
      <c r="K18" s="276"/>
      <c r="L18" s="276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69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69" t="str">
        <f>A7</f>
        <v>Pin maritime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69" t="str">
        <f>A8</f>
        <v>Charme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69" t="str">
        <f>A9</f>
        <v>Erable champêtre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69" t="str">
        <f>A10</f>
        <v>Douglas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69" t="str">
        <f>A11</f>
        <v>Merisier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69" t="str">
        <f>A12</f>
        <v>Chêne rouge d'Amérique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69" t="str">
        <f>A13</f>
        <v>Bouleau verruqueux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69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69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2" zoomScale="76" zoomScaleNormal="80" workbookViewId="0">
      <selection activeCell="M32" sqref="M32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7" t="s">
        <v>291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9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0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7" t="s">
        <v>292</v>
      </c>
      <c r="I4" s="267"/>
      <c r="K4" s="291" t="s">
        <v>293</v>
      </c>
      <c r="L4" s="292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1"/>
      <c r="I6" s="171"/>
      <c r="J6" s="171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1"/>
      <c r="B7" s="242"/>
      <c r="C7" s="242"/>
      <c r="D7" s="242"/>
      <c r="E7" s="243"/>
      <c r="F7" s="243" t="s">
        <v>4</v>
      </c>
      <c r="G7" s="244"/>
      <c r="H7" s="242"/>
      <c r="I7" s="242"/>
      <c r="J7" s="245"/>
      <c r="K7" s="239"/>
      <c r="L7" s="240"/>
      <c r="M7" s="240"/>
      <c r="N7" s="246" t="s">
        <v>60</v>
      </c>
      <c r="O7" s="246"/>
      <c r="P7" s="247"/>
      <c r="Q7" s="248"/>
      <c r="R7" s="301" t="s">
        <v>294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2" t="s">
        <v>295</v>
      </c>
      <c r="C9" s="23"/>
      <c r="D9" s="23"/>
      <c r="E9" s="23"/>
      <c r="F9" s="229"/>
      <c r="G9" s="92" t="s">
        <v>296</v>
      </c>
      <c r="J9" s="199"/>
      <c r="K9" s="207"/>
      <c r="O9" s="23"/>
      <c r="P9" s="23"/>
      <c r="Q9" s="233"/>
      <c r="R9" s="23"/>
      <c r="S9" s="4"/>
      <c r="T9" s="36" t="s">
        <v>297</v>
      </c>
      <c r="U9" s="175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2" t="s">
        <v>300</v>
      </c>
      <c r="C10" s="23"/>
      <c r="D10" s="23"/>
      <c r="E10" s="23"/>
      <c r="F10" s="229"/>
      <c r="G10" s="92" t="s">
        <v>301</v>
      </c>
      <c r="J10" s="199"/>
      <c r="K10" s="207"/>
      <c r="O10" s="23"/>
      <c r="P10" s="23"/>
      <c r="Q10" s="233"/>
      <c r="R10" s="23"/>
      <c r="S10" s="36" t="str">
        <f>B14</f>
        <v>Chêne sessile</v>
      </c>
      <c r="T10" s="176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1422.9228615072948</v>
      </c>
      <c r="U10" s="177">
        <f>'Données projet'!D9</f>
        <v>8.8919999999999995</v>
      </c>
      <c r="V10" s="176">
        <f>U10*T10</f>
        <v>12652.630084522865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2" t="s">
        <v>302</v>
      </c>
      <c r="B11" s="23"/>
      <c r="C11" s="23"/>
      <c r="D11" s="23"/>
      <c r="E11" s="23"/>
      <c r="F11" s="229"/>
      <c r="G11" s="92" t="s">
        <v>303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>Pin maritime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3513.9112897801297</v>
      </c>
      <c r="U11" s="177">
        <f>'Données projet'!D10</f>
        <v>0.46799999999999997</v>
      </c>
      <c r="V11" s="176">
        <f t="shared" ref="V11" si="0">U11*T11</f>
        <v>1644.5104836171006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>Charme</v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1292.2930758010384</v>
      </c>
      <c r="U12" s="177">
        <f>'Données projet'!D11</f>
        <v>2.8079999999999998</v>
      </c>
      <c r="V12" s="176">
        <f t="shared" ref="V12:V19" si="1">U12*T12</f>
        <v>3628.7589568493158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9"/>
      <c r="J13" s="23"/>
      <c r="K13" s="207"/>
      <c r="L13" s="92" t="s">
        <v>304</v>
      </c>
      <c r="M13" s="23"/>
      <c r="N13" s="23"/>
      <c r="O13" s="23"/>
      <c r="P13" s="23"/>
      <c r="Q13" s="233"/>
      <c r="R13" s="23"/>
      <c r="S13" s="36" t="str">
        <f>B107</f>
        <v>Erable champêtre</v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1292.2930758010384</v>
      </c>
      <c r="U13" s="177">
        <f>'Données projet'!D12</f>
        <v>2.8079999999999998</v>
      </c>
      <c r="V13" s="176">
        <f t="shared" si="1"/>
        <v>3628.7589568493158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3" t="str">
        <f>IF('Données projet'!$B$9="","",'Données projet'!$B$9)</f>
        <v>Chêne sessile</v>
      </c>
      <c r="C14" s="4"/>
      <c r="D14" s="4"/>
      <c r="E14" s="4"/>
      <c r="F14" s="229"/>
      <c r="G14" s="23"/>
      <c r="H14" s="36" t="s">
        <v>79</v>
      </c>
      <c r="I14" s="36" t="s">
        <v>305</v>
      </c>
      <c r="J14" s="200"/>
      <c r="K14" s="172"/>
      <c r="L14" s="201"/>
      <c r="M14" s="23"/>
      <c r="N14" s="23"/>
      <c r="O14" s="4"/>
      <c r="P14" s="4"/>
      <c r="Q14" s="234"/>
      <c r="R14" s="4"/>
      <c r="S14" s="36" t="str">
        <f>B138</f>
        <v>Douglas</v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4278.3425953401147</v>
      </c>
      <c r="U14" s="177">
        <f>'Données projet'!D13</f>
        <v>0.156</v>
      </c>
      <c r="V14" s="176">
        <f t="shared" si="1"/>
        <v>667.42144487305791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9"/>
      <c r="G15" s="294" t="s">
        <v>306</v>
      </c>
      <c r="H15" s="189"/>
      <c r="I15" s="190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>Merisier</v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1292.2930758010384</v>
      </c>
      <c r="U15" s="177">
        <f>'Données projet'!D14</f>
        <v>0.156</v>
      </c>
      <c r="V15" s="176">
        <f t="shared" si="1"/>
        <v>201.59771982496198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51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29"/>
      <c r="G16" s="294"/>
      <c r="H16" s="189"/>
      <c r="I16" s="190"/>
      <c r="J16" s="201"/>
      <c r="K16" s="207"/>
      <c r="L16" s="291" t="s">
        <v>311</v>
      </c>
      <c r="M16" s="292"/>
      <c r="N16" s="2"/>
      <c r="O16" s="23"/>
      <c r="P16" s="23"/>
      <c r="Q16" s="233"/>
      <c r="R16" s="23"/>
      <c r="S16" s="36" t="str">
        <f>B200</f>
        <v>Chêne rouge d'Amérique</v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1292.2930758010384</v>
      </c>
      <c r="U16" s="177">
        <f>'Données projet'!D15</f>
        <v>0.156</v>
      </c>
      <c r="V16" s="176">
        <f t="shared" si="1"/>
        <v>201.59771982496198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8" t="s">
        <v>194</v>
      </c>
      <c r="C17" s="197" t="s">
        <v>194</v>
      </c>
      <c r="D17" s="196" t="s">
        <v>194</v>
      </c>
      <c r="E17" s="192"/>
      <c r="F17" s="229"/>
      <c r="G17" s="294"/>
      <c r="J17" s="201"/>
      <c r="K17" s="207"/>
      <c r="L17" s="264" t="s">
        <v>312</v>
      </c>
      <c r="M17" s="266"/>
      <c r="N17" s="174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>Bouleau verruqueux</v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1292.2930758010384</v>
      </c>
      <c r="U17" s="177">
        <f>'Données projet'!D16</f>
        <v>0.156</v>
      </c>
      <c r="V17" s="176">
        <f t="shared" si="1"/>
        <v>201.59771982496198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8" t="s">
        <v>194</v>
      </c>
      <c r="C18" s="197" t="s">
        <v>194</v>
      </c>
      <c r="D18" s="196" t="s">
        <v>194</v>
      </c>
      <c r="E18" s="192"/>
      <c r="F18" s="229"/>
      <c r="G18" s="294"/>
      <c r="J18" s="201"/>
      <c r="K18" s="207"/>
      <c r="L18" s="264" t="s">
        <v>308</v>
      </c>
      <c r="M18" s="266"/>
      <c r="N18" s="191"/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7">
        <f>'Données projet'!D17</f>
        <v>0</v>
      </c>
      <c r="V18" s="176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8" t="s">
        <v>194</v>
      </c>
      <c r="C19" s="197" t="s">
        <v>194</v>
      </c>
      <c r="D19" s="196" t="s">
        <v>194</v>
      </c>
      <c r="E19" s="192"/>
      <c r="F19" s="229"/>
      <c r="G19" s="294"/>
      <c r="H19" s="211" t="s">
        <v>79</v>
      </c>
      <c r="I19" s="211" t="s">
        <v>313</v>
      </c>
      <c r="J19" s="92"/>
      <c r="K19" s="172"/>
      <c r="L19" s="291" t="s">
        <v>314</v>
      </c>
      <c r="M19" s="292"/>
      <c r="N19" s="178">
        <f>N17*N18</f>
        <v>0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7">
        <f>'Données projet'!D18</f>
        <v>0</v>
      </c>
      <c r="V19" s="176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8" t="s">
        <v>194</v>
      </c>
      <c r="C20" s="197" t="s">
        <v>194</v>
      </c>
      <c r="D20" s="196" t="s">
        <v>194</v>
      </c>
      <c r="E20" s="192"/>
      <c r="F20" s="229"/>
      <c r="G20" s="294"/>
      <c r="H20" s="189">
        <v>1</v>
      </c>
      <c r="I20" s="190">
        <f>(40349-130+12144)/'Données projet'!C5</f>
        <v>3356.602564102564</v>
      </c>
      <c r="J20" s="4"/>
      <c r="K20" s="172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8" t="s">
        <v>194</v>
      </c>
      <c r="C21" s="197" t="s">
        <v>194</v>
      </c>
      <c r="D21" s="196" t="s">
        <v>194</v>
      </c>
      <c r="E21" s="192"/>
      <c r="F21" s="229"/>
      <c r="H21" s="189">
        <v>2</v>
      </c>
      <c r="I21" s="190">
        <v>500</v>
      </c>
      <c r="K21" s="172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8" t="s">
        <v>194</v>
      </c>
      <c r="C22" s="197" t="s">
        <v>194</v>
      </c>
      <c r="D22" s="196" t="s">
        <v>194</v>
      </c>
      <c r="E22" s="192"/>
      <c r="F22" s="229"/>
      <c r="H22" s="189">
        <v>3</v>
      </c>
      <c r="I22" s="190">
        <v>500</v>
      </c>
      <c r="K22" s="172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9">
        <f>'Données projet'!A36</f>
        <v>34</v>
      </c>
      <c r="B23" s="180">
        <f>'Données projet'!D36</f>
        <v>36.679999999999978</v>
      </c>
      <c r="C23" s="192">
        <v>12.5</v>
      </c>
      <c r="D23" s="181">
        <f>B23*C23</f>
        <v>458.49999999999972</v>
      </c>
      <c r="E23" s="192">
        <v>60</v>
      </c>
      <c r="F23" s="260"/>
      <c r="H23" s="189">
        <v>4</v>
      </c>
      <c r="I23" s="190">
        <v>500</v>
      </c>
      <c r="K23" s="207"/>
      <c r="L23" s="293" t="s">
        <v>315</v>
      </c>
      <c r="M23" s="293"/>
      <c r="N23" s="293"/>
      <c r="O23" s="23"/>
      <c r="P23" s="23"/>
      <c r="Q23" s="233"/>
      <c r="R23" s="23"/>
      <c r="S23" s="36" t="s">
        <v>316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-60048.551417687297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9">
        <f>'Données projet'!A37</f>
        <v>42</v>
      </c>
      <c r="B24" s="180">
        <f>'Données projet'!D37</f>
        <v>58.099999999999994</v>
      </c>
      <c r="C24" s="192">
        <v>12.5</v>
      </c>
      <c r="D24" s="181">
        <f t="shared" ref="D24:D42" si="2">B24*C24</f>
        <v>726.24999999999989</v>
      </c>
      <c r="E24" s="192">
        <v>60</v>
      </c>
      <c r="H24" s="189">
        <v>5</v>
      </c>
      <c r="I24" s="190">
        <v>500</v>
      </c>
      <c r="K24" s="207"/>
      <c r="O24" s="23"/>
      <c r="P24" s="23"/>
      <c r="Q24" s="233"/>
      <c r="R24" s="23"/>
      <c r="S24" s="36" t="s">
        <v>317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49919.299643465754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9">
        <f>'Données projet'!A38</f>
        <v>50</v>
      </c>
      <c r="B25" s="180">
        <f>'Données projet'!D38</f>
        <v>70.730000000000018</v>
      </c>
      <c r="C25" s="192">
        <v>12.5</v>
      </c>
      <c r="D25" s="181">
        <f t="shared" si="2"/>
        <v>884.12500000000023</v>
      </c>
      <c r="E25" s="192">
        <v>60</v>
      </c>
      <c r="H25" s="189">
        <v>6</v>
      </c>
      <c r="I25" s="190">
        <v>500</v>
      </c>
      <c r="K25" s="207"/>
      <c r="L25" s="129" t="s">
        <v>318</v>
      </c>
      <c r="M25" s="129"/>
      <c r="N25" s="129"/>
      <c r="O25" s="129"/>
      <c r="P25" s="191">
        <v>150</v>
      </c>
      <c r="Q25" s="233"/>
      <c r="R25" s="23"/>
      <c r="S25" s="185" t="s">
        <v>319</v>
      </c>
      <c r="T25" s="308">
        <f ca="1">T23-T24</f>
        <v>-109967.85106115305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9">
        <f>'Données projet'!A39</f>
        <v>58</v>
      </c>
      <c r="B26" s="180">
        <f>'Données projet'!D39</f>
        <v>65.819999999999993</v>
      </c>
      <c r="C26" s="192">
        <v>45.375</v>
      </c>
      <c r="D26" s="181">
        <f t="shared" si="2"/>
        <v>2986.5824999999995</v>
      </c>
      <c r="E26" s="192">
        <v>60</v>
      </c>
      <c r="G26" s="228"/>
      <c r="H26" s="189"/>
      <c r="I26" s="190"/>
      <c r="K26" s="207"/>
      <c r="L26" s="295" t="s">
        <v>320</v>
      </c>
      <c r="M26" s="296"/>
      <c r="N26" s="296"/>
      <c r="O26" s="296"/>
      <c r="P26" s="297"/>
      <c r="Q26" s="233"/>
      <c r="R26" s="23"/>
      <c r="S26" s="185" t="s">
        <v>321</v>
      </c>
      <c r="T26" s="305" t="str">
        <f ca="1">IF(T25&lt;0,"Votre projet est additionnel","Votre projet n'est pas additionnel")</f>
        <v>Votre projet est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9">
        <f>'Données projet'!A40</f>
        <v>66</v>
      </c>
      <c r="B27" s="180">
        <f>'Données projet'!D40</f>
        <v>76.480000000000018</v>
      </c>
      <c r="C27" s="192">
        <v>45.375</v>
      </c>
      <c r="D27" s="181">
        <f t="shared" si="2"/>
        <v>3470.2800000000007</v>
      </c>
      <c r="E27" s="192">
        <v>60</v>
      </c>
      <c r="G27" s="228"/>
      <c r="H27" s="189"/>
      <c r="I27" s="190"/>
      <c r="K27" s="207"/>
      <c r="L27" s="298"/>
      <c r="M27" s="299"/>
      <c r="N27" s="299"/>
      <c r="O27" s="299"/>
      <c r="P27" s="300"/>
      <c r="Q27" s="233"/>
      <c r="R27" s="23"/>
      <c r="S27" s="304" t="s">
        <v>322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9">
        <f>'Données projet'!A41</f>
        <v>74</v>
      </c>
      <c r="B28" s="180">
        <f>'Données projet'!D41</f>
        <v>75.29000000000002</v>
      </c>
      <c r="C28" s="192">
        <v>45.375</v>
      </c>
      <c r="D28" s="181">
        <f t="shared" si="2"/>
        <v>3416.283750000001</v>
      </c>
      <c r="E28" s="192">
        <v>60</v>
      </c>
      <c r="G28" s="204"/>
      <c r="H28" s="189"/>
      <c r="I28" s="190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9">
        <f>'Données projet'!A42</f>
        <v>82</v>
      </c>
      <c r="B29" s="180">
        <f>'Données projet'!D42</f>
        <v>58.140000000000043</v>
      </c>
      <c r="C29" s="192">
        <v>45.375</v>
      </c>
      <c r="D29" s="181">
        <f t="shared" si="2"/>
        <v>2638.1025000000018</v>
      </c>
      <c r="E29" s="192">
        <v>60</v>
      </c>
      <c r="G29" s="202"/>
      <c r="H29" s="189"/>
      <c r="I29" s="190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9">
        <f>'Données projet'!A43</f>
        <v>90</v>
      </c>
      <c r="B30" s="180">
        <f>'Données projet'!D43</f>
        <v>68.54000000000002</v>
      </c>
      <c r="C30" s="192">
        <v>45.375</v>
      </c>
      <c r="D30" s="181">
        <f t="shared" si="2"/>
        <v>3110.002500000001</v>
      </c>
      <c r="E30" s="192">
        <v>60</v>
      </c>
      <c r="G30" s="202"/>
      <c r="H30" s="189"/>
      <c r="I30" s="190"/>
      <c r="K30" s="182"/>
      <c r="L30" s="36" t="s">
        <v>323</v>
      </c>
      <c r="M30" s="183">
        <f ca="1">SUM(OFFSET($P$33,0,0,MIN('Données projet'!$E$9:$E$18)+1,1))</f>
        <v>3199.9551053503687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9">
        <f>'Données projet'!A44</f>
        <v>100</v>
      </c>
      <c r="B31" s="180">
        <f>'Données projet'!D44</f>
        <v>93.039999999999964</v>
      </c>
      <c r="C31" s="192">
        <v>138</v>
      </c>
      <c r="D31" s="181">
        <f t="shared" si="2"/>
        <v>12839.519999999995</v>
      </c>
      <c r="E31" s="192">
        <v>60</v>
      </c>
      <c r="G31" s="202"/>
      <c r="H31" s="189"/>
      <c r="I31" s="190"/>
      <c r="K31" s="172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9">
        <f>'Données projet'!A45</f>
        <v>110</v>
      </c>
      <c r="B32" s="180">
        <f>'Données projet'!D45</f>
        <v>73.299999999999955</v>
      </c>
      <c r="C32" s="192">
        <v>138</v>
      </c>
      <c r="D32" s="181">
        <f t="shared" si="2"/>
        <v>10115.399999999994</v>
      </c>
      <c r="E32" s="192">
        <v>60</v>
      </c>
      <c r="G32" s="202"/>
      <c r="H32" s="189"/>
      <c r="I32" s="190"/>
      <c r="K32" s="172"/>
      <c r="N32" s="4"/>
      <c r="O32" s="84" t="s">
        <v>79</v>
      </c>
      <c r="P32" s="84" t="s">
        <v>309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9">
        <f>'Données projet'!A46</f>
        <v>120</v>
      </c>
      <c r="B33" s="180">
        <f>'Données projet'!D46</f>
        <v>66.050000000000011</v>
      </c>
      <c r="C33" s="192">
        <v>138</v>
      </c>
      <c r="D33" s="181">
        <f t="shared" si="2"/>
        <v>9114.9000000000015</v>
      </c>
      <c r="E33" s="192">
        <v>60</v>
      </c>
      <c r="G33" s="202"/>
      <c r="H33" s="189"/>
      <c r="I33" s="190"/>
      <c r="K33" s="172"/>
      <c r="L33" s="4"/>
      <c r="M33" s="4"/>
      <c r="N33" s="4"/>
      <c r="O33" s="193">
        <v>0</v>
      </c>
      <c r="P33" s="184">
        <f t="shared" ref="P33:P64" si="3">$P$25/(1+$M$4)^O33</f>
        <v>150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9">
        <f>'Données projet'!A47</f>
        <v>130</v>
      </c>
      <c r="B34" s="180">
        <f>'Données projet'!D47</f>
        <v>75.799999999999955</v>
      </c>
      <c r="C34" s="192">
        <v>138</v>
      </c>
      <c r="D34" s="181">
        <f t="shared" si="2"/>
        <v>10460.399999999994</v>
      </c>
      <c r="E34" s="192">
        <v>60</v>
      </c>
      <c r="G34" s="202"/>
      <c r="H34" s="189"/>
      <c r="I34" s="190"/>
      <c r="K34" s="172"/>
      <c r="L34" s="97"/>
      <c r="M34" s="97"/>
      <c r="N34" s="249"/>
      <c r="O34" s="193">
        <f>IF(O33+1&lt;=MIN('Données projet'!$E$9:$E$18),O33+1,"STOP")</f>
        <v>1</v>
      </c>
      <c r="P34" s="184">
        <f t="shared" si="3"/>
        <v>143.54066985645935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9">
        <f>'Données projet'!A48</f>
        <v>140</v>
      </c>
      <c r="B35" s="180">
        <f>'Données projet'!D48</f>
        <v>74.669999999999959</v>
      </c>
      <c r="C35" s="192">
        <v>138</v>
      </c>
      <c r="D35" s="181">
        <f t="shared" si="2"/>
        <v>10304.459999999994</v>
      </c>
      <c r="E35" s="192">
        <v>60</v>
      </c>
      <c r="G35" s="202"/>
      <c r="H35" s="189"/>
      <c r="I35" s="190"/>
      <c r="K35" s="172"/>
      <c r="L35" s="97"/>
      <c r="M35" s="97"/>
      <c r="N35" s="249"/>
      <c r="O35" s="193">
        <f>IF(O34+1&lt;=MIN('Données projet'!$E$9:$E$18),O34+1,"STOP")</f>
        <v>2</v>
      </c>
      <c r="P35" s="184">
        <f t="shared" si="3"/>
        <v>137.35949268560705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9">
        <f>'Données projet'!A49</f>
        <v>150</v>
      </c>
      <c r="B36" s="180">
        <f>'Données projet'!D49</f>
        <v>259.52</v>
      </c>
      <c r="C36" s="192">
        <v>156.375</v>
      </c>
      <c r="D36" s="181">
        <f t="shared" si="2"/>
        <v>40582.439999999995</v>
      </c>
      <c r="E36" s="192">
        <v>60</v>
      </c>
      <c r="G36" s="202"/>
      <c r="H36" s="189"/>
      <c r="I36" s="190"/>
      <c r="K36" s="172"/>
      <c r="L36" s="23"/>
      <c r="M36" s="23"/>
      <c r="N36" s="23"/>
      <c r="O36" s="193">
        <f>IF(O35+1&lt;=MIN('Données projet'!$E$9:$E$18),O35+1,"STOP")</f>
        <v>3</v>
      </c>
      <c r="P36" s="184">
        <f t="shared" si="3"/>
        <v>131.44449060823641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9">
        <f>'Données projet'!A50</f>
        <v>153</v>
      </c>
      <c r="B37" s="180">
        <f>'Données projet'!D50</f>
        <v>156.29000000000002</v>
      </c>
      <c r="C37" s="192">
        <v>156.375</v>
      </c>
      <c r="D37" s="181">
        <f t="shared" si="2"/>
        <v>24439.848750000005</v>
      </c>
      <c r="E37" s="192">
        <v>60</v>
      </c>
      <c r="G37" s="202"/>
      <c r="H37" s="189"/>
      <c r="I37" s="190"/>
      <c r="K37" s="172"/>
      <c r="L37" s="23"/>
      <c r="M37" s="23"/>
      <c r="N37" s="23"/>
      <c r="O37" s="193">
        <f>IF(O36+1&lt;=MIN('Données projet'!$E$9:$E$18),O36+1,"STOP")</f>
        <v>4</v>
      </c>
      <c r="P37" s="184">
        <f t="shared" si="3"/>
        <v>125.78420153898223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9">
        <f>'Données projet'!A51</f>
        <v>156</v>
      </c>
      <c r="B38" s="180">
        <f>'Données projet'!D51</f>
        <v>96.65</v>
      </c>
      <c r="C38" s="192">
        <v>156.375</v>
      </c>
      <c r="D38" s="181">
        <f t="shared" si="2"/>
        <v>15113.643750000001</v>
      </c>
      <c r="E38" s="192">
        <v>60</v>
      </c>
      <c r="G38" s="202"/>
      <c r="H38" s="189"/>
      <c r="I38" s="190"/>
      <c r="K38" s="172"/>
      <c r="L38" s="23"/>
      <c r="M38" s="23"/>
      <c r="N38" s="23"/>
      <c r="O38" s="193">
        <f>IF(O37+1&lt;=MIN('Données projet'!$E$9:$E$18),O37+1,"STOP")</f>
        <v>5</v>
      </c>
      <c r="P38" s="184">
        <f t="shared" si="3"/>
        <v>120.36765697510262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9">
        <f>'Données projet'!A52</f>
        <v>159</v>
      </c>
      <c r="B39" s="180">
        <f>'Données projet'!D52</f>
        <v>201.48</v>
      </c>
      <c r="C39" s="192">
        <v>156.375</v>
      </c>
      <c r="D39" s="181">
        <f t="shared" si="2"/>
        <v>31506.434999999998</v>
      </c>
      <c r="E39" s="192">
        <v>60</v>
      </c>
      <c r="G39" s="202"/>
      <c r="H39" s="189"/>
      <c r="I39" s="190"/>
      <c r="K39" s="207"/>
      <c r="L39" s="23"/>
      <c r="M39" s="23"/>
      <c r="N39" s="23"/>
      <c r="O39" s="193">
        <f>IF(O38+1&lt;=MIN('Données projet'!$E$9:$E$18),O38+1,"STOP")</f>
        <v>6</v>
      </c>
      <c r="P39" s="184">
        <f t="shared" si="3"/>
        <v>115.18436074172502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9">
        <f>'Données projet'!A53</f>
        <v>0</v>
      </c>
      <c r="B40" s="180">
        <f>'Données projet'!D53</f>
        <v>0</v>
      </c>
      <c r="C40" s="192"/>
      <c r="D40" s="181">
        <f t="shared" si="2"/>
        <v>0</v>
      </c>
      <c r="E40" s="192"/>
      <c r="G40" s="202"/>
      <c r="H40" s="189"/>
      <c r="I40" s="190"/>
      <c r="K40" s="207"/>
      <c r="L40" s="23"/>
      <c r="M40" s="23"/>
      <c r="N40" s="23"/>
      <c r="O40" s="193">
        <f>IF(O39+1&lt;=MIN('Données projet'!$E$9:$E$18),O39+1,"STOP")</f>
        <v>7</v>
      </c>
      <c r="P40" s="184">
        <f t="shared" si="3"/>
        <v>110.22426865236844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9">
        <f>'Données projet'!A54</f>
        <v>0</v>
      </c>
      <c r="B41" s="180">
        <f>'Données projet'!D54</f>
        <v>0</v>
      </c>
      <c r="C41" s="192"/>
      <c r="D41" s="181">
        <f t="shared" si="2"/>
        <v>0</v>
      </c>
      <c r="E41" s="192"/>
      <c r="G41" s="202"/>
      <c r="H41" s="189"/>
      <c r="I41" s="190"/>
      <c r="K41" s="207"/>
      <c r="L41" s="23"/>
      <c r="M41" s="23"/>
      <c r="N41" s="23"/>
      <c r="O41" s="193">
        <f>IF(O40+1&lt;=MIN('Données projet'!$E$9:$E$18),O40+1,"STOP")</f>
        <v>8</v>
      </c>
      <c r="P41" s="184">
        <f t="shared" si="3"/>
        <v>105.47776904532867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9">
        <f>'Données projet'!A55</f>
        <v>0</v>
      </c>
      <c r="B42" s="180">
        <f>'Données projet'!D55</f>
        <v>0</v>
      </c>
      <c r="C42" s="192"/>
      <c r="D42" s="181">
        <f t="shared" si="2"/>
        <v>0</v>
      </c>
      <c r="E42" s="192"/>
      <c r="G42" s="202"/>
      <c r="H42" s="189"/>
      <c r="I42" s="190"/>
      <c r="K42" s="207"/>
      <c r="L42" s="23"/>
      <c r="M42" s="23"/>
      <c r="N42" s="23"/>
      <c r="O42" s="193">
        <f>IF(O41+1&lt;=MIN('Données projet'!$E$9:$E$18),O41+1,"STOP")</f>
        <v>9</v>
      </c>
      <c r="P42" s="184">
        <f t="shared" si="3"/>
        <v>100.93566415820926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6"/>
      <c r="B43" s="186"/>
      <c r="C43" s="186"/>
      <c r="D43" s="226"/>
      <c r="E43" s="226"/>
      <c r="F43" s="237"/>
      <c r="G43" s="202"/>
      <c r="H43" s="189"/>
      <c r="I43" s="190"/>
      <c r="K43" s="207"/>
      <c r="L43" s="23"/>
      <c r="M43" s="23"/>
      <c r="N43" s="23"/>
      <c r="O43" s="193">
        <f>IF(O42+1&lt;=MIN('Données projet'!$E$9:$E$18),O42+1,"STOP")</f>
        <v>10</v>
      </c>
      <c r="P43" s="184">
        <f t="shared" si="3"/>
        <v>96.589152304506499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9"/>
      <c r="G44" s="202"/>
      <c r="H44" s="189"/>
      <c r="I44" s="190"/>
      <c r="K44" s="207"/>
      <c r="L44" s="23"/>
      <c r="M44" s="23"/>
      <c r="N44" s="23"/>
      <c r="O44" s="193">
        <f>IF(O43+1&lt;=MIN('Données projet'!$E$9:$E$18),O43+1,"STOP")</f>
        <v>11</v>
      </c>
      <c r="P44" s="184">
        <f t="shared" si="3"/>
        <v>92.429810817709566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18</v>
      </c>
      <c r="B45" s="173" t="str">
        <f>IF('Données projet'!$B$10="","",'Données projet'!$B$10)</f>
        <v>Pin maritime</v>
      </c>
      <c r="C45" s="4"/>
      <c r="D45" s="4"/>
      <c r="E45" s="4"/>
      <c r="F45" s="229"/>
      <c r="G45" s="202"/>
      <c r="H45" s="189"/>
      <c r="I45" s="190"/>
      <c r="J45" s="23"/>
      <c r="K45" s="207"/>
      <c r="L45" s="23"/>
      <c r="M45" s="23"/>
      <c r="N45" s="23"/>
      <c r="O45" s="193">
        <f>IF(O44+1&lt;=MIN('Données projet'!$E$9:$E$18),O44+1,"STOP")</f>
        <v>12</v>
      </c>
      <c r="P45" s="184">
        <f t="shared" si="3"/>
        <v>88.449579729865633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9"/>
      <c r="G46" s="202"/>
      <c r="H46" s="189"/>
      <c r="I46" s="190"/>
      <c r="J46" s="23"/>
      <c r="K46" s="207"/>
      <c r="L46" s="203"/>
      <c r="M46" s="203"/>
      <c r="N46" s="203"/>
      <c r="O46" s="193">
        <f>IF(O45+1&lt;=MIN('Données projet'!$E$9:$E$18),O45+1,"STOP")</f>
        <v>13</v>
      </c>
      <c r="P46" s="187">
        <f t="shared" si="3"/>
        <v>84.640746152981464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51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30"/>
      <c r="G47" s="202"/>
      <c r="H47" s="189"/>
      <c r="I47" s="190"/>
      <c r="J47" s="23"/>
      <c r="K47" s="207"/>
      <c r="L47" s="4"/>
      <c r="M47" s="4"/>
      <c r="N47" s="4"/>
      <c r="O47" s="193">
        <f>IF(O46+1&lt;=MIN('Données projet'!$E$9:$E$18),O46+1,"STOP")</f>
        <v>14</v>
      </c>
      <c r="P47" s="184">
        <f t="shared" si="3"/>
        <v>80.995929332996624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8" t="s">
        <v>194</v>
      </c>
      <c r="C48" s="197" t="s">
        <v>194</v>
      </c>
      <c r="D48" s="196" t="s">
        <v>194</v>
      </c>
      <c r="E48" s="192"/>
      <c r="F48" s="230"/>
      <c r="G48" s="202"/>
      <c r="H48" s="189"/>
      <c r="I48" s="190"/>
      <c r="J48" s="23"/>
      <c r="K48" s="207"/>
      <c r="L48" s="4"/>
      <c r="M48" s="4"/>
      <c r="N48" s="4"/>
      <c r="O48" s="193">
        <f>IF(O47+1&lt;=MIN('Données projet'!$E$9:$E$18),O47+1,"STOP")</f>
        <v>15</v>
      </c>
      <c r="P48" s="184">
        <f t="shared" si="3"/>
        <v>77.508066347365187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4" customFormat="1" ht="17.25" customHeight="1" x14ac:dyDescent="0.35">
      <c r="A49" s="49">
        <v>1</v>
      </c>
      <c r="B49" s="198" t="s">
        <v>194</v>
      </c>
      <c r="C49" s="197" t="s">
        <v>194</v>
      </c>
      <c r="D49" s="196" t="s">
        <v>194</v>
      </c>
      <c r="E49" s="192"/>
      <c r="F49" s="230"/>
      <c r="G49" s="203"/>
      <c r="H49" s="189"/>
      <c r="I49" s="190"/>
      <c r="J49" s="203"/>
      <c r="K49" s="209"/>
      <c r="L49" s="4"/>
      <c r="M49" s="4"/>
      <c r="N49" s="4"/>
      <c r="O49" s="193">
        <f>IF(O48+1&lt;=MIN('Données projet'!$E$9:$E$18),O48+1,"STOP")</f>
        <v>16</v>
      </c>
      <c r="P49" s="184">
        <f t="shared" si="3"/>
        <v>74.170398418531306</v>
      </c>
      <c r="Q49" s="235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186"/>
      <c r="AT49" s="186"/>
      <c r="AU49" s="186"/>
      <c r="AV49" s="186"/>
      <c r="AW49" s="186"/>
      <c r="AX49" s="186"/>
      <c r="AY49" s="186"/>
      <c r="AZ49" s="186"/>
      <c r="BA49" s="186"/>
      <c r="BB49" s="186"/>
      <c r="BC49" s="186"/>
      <c r="BD49" s="186"/>
    </row>
    <row r="50" spans="1:56" x14ac:dyDescent="0.35">
      <c r="A50" s="49">
        <v>2</v>
      </c>
      <c r="B50" s="198" t="s">
        <v>194</v>
      </c>
      <c r="C50" s="197" t="s">
        <v>194</v>
      </c>
      <c r="D50" s="196" t="s">
        <v>194</v>
      </c>
      <c r="E50" s="192"/>
      <c r="F50" s="230"/>
      <c r="G50" s="23"/>
      <c r="H50" s="189"/>
      <c r="I50" s="190"/>
      <c r="J50" s="23"/>
      <c r="K50" s="172"/>
      <c r="L50" s="4"/>
      <c r="M50" s="4"/>
      <c r="N50" s="4"/>
      <c r="O50" s="193">
        <f>IF(O49+1&lt;=MIN('Données projet'!$E$9:$E$18),O49+1,"STOP")</f>
        <v>17</v>
      </c>
      <c r="P50" s="184">
        <f t="shared" si="3"/>
        <v>70.976457816776374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8" t="s">
        <v>194</v>
      </c>
      <c r="C51" s="197" t="s">
        <v>194</v>
      </c>
      <c r="D51" s="196" t="s">
        <v>194</v>
      </c>
      <c r="E51" s="192"/>
      <c r="F51" s="230"/>
      <c r="G51" s="23"/>
      <c r="H51" s="189"/>
      <c r="I51" s="190"/>
      <c r="J51" s="23"/>
      <c r="K51" s="172"/>
      <c r="L51" s="4"/>
      <c r="M51" s="4"/>
      <c r="N51" s="4"/>
      <c r="O51" s="193">
        <f>IF(O50+1&lt;=MIN('Données projet'!$E$9:$E$18),O50+1,"STOP")</f>
        <v>18</v>
      </c>
      <c r="P51" s="184">
        <f t="shared" si="3"/>
        <v>67.920055327058748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8" t="s">
        <v>194</v>
      </c>
      <c r="C52" s="197" t="s">
        <v>194</v>
      </c>
      <c r="D52" s="196" t="s">
        <v>194</v>
      </c>
      <c r="E52" s="192"/>
      <c r="F52" s="230"/>
      <c r="G52" s="23"/>
      <c r="H52" s="189"/>
      <c r="I52" s="190"/>
      <c r="J52" s="23"/>
      <c r="K52" s="172"/>
      <c r="L52" s="4"/>
      <c r="M52" s="4"/>
      <c r="N52" s="4"/>
      <c r="O52" s="193">
        <f>IF(O51+1&lt;=MIN('Données projet'!$E$9:$E$18),O51+1,"STOP")</f>
        <v>19</v>
      </c>
      <c r="P52" s="184">
        <f t="shared" si="3"/>
        <v>64.995268255558614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8" t="s">
        <v>194</v>
      </c>
      <c r="C53" s="197" t="s">
        <v>194</v>
      </c>
      <c r="D53" s="196" t="s">
        <v>194</v>
      </c>
      <c r="E53" s="192"/>
      <c r="F53" s="230"/>
      <c r="G53" s="204"/>
      <c r="H53" s="189"/>
      <c r="I53" s="190"/>
      <c r="J53" s="23"/>
      <c r="K53" s="172"/>
      <c r="L53" s="4"/>
      <c r="M53" s="4"/>
      <c r="N53" s="4"/>
      <c r="O53" s="193">
        <f>IF(O52+1&lt;=MIN('Données projet'!$E$9:$E$18),O52+1,"STOP")</f>
        <v>20</v>
      </c>
      <c r="P53" s="184">
        <f t="shared" si="3"/>
        <v>62.196428952687683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9">
        <f>'Données projet'!A62</f>
        <v>15</v>
      </c>
      <c r="B54" s="180">
        <f>'Données projet'!D62</f>
        <v>50.480000000000004</v>
      </c>
      <c r="C54" s="190">
        <v>10</v>
      </c>
      <c r="D54" s="178">
        <f>B54*C54</f>
        <v>504.80000000000007</v>
      </c>
      <c r="E54" s="192">
        <v>60</v>
      </c>
      <c r="F54" s="260"/>
      <c r="G54" s="204"/>
      <c r="H54" s="189"/>
      <c r="I54" s="190"/>
      <c r="J54" s="23"/>
      <c r="K54" s="172"/>
      <c r="L54" s="4"/>
      <c r="M54" s="4"/>
      <c r="N54" s="4"/>
      <c r="O54" s="193">
        <f>IF(O53+1&lt;=MIN('Données projet'!$E$9:$E$18),O53+1,"STOP")</f>
        <v>21</v>
      </c>
      <c r="P54" s="184">
        <f t="shared" si="3"/>
        <v>59.518113830323131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9">
        <f>'Données projet'!A63</f>
        <v>20</v>
      </c>
      <c r="B55" s="180">
        <f>'Données projet'!D63</f>
        <v>55.160000000000025</v>
      </c>
      <c r="C55" s="190">
        <v>10.625</v>
      </c>
      <c r="D55" s="178">
        <f t="shared" ref="D55:D73" si="4">B55*C55</f>
        <v>586.07500000000027</v>
      </c>
      <c r="E55" s="192">
        <v>60</v>
      </c>
      <c r="G55" s="204"/>
      <c r="H55" s="189"/>
      <c r="I55" s="190"/>
      <c r="J55" s="23"/>
      <c r="K55" s="172"/>
      <c r="L55" s="4"/>
      <c r="M55" s="4"/>
      <c r="N55" s="4"/>
      <c r="O55" s="193">
        <f>IF(O54+1&lt;=MIN('Données projet'!$E$9:$E$18),O54+1,"STOP")</f>
        <v>22</v>
      </c>
      <c r="P55" s="184">
        <f t="shared" si="3"/>
        <v>56.955132851983883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9">
        <f>'Données projet'!A64</f>
        <v>26</v>
      </c>
      <c r="B56" s="180">
        <f>'Données projet'!D64</f>
        <v>56.150000000000006</v>
      </c>
      <c r="C56" s="190">
        <v>26.75</v>
      </c>
      <c r="D56" s="178">
        <f t="shared" si="4"/>
        <v>1502.0125</v>
      </c>
      <c r="E56" s="192">
        <v>60</v>
      </c>
      <c r="G56" s="204"/>
      <c r="H56" s="189"/>
      <c r="I56" s="190"/>
      <c r="J56" s="23"/>
      <c r="K56" s="172"/>
      <c r="L56" s="4"/>
      <c r="M56" s="4"/>
      <c r="N56" s="4"/>
      <c r="O56" s="193">
        <f>IF(O55+1&lt;=MIN('Données projet'!$E$9:$E$18),O55+1,"STOP")</f>
        <v>23</v>
      </c>
      <c r="P56" s="184">
        <f t="shared" si="3"/>
        <v>54.502519475582659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9">
        <f>'Données projet'!A65</f>
        <v>32</v>
      </c>
      <c r="B57" s="180">
        <f>'Données projet'!D65</f>
        <v>79.57000000000005</v>
      </c>
      <c r="C57" s="190">
        <v>26.75</v>
      </c>
      <c r="D57" s="178">
        <f t="shared" si="4"/>
        <v>2128.4975000000013</v>
      </c>
      <c r="E57" s="192">
        <v>60</v>
      </c>
      <c r="F57" s="260"/>
      <c r="G57" s="204"/>
      <c r="H57" s="189"/>
      <c r="I57" s="190"/>
      <c r="J57" s="23"/>
      <c r="K57" s="172"/>
      <c r="L57" s="4"/>
      <c r="M57" s="4"/>
      <c r="N57" s="4"/>
      <c r="O57" s="193">
        <f>IF(O56+1&lt;=MIN('Données projet'!$E$9:$E$18),O56+1,"STOP")</f>
        <v>24</v>
      </c>
      <c r="P57" s="184">
        <f t="shared" si="3"/>
        <v>52.155521029265714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9">
        <f>'Données projet'!A66</f>
        <v>40</v>
      </c>
      <c r="B58" s="180">
        <f>'Données projet'!D66</f>
        <v>116.63</v>
      </c>
      <c r="C58" s="190">
        <v>26.75</v>
      </c>
      <c r="D58" s="178">
        <f t="shared" si="4"/>
        <v>3119.8525</v>
      </c>
      <c r="E58" s="192">
        <v>60</v>
      </c>
      <c r="G58" s="204"/>
      <c r="H58" s="189"/>
      <c r="I58" s="190"/>
      <c r="J58" s="23"/>
      <c r="K58" s="172"/>
      <c r="L58" s="4"/>
      <c r="M58" s="4"/>
      <c r="N58" s="4"/>
      <c r="O58" s="193">
        <f>IF(O57+1&lt;=MIN('Données projet'!$E$9:$E$18),O57+1,"STOP")</f>
        <v>25</v>
      </c>
      <c r="P58" s="184">
        <f t="shared" si="3"/>
        <v>49.90958950168968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9">
        <f>'Données projet'!A67</f>
        <v>48</v>
      </c>
      <c r="B59" s="180">
        <f>'Données projet'!D67</f>
        <v>106.28000000000003</v>
      </c>
      <c r="C59" s="190">
        <v>26.75</v>
      </c>
      <c r="D59" s="178">
        <f t="shared" si="4"/>
        <v>2842.9900000000007</v>
      </c>
      <c r="E59" s="192">
        <v>60</v>
      </c>
      <c r="G59" s="204"/>
      <c r="H59" s="189"/>
      <c r="I59" s="190"/>
      <c r="J59" s="23"/>
      <c r="K59" s="172"/>
      <c r="L59" s="4"/>
      <c r="M59" s="4"/>
      <c r="N59" s="4"/>
      <c r="O59" s="193">
        <f>IF(O58+1&lt;=MIN('Données projet'!$E$9:$E$18),O58+1,"STOP")</f>
        <v>26</v>
      </c>
      <c r="P59" s="184">
        <f t="shared" si="3"/>
        <v>47.760372728889656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9">
        <f>'Données projet'!A68</f>
        <v>56</v>
      </c>
      <c r="B60" s="180">
        <f>'Données projet'!D68</f>
        <v>563.75</v>
      </c>
      <c r="C60" s="190">
        <v>30.5</v>
      </c>
      <c r="D60" s="178">
        <f t="shared" si="4"/>
        <v>17194.375</v>
      </c>
      <c r="E60" s="192">
        <v>60</v>
      </c>
      <c r="G60" s="205"/>
      <c r="H60" s="189"/>
      <c r="I60" s="190"/>
      <c r="J60" s="23"/>
      <c r="K60" s="172"/>
      <c r="L60" s="4"/>
      <c r="M60" s="4"/>
      <c r="N60" s="4"/>
      <c r="O60" s="193">
        <f>IF(O59+1&lt;=MIN('Données projet'!$E$9:$E$18),O59+1,"STOP")</f>
        <v>27</v>
      </c>
      <c r="P60" s="184">
        <f t="shared" si="3"/>
        <v>45.70370596065996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9">
        <f>'Données projet'!A69</f>
        <v>0</v>
      </c>
      <c r="B61" s="180">
        <f>'Données projet'!D69</f>
        <v>0</v>
      </c>
      <c r="C61" s="190"/>
      <c r="D61" s="178">
        <f t="shared" si="4"/>
        <v>0</v>
      </c>
      <c r="E61" s="192"/>
      <c r="F61" s="231"/>
      <c r="G61" s="205"/>
      <c r="H61" s="189"/>
      <c r="I61" s="190"/>
      <c r="J61" s="23"/>
      <c r="K61" s="172"/>
      <c r="L61" s="4"/>
      <c r="M61" s="4"/>
      <c r="N61" s="4"/>
      <c r="O61" s="193">
        <f>IF(O60+1&lt;=MIN('Données projet'!$E$9:$E$18),O60+1,"STOP")</f>
        <v>28</v>
      </c>
      <c r="P61" s="184">
        <f t="shared" si="3"/>
        <v>43.735603790105237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9">
        <f>'Données projet'!A70</f>
        <v>0</v>
      </c>
      <c r="B62" s="180">
        <f>'Données projet'!D70</f>
        <v>0</v>
      </c>
      <c r="C62" s="190"/>
      <c r="D62" s="178">
        <f t="shared" si="4"/>
        <v>0</v>
      </c>
      <c r="E62" s="192"/>
      <c r="F62" s="231"/>
      <c r="G62" s="205"/>
      <c r="H62" s="189"/>
      <c r="I62" s="190"/>
      <c r="J62" s="23"/>
      <c r="K62" s="172"/>
      <c r="L62" s="4"/>
      <c r="M62" s="4"/>
      <c r="N62" s="4"/>
      <c r="O62" s="193">
        <f>IF(O61+1&lt;=MIN('Données projet'!$E$9:$E$18),O61+1,"STOP")</f>
        <v>29</v>
      </c>
      <c r="P62" s="184">
        <f t="shared" si="3"/>
        <v>41.852252430722707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9">
        <f>'Données projet'!A71</f>
        <v>0</v>
      </c>
      <c r="B63" s="180">
        <f>'Données projet'!D71</f>
        <v>0</v>
      </c>
      <c r="C63" s="190"/>
      <c r="D63" s="178">
        <f t="shared" si="4"/>
        <v>0</v>
      </c>
      <c r="E63" s="192"/>
      <c r="F63" s="231"/>
      <c r="G63" s="205"/>
      <c r="H63" s="189"/>
      <c r="I63" s="190"/>
      <c r="J63" s="23"/>
      <c r="K63" s="172"/>
      <c r="L63" s="4"/>
      <c r="M63" s="4"/>
      <c r="N63" s="4"/>
      <c r="O63" s="193">
        <f>IF(O62+1&lt;=MIN('Données projet'!$E$9:$E$18),O62+1,"STOP")</f>
        <v>30</v>
      </c>
      <c r="P63" s="184">
        <f t="shared" si="3"/>
        <v>40.050002326050453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9">
        <f>'Données projet'!A72</f>
        <v>0</v>
      </c>
      <c r="B64" s="180">
        <f>'Données projet'!D72</f>
        <v>0</v>
      </c>
      <c r="C64" s="190"/>
      <c r="D64" s="178">
        <f t="shared" si="4"/>
        <v>0</v>
      </c>
      <c r="E64" s="192"/>
      <c r="F64" s="231"/>
      <c r="G64" s="205"/>
      <c r="H64" s="189"/>
      <c r="I64" s="190"/>
      <c r="J64" s="206"/>
      <c r="K64" s="172"/>
      <c r="L64" s="4"/>
      <c r="M64" s="4"/>
      <c r="N64" s="4"/>
      <c r="O64" s="193">
        <f>IF(O63+1&lt;=MIN('Données projet'!$E$9:$E$18),O63+1,"STOP")</f>
        <v>31</v>
      </c>
      <c r="P64" s="184">
        <f t="shared" si="3"/>
        <v>38.325361077560231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9">
        <f>'Données projet'!A73</f>
        <v>0</v>
      </c>
      <c r="B65" s="180">
        <f>'Données projet'!D73</f>
        <v>0</v>
      </c>
      <c r="C65" s="190"/>
      <c r="D65" s="178">
        <f t="shared" si="4"/>
        <v>0</v>
      </c>
      <c r="E65" s="192"/>
      <c r="F65" s="231"/>
      <c r="G65" s="205"/>
      <c r="H65" s="189"/>
      <c r="I65" s="190"/>
      <c r="J65" s="188"/>
      <c r="K65" s="172"/>
      <c r="L65" s="4"/>
      <c r="M65" s="4"/>
      <c r="N65" s="4"/>
      <c r="O65" s="193">
        <f>IF(O64+1&lt;=MIN('Données projet'!$E$9:$E$18),O64+1,"STOP")</f>
        <v>32</v>
      </c>
      <c r="P65" s="184">
        <f t="shared" ref="P65:P96" si="5">$P$25/(1+$M$4)^O65</f>
        <v>36.674986677091148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9">
        <f>'Données projet'!A74</f>
        <v>0</v>
      </c>
      <c r="B66" s="180">
        <f>'Données projet'!D74</f>
        <v>0</v>
      </c>
      <c r="C66" s="190"/>
      <c r="D66" s="178">
        <f t="shared" si="4"/>
        <v>0</v>
      </c>
      <c r="E66" s="192"/>
      <c r="F66" s="231"/>
      <c r="G66" s="205"/>
      <c r="H66" s="189"/>
      <c r="I66" s="190"/>
      <c r="J66" s="188"/>
      <c r="K66" s="172"/>
      <c r="L66" s="4"/>
      <c r="M66" s="4"/>
      <c r="N66" s="4"/>
      <c r="O66" s="193">
        <f>IF(O65+1&lt;=MIN('Données projet'!$E$9:$E$18),O65+1,"STOP")</f>
        <v>33</v>
      </c>
      <c r="P66" s="184">
        <f t="shared" si="5"/>
        <v>35.095681030709244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9">
        <f>'Données projet'!A75</f>
        <v>0</v>
      </c>
      <c r="B67" s="180">
        <f>'Données projet'!D75</f>
        <v>0</v>
      </c>
      <c r="C67" s="190"/>
      <c r="D67" s="178">
        <f t="shared" si="4"/>
        <v>0</v>
      </c>
      <c r="E67" s="192"/>
      <c r="F67" s="231"/>
      <c r="G67" s="205"/>
      <c r="H67" s="189"/>
      <c r="I67" s="190"/>
      <c r="J67" s="188"/>
      <c r="K67" s="172"/>
      <c r="L67" s="4"/>
      <c r="M67" s="4"/>
      <c r="N67" s="4"/>
      <c r="O67" s="193">
        <f>IF(O66+1&lt;=MIN('Données projet'!$E$9:$E$18),O66+1,"STOP")</f>
        <v>34</v>
      </c>
      <c r="P67" s="184">
        <f t="shared" si="5"/>
        <v>33.584383761444251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9">
        <f>'Données projet'!A76</f>
        <v>0</v>
      </c>
      <c r="B68" s="180">
        <f>'Données projet'!D76</f>
        <v>0</v>
      </c>
      <c r="C68" s="190"/>
      <c r="D68" s="178">
        <f t="shared" si="4"/>
        <v>0</v>
      </c>
      <c r="E68" s="192"/>
      <c r="F68" s="231"/>
      <c r="G68" s="205"/>
      <c r="H68" s="189"/>
      <c r="I68" s="190"/>
      <c r="J68" s="188"/>
      <c r="K68" s="172"/>
      <c r="L68" s="4"/>
      <c r="M68" s="4"/>
      <c r="N68" s="4"/>
      <c r="O68" s="193">
        <f>IF(O67+1&lt;=MIN('Données projet'!$E$9:$E$18),O67+1,"STOP")</f>
        <v>35</v>
      </c>
      <c r="P68" s="184">
        <f t="shared" si="5"/>
        <v>32.138166278894019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9">
        <f>'Données projet'!A77</f>
        <v>0</v>
      </c>
      <c r="B69" s="180">
        <f>'Données projet'!D77</f>
        <v>0</v>
      </c>
      <c r="C69" s="190"/>
      <c r="D69" s="178">
        <f t="shared" si="4"/>
        <v>0</v>
      </c>
      <c r="E69" s="192"/>
      <c r="F69" s="231"/>
      <c r="G69" s="205"/>
      <c r="H69" s="189"/>
      <c r="I69" s="190"/>
      <c r="J69" s="188"/>
      <c r="K69" s="172"/>
      <c r="L69" s="4"/>
      <c r="M69" s="4"/>
      <c r="N69" s="4"/>
      <c r="O69" s="193">
        <f>IF(O68+1&lt;=MIN('Données projet'!$E$9:$E$18),O68+1,"STOP")</f>
        <v>36</v>
      </c>
      <c r="P69" s="184">
        <f t="shared" si="5"/>
        <v>30.754226104204811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9">
        <f>'Données projet'!A78</f>
        <v>0</v>
      </c>
      <c r="B70" s="180">
        <f>'Données projet'!D78</f>
        <v>0</v>
      </c>
      <c r="C70" s="190"/>
      <c r="D70" s="178">
        <f t="shared" si="4"/>
        <v>0</v>
      </c>
      <c r="E70" s="192"/>
      <c r="F70" s="231"/>
      <c r="G70" s="205"/>
      <c r="H70" s="189"/>
      <c r="I70" s="190"/>
      <c r="J70" s="188"/>
      <c r="K70" s="172"/>
      <c r="L70" s="4"/>
      <c r="M70" s="4"/>
      <c r="N70" s="4"/>
      <c r="O70" s="193">
        <f>IF(O69+1&lt;=MIN('Données projet'!$E$9:$E$18),O69+1,"STOP")</f>
        <v>37</v>
      </c>
      <c r="P70" s="184">
        <f t="shared" si="5"/>
        <v>29.429881439430442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9">
        <f>'Données projet'!A79</f>
        <v>0</v>
      </c>
      <c r="B71" s="180">
        <f>'Données projet'!D79</f>
        <v>0</v>
      </c>
      <c r="C71" s="190"/>
      <c r="D71" s="178">
        <f t="shared" si="4"/>
        <v>0</v>
      </c>
      <c r="E71" s="192"/>
      <c r="F71" s="231"/>
      <c r="G71" s="205"/>
      <c r="H71" s="189"/>
      <c r="I71" s="190"/>
      <c r="J71" s="188"/>
      <c r="K71" s="172"/>
      <c r="L71" s="4"/>
      <c r="M71" s="4"/>
      <c r="N71" s="4"/>
      <c r="O71" s="193">
        <f>IF(O70+1&lt;=MIN('Données projet'!$E$9:$E$18),O70+1,"STOP")</f>
        <v>38</v>
      </c>
      <c r="P71" s="184">
        <f t="shared" si="5"/>
        <v>28.16256597074684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9">
        <f>'Données projet'!A80</f>
        <v>0</v>
      </c>
      <c r="B72" s="180">
        <f>'Données projet'!D80</f>
        <v>0</v>
      </c>
      <c r="C72" s="190"/>
      <c r="D72" s="178">
        <f t="shared" si="4"/>
        <v>0</v>
      </c>
      <c r="E72" s="192"/>
      <c r="F72" s="231"/>
      <c r="G72" s="205"/>
      <c r="H72" s="189"/>
      <c r="I72" s="190"/>
      <c r="J72" s="4"/>
      <c r="K72" s="172"/>
      <c r="L72" s="4"/>
      <c r="M72" s="4"/>
      <c r="N72" s="4"/>
      <c r="O72" s="193">
        <f>IF(O71+1&lt;=MIN('Données projet'!$E$9:$E$18),O71+1,"STOP")</f>
        <v>39</v>
      </c>
      <c r="P72" s="184">
        <f t="shared" si="5"/>
        <v>26.949823895451523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9">
        <f>'Données projet'!A81</f>
        <v>0</v>
      </c>
      <c r="B73" s="180">
        <f>'Données projet'!D81</f>
        <v>0</v>
      </c>
      <c r="C73" s="190"/>
      <c r="D73" s="178">
        <f t="shared" si="4"/>
        <v>0</v>
      </c>
      <c r="E73" s="192"/>
      <c r="F73" s="231"/>
      <c r="G73" s="205"/>
      <c r="H73" s="189"/>
      <c r="I73" s="190"/>
      <c r="J73" s="4"/>
      <c r="K73" s="172"/>
      <c r="L73" s="4"/>
      <c r="M73" s="4"/>
      <c r="N73" s="4"/>
      <c r="O73" s="193">
        <f>IF(O72+1&lt;=MIN('Données projet'!$E$9:$E$18),O72+1,"STOP")</f>
        <v>40</v>
      </c>
      <c r="P73" s="184">
        <f t="shared" si="5"/>
        <v>25.789305163111511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9"/>
      <c r="G74" s="205"/>
      <c r="H74" s="189"/>
      <c r="I74" s="190"/>
      <c r="J74" s="4"/>
      <c r="K74" s="172"/>
      <c r="L74" s="4"/>
      <c r="M74" s="4"/>
      <c r="N74" s="4"/>
      <c r="O74" s="193">
        <f>IF(O73+1&lt;=MIN('Données projet'!$E$9:$E$18),O73+1,"STOP")</f>
        <v>41</v>
      </c>
      <c r="P74" s="184">
        <f t="shared" si="5"/>
        <v>24.678760921637814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9"/>
      <c r="G75" s="205"/>
      <c r="H75" s="189"/>
      <c r="I75" s="190"/>
      <c r="J75" s="4"/>
      <c r="K75" s="172"/>
      <c r="L75" s="4"/>
      <c r="M75" s="4"/>
      <c r="N75" s="4"/>
      <c r="O75" s="193">
        <f>IF(O74+1&lt;=MIN('Données projet'!$E$9:$E$18),O74+1,"STOP")</f>
        <v>42</v>
      </c>
      <c r="P75" s="184">
        <f t="shared" si="5"/>
        <v>23.616039159462026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20</v>
      </c>
      <c r="B76" s="173" t="str">
        <f>IF('Données projet'!B11="","",'Données projet'!B11)</f>
        <v>Charme</v>
      </c>
      <c r="C76" s="4"/>
      <c r="D76" s="4"/>
      <c r="E76" s="4"/>
      <c r="F76" s="229"/>
      <c r="G76" s="205"/>
      <c r="H76" s="189"/>
      <c r="I76" s="190"/>
      <c r="J76" s="4"/>
      <c r="K76" s="172"/>
      <c r="L76" s="4"/>
      <c r="M76" s="4"/>
      <c r="N76" s="4"/>
      <c r="O76" s="193">
        <f>IF(O75+1&lt;=MIN('Données projet'!$E$9:$E$18),O75+1,"STOP")</f>
        <v>43</v>
      </c>
      <c r="P76" s="184">
        <f t="shared" si="5"/>
        <v>22.599080535370359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9"/>
      <c r="G77" s="205"/>
      <c r="H77" s="189"/>
      <c r="I77" s="190"/>
      <c r="J77" s="4"/>
      <c r="K77" s="172"/>
      <c r="L77" s="4"/>
      <c r="M77" s="4"/>
      <c r="N77" s="4"/>
      <c r="O77" s="193">
        <f>IF(O76+1&lt;=MIN('Données projet'!$E$9:$E$18),O76+1,"STOP")</f>
        <v>44</v>
      </c>
      <c r="P77" s="184">
        <f t="shared" si="5"/>
        <v>21.625914387914221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51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30"/>
      <c r="G78" s="205"/>
      <c r="H78" s="189"/>
      <c r="I78" s="190"/>
      <c r="J78" s="4"/>
      <c r="K78" s="172"/>
      <c r="L78" s="4"/>
      <c r="M78" s="4"/>
      <c r="N78" s="4"/>
      <c r="O78" s="193">
        <f>IF(O77+1&lt;=MIN('Données projet'!$E$9:$E$18),O77+1,"STOP")</f>
        <v>45</v>
      </c>
      <c r="P78" s="184">
        <f t="shared" si="5"/>
        <v>20.694654916664327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8" t="s">
        <v>194</v>
      </c>
      <c r="C79" s="197" t="s">
        <v>194</v>
      </c>
      <c r="D79" s="196" t="s">
        <v>194</v>
      </c>
      <c r="E79" s="192"/>
      <c r="F79" s="230"/>
      <c r="G79" s="205"/>
      <c r="H79" s="189"/>
      <c r="I79" s="190"/>
      <c r="J79" s="4"/>
      <c r="K79" s="172"/>
      <c r="L79" s="4"/>
      <c r="M79" s="4"/>
      <c r="N79" s="4"/>
      <c r="O79" s="193">
        <f>IF(O78+1&lt;=MIN('Données projet'!$E$9:$E$18),O78+1,"STOP")</f>
        <v>46</v>
      </c>
      <c r="P79" s="184">
        <f t="shared" si="5"/>
        <v>19.803497527908451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8" t="s">
        <v>194</v>
      </c>
      <c r="C80" s="197" t="s">
        <v>194</v>
      </c>
      <c r="D80" s="196" t="s">
        <v>194</v>
      </c>
      <c r="E80" s="192"/>
      <c r="F80" s="230"/>
      <c r="G80" s="23"/>
      <c r="H80" s="189"/>
      <c r="I80" s="190"/>
      <c r="J80" s="4"/>
      <c r="K80" s="172"/>
      <c r="L80" s="4"/>
      <c r="M80" s="4"/>
      <c r="N80" s="4"/>
      <c r="O80" s="193">
        <f>IF(O79+1&lt;=MIN('Données projet'!$E$9:$E$18),O79+1,"STOP")</f>
        <v>47</v>
      </c>
      <c r="P80" s="184">
        <f t="shared" si="5"/>
        <v>18.950715337711436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8" t="s">
        <v>194</v>
      </c>
      <c r="C81" s="197" t="s">
        <v>194</v>
      </c>
      <c r="D81" s="196" t="s">
        <v>194</v>
      </c>
      <c r="E81" s="192"/>
      <c r="F81" s="230"/>
      <c r="G81" s="23"/>
      <c r="H81" s="189"/>
      <c r="I81" s="190"/>
      <c r="J81" s="4"/>
      <c r="K81" s="172"/>
      <c r="L81" s="4"/>
      <c r="M81" s="4"/>
      <c r="N81" s="4"/>
      <c r="O81" s="193">
        <f>IF(O80+1&lt;=MIN('Données projet'!$E$9:$E$18),O80+1,"STOP")</f>
        <v>48</v>
      </c>
      <c r="P81" s="184">
        <f t="shared" si="5"/>
        <v>18.13465582556119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8" t="s">
        <v>194</v>
      </c>
      <c r="C82" s="197" t="s">
        <v>194</v>
      </c>
      <c r="D82" s="196" t="s">
        <v>194</v>
      </c>
      <c r="E82" s="192"/>
      <c r="F82" s="230"/>
      <c r="G82" s="23"/>
      <c r="H82" s="189"/>
      <c r="I82" s="190"/>
      <c r="J82" s="4"/>
      <c r="K82" s="172"/>
      <c r="L82" s="4"/>
      <c r="M82" s="4"/>
      <c r="N82" s="4"/>
      <c r="O82" s="193">
        <f>IF(O81+1&lt;=MIN('Données projet'!$E$9:$E$18),O81+1,"STOP")</f>
        <v>49</v>
      </c>
      <c r="P82" s="184">
        <f t="shared" si="5"/>
        <v>17.353737632115969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8" t="s">
        <v>194</v>
      </c>
      <c r="C83" s="197" t="s">
        <v>194</v>
      </c>
      <c r="D83" s="196" t="s">
        <v>194</v>
      </c>
      <c r="E83" s="192"/>
      <c r="F83" s="230"/>
      <c r="G83" s="23"/>
      <c r="H83" s="189"/>
      <c r="I83" s="190"/>
      <c r="J83" s="4"/>
      <c r="K83" s="172"/>
      <c r="L83" s="4"/>
      <c r="M83" s="4"/>
      <c r="N83" s="4"/>
      <c r="O83" s="193">
        <f>IF(O82+1&lt;=MIN('Données projet'!$E$9:$E$18),O82+1,"STOP")</f>
        <v>50</v>
      </c>
      <c r="P83" s="184">
        <f t="shared" si="5"/>
        <v>16.606447494847824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8" t="s">
        <v>194</v>
      </c>
      <c r="C84" s="197" t="s">
        <v>194</v>
      </c>
      <c r="D84" s="196" t="s">
        <v>194</v>
      </c>
      <c r="E84" s="192"/>
      <c r="F84" s="230"/>
      <c r="G84" s="204"/>
      <c r="H84" s="189"/>
      <c r="I84" s="190"/>
      <c r="J84" s="4"/>
      <c r="K84" s="172"/>
      <c r="L84" s="4"/>
      <c r="M84" s="4"/>
      <c r="N84" s="4"/>
      <c r="O84" s="193">
        <f>IF(O83+1&lt;=MIN('Données projet'!$E$9:$E$18),O83+1,"STOP")</f>
        <v>51</v>
      </c>
      <c r="P84" s="184">
        <f t="shared" si="5"/>
        <v>15.891337315643849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9">
        <f>'Données projet'!A88</f>
        <v>15</v>
      </c>
      <c r="B85" s="180">
        <f>'Données projet'!D88</f>
        <v>32</v>
      </c>
      <c r="C85" s="190">
        <v>11.25</v>
      </c>
      <c r="D85" s="178">
        <f>B85*C85</f>
        <v>360</v>
      </c>
      <c r="E85" s="192">
        <v>60</v>
      </c>
      <c r="F85" s="231"/>
      <c r="G85" s="204"/>
      <c r="H85" s="189"/>
      <c r="I85" s="190"/>
      <c r="J85" s="4"/>
      <c r="K85" s="172"/>
      <c r="L85" s="4"/>
      <c r="M85" s="4"/>
      <c r="N85" s="4"/>
      <c r="O85" s="193">
        <f>IF(O84+1&lt;=MIN('Données projet'!$E$9:$E$18),O84+1,"STOP")</f>
        <v>52</v>
      </c>
      <c r="P85" s="184">
        <f t="shared" si="5"/>
        <v>15.207021354683112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9">
        <f>'Données projet'!A89</f>
        <v>20</v>
      </c>
      <c r="B86" s="180">
        <f>'Données projet'!D89</f>
        <v>35</v>
      </c>
      <c r="C86" s="190">
        <v>11.25</v>
      </c>
      <c r="D86" s="178">
        <f t="shared" ref="D86:D104" si="6">B86*C86</f>
        <v>393.75</v>
      </c>
      <c r="E86" s="192">
        <v>60</v>
      </c>
      <c r="F86" s="231"/>
      <c r="G86" s="204"/>
      <c r="H86" s="189"/>
      <c r="I86" s="190"/>
      <c r="J86" s="4"/>
      <c r="K86" s="172"/>
      <c r="L86" s="4"/>
      <c r="M86" s="4"/>
      <c r="N86" s="4"/>
      <c r="O86" s="193">
        <f>IF(O85+1&lt;=MIN('Données projet'!$E$9:$E$18),O85+1,"STOP")</f>
        <v>53</v>
      </c>
      <c r="P86" s="184">
        <f t="shared" si="5"/>
        <v>14.552173545151303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9">
        <f>'Données projet'!A90</f>
        <v>25</v>
      </c>
      <c r="B87" s="180">
        <f>'Données projet'!D90</f>
        <v>35</v>
      </c>
      <c r="C87" s="190">
        <v>11.25</v>
      </c>
      <c r="D87" s="178">
        <f t="shared" si="6"/>
        <v>393.75</v>
      </c>
      <c r="E87" s="192">
        <v>60</v>
      </c>
      <c r="F87" s="231"/>
      <c r="G87" s="204"/>
      <c r="H87" s="189"/>
      <c r="I87" s="190"/>
      <c r="J87" s="4"/>
      <c r="K87" s="172"/>
      <c r="L87" s="4"/>
      <c r="M87" s="4"/>
      <c r="N87" s="4"/>
      <c r="O87" s="193">
        <f>IF(O86+1&lt;=MIN('Données projet'!$E$9:$E$18),O86+1,"STOP")</f>
        <v>54</v>
      </c>
      <c r="P87" s="184">
        <f t="shared" si="5"/>
        <v>13.925524923589769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9">
        <f>'Données projet'!A91</f>
        <v>30</v>
      </c>
      <c r="B88" s="180">
        <f>'Données projet'!D91</f>
        <v>35</v>
      </c>
      <c r="C88" s="190">
        <v>18.125</v>
      </c>
      <c r="D88" s="178">
        <f t="shared" si="6"/>
        <v>634.375</v>
      </c>
      <c r="E88" s="192">
        <v>60</v>
      </c>
      <c r="F88" s="231"/>
      <c r="G88" s="204"/>
      <c r="H88" s="189"/>
      <c r="I88" s="190"/>
      <c r="J88" s="4"/>
      <c r="K88" s="172"/>
      <c r="L88" s="4"/>
      <c r="M88" s="4"/>
      <c r="N88" s="4"/>
      <c r="O88" s="193">
        <f>IF(O87+1&lt;=MIN('Données projet'!$E$9:$E$18),O87+1,"STOP")</f>
        <v>55</v>
      </c>
      <c r="P88" s="184">
        <f t="shared" si="5"/>
        <v>13.3258611708993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9">
        <f>'Données projet'!A92</f>
        <v>35</v>
      </c>
      <c r="B89" s="180">
        <f>'Données projet'!D92</f>
        <v>35</v>
      </c>
      <c r="C89" s="190">
        <v>18.125</v>
      </c>
      <c r="D89" s="178">
        <f t="shared" si="6"/>
        <v>634.375</v>
      </c>
      <c r="E89" s="192">
        <v>60</v>
      </c>
      <c r="F89" s="231"/>
      <c r="G89" s="204"/>
      <c r="H89" s="189"/>
      <c r="I89" s="190"/>
      <c r="J89" s="4"/>
      <c r="K89" s="172"/>
      <c r="L89" s="4"/>
      <c r="M89" s="4"/>
      <c r="N89" s="4"/>
      <c r="O89" s="193">
        <f>IF(O88+1&lt;=MIN('Données projet'!$E$9:$E$18),O88+1,"STOP")</f>
        <v>56</v>
      </c>
      <c r="P89" s="184">
        <f t="shared" si="5"/>
        <v>12.752020259233783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9">
        <f>'Données projet'!A93</f>
        <v>40</v>
      </c>
      <c r="B90" s="180">
        <f>'Données projet'!D93</f>
        <v>35</v>
      </c>
      <c r="C90" s="190">
        <v>18.125</v>
      </c>
      <c r="D90" s="178">
        <f t="shared" si="6"/>
        <v>634.375</v>
      </c>
      <c r="E90" s="192">
        <v>60</v>
      </c>
      <c r="F90" s="231"/>
      <c r="G90" s="204"/>
      <c r="H90" s="189"/>
      <c r="I90" s="190"/>
      <c r="J90" s="4"/>
      <c r="K90" s="172"/>
      <c r="L90" s="4"/>
      <c r="M90" s="4"/>
      <c r="N90" s="4"/>
      <c r="O90" s="193" t="str">
        <f>IF(O89+1&lt;=MIN('Données projet'!$E$9:$E$18),O89+1,"STOP")</f>
        <v>STOP</v>
      </c>
      <c r="P90" s="184" t="e">
        <f t="shared" si="5"/>
        <v>#VALUE!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9">
        <f>'Données projet'!A94</f>
        <v>45</v>
      </c>
      <c r="B91" s="180">
        <f>'Données projet'!D94</f>
        <v>24</v>
      </c>
      <c r="C91" s="190">
        <v>18.125</v>
      </c>
      <c r="D91" s="178">
        <f t="shared" si="6"/>
        <v>435</v>
      </c>
      <c r="E91" s="192">
        <v>60</v>
      </c>
      <c r="F91" s="231"/>
      <c r="G91" s="205"/>
      <c r="H91" s="189"/>
      <c r="I91" s="190"/>
      <c r="J91" s="4"/>
      <c r="K91" s="172"/>
      <c r="L91" s="4"/>
      <c r="M91" s="4"/>
      <c r="N91" s="4"/>
      <c r="O91" s="193" t="e">
        <f>IF(O90+1&lt;=MIN('Données projet'!$E$9:$E$18),O90+1,"STOP")</f>
        <v>#VALUE!</v>
      </c>
      <c r="P91" s="184" t="e">
        <f t="shared" si="5"/>
        <v>#VALUE!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9">
        <f>'Données projet'!A95</f>
        <v>50</v>
      </c>
      <c r="B92" s="180">
        <f>'Données projet'!D95</f>
        <v>19</v>
      </c>
      <c r="C92" s="190">
        <v>18.125</v>
      </c>
      <c r="D92" s="178">
        <f t="shared" si="6"/>
        <v>344.375</v>
      </c>
      <c r="E92" s="192">
        <v>60</v>
      </c>
      <c r="F92" s="231"/>
      <c r="G92" s="205"/>
      <c r="H92" s="189"/>
      <c r="I92" s="190"/>
      <c r="J92" s="4"/>
      <c r="K92" s="172"/>
      <c r="L92" s="4"/>
      <c r="M92" s="4"/>
      <c r="N92" s="4"/>
      <c r="O92" s="193" t="e">
        <f>IF(O91+1&lt;=MIN('Données projet'!$E$9:$E$18),O91+1,"STOP")</f>
        <v>#VALUE!</v>
      </c>
      <c r="P92" s="184" t="e">
        <f t="shared" si="5"/>
        <v>#VALUE!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9">
        <f>'Données projet'!A96</f>
        <v>55</v>
      </c>
      <c r="B93" s="180">
        <f>'Données projet'!D96</f>
        <v>16</v>
      </c>
      <c r="C93" s="190">
        <v>32.1875</v>
      </c>
      <c r="D93" s="178">
        <f t="shared" si="6"/>
        <v>515</v>
      </c>
      <c r="E93" s="192">
        <v>60</v>
      </c>
      <c r="F93" s="231"/>
      <c r="G93" s="205"/>
      <c r="H93" s="189"/>
      <c r="I93" s="190"/>
      <c r="J93" s="4"/>
      <c r="K93" s="172"/>
      <c r="L93" s="4"/>
      <c r="M93" s="4"/>
      <c r="N93" s="4"/>
      <c r="O93" s="193" t="e">
        <f>IF(O92+1&lt;=MIN('Données projet'!$E$9:$E$18),O92+1,"STOP")</f>
        <v>#VALUE!</v>
      </c>
      <c r="P93" s="184" t="e">
        <f t="shared" si="5"/>
        <v>#VALUE!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9">
        <f>'Données projet'!A97</f>
        <v>60</v>
      </c>
      <c r="B94" s="180">
        <f>'Données projet'!D97</f>
        <v>14</v>
      </c>
      <c r="C94" s="190">
        <v>32.1875</v>
      </c>
      <c r="D94" s="178">
        <f t="shared" si="6"/>
        <v>450.625</v>
      </c>
      <c r="E94" s="192">
        <v>60</v>
      </c>
      <c r="F94" s="231"/>
      <c r="G94" s="205"/>
      <c r="H94" s="189"/>
      <c r="I94" s="190"/>
      <c r="J94" s="4"/>
      <c r="K94" s="172"/>
      <c r="L94" s="4"/>
      <c r="M94" s="4"/>
      <c r="N94" s="4"/>
      <c r="O94" s="193" t="e">
        <f>IF(O93+1&lt;=MIN('Données projet'!$E$9:$E$18),O93+1,"STOP")</f>
        <v>#VALUE!</v>
      </c>
      <c r="P94" s="184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9">
        <f>'Données projet'!A98</f>
        <v>65</v>
      </c>
      <c r="B95" s="180">
        <f>'Données projet'!D98</f>
        <v>13</v>
      </c>
      <c r="C95" s="190">
        <v>32.1875</v>
      </c>
      <c r="D95" s="178">
        <f t="shared" si="6"/>
        <v>418.4375</v>
      </c>
      <c r="E95" s="192">
        <v>60</v>
      </c>
      <c r="F95" s="231"/>
      <c r="G95" s="205"/>
      <c r="H95" s="189"/>
      <c r="I95" s="190"/>
      <c r="J95" s="4"/>
      <c r="K95" s="172"/>
      <c r="L95" s="4"/>
      <c r="M95" s="4"/>
      <c r="N95" s="4"/>
      <c r="O95" s="193" t="e">
        <f>IF(O94+1&lt;=MIN('Données projet'!$E$9:$E$18),O94+1,"STOP")</f>
        <v>#VALUE!</v>
      </c>
      <c r="P95" s="184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9">
        <f>'Données projet'!A99</f>
        <v>70</v>
      </c>
      <c r="B96" s="180">
        <f>'Données projet'!D99</f>
        <v>13</v>
      </c>
      <c r="C96" s="190">
        <v>32.1875</v>
      </c>
      <c r="D96" s="178">
        <f t="shared" si="6"/>
        <v>418.4375</v>
      </c>
      <c r="E96" s="192">
        <v>60</v>
      </c>
      <c r="F96" s="231"/>
      <c r="G96" s="205"/>
      <c r="H96" s="189"/>
      <c r="I96" s="190"/>
      <c r="J96" s="4"/>
      <c r="K96" s="172"/>
      <c r="L96" s="4"/>
      <c r="M96" s="4"/>
      <c r="N96" s="4"/>
      <c r="O96" s="193" t="e">
        <f>IF(O95+1&lt;=MIN('Données projet'!$E$9:$E$18),O95+1,"STOP")</f>
        <v>#VALUE!</v>
      </c>
      <c r="P96" s="184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9">
        <f>'Données projet'!A100</f>
        <v>75</v>
      </c>
      <c r="B97" s="180">
        <f>'Données projet'!D100</f>
        <v>12</v>
      </c>
      <c r="C97" s="190">
        <v>32.1875</v>
      </c>
      <c r="D97" s="178">
        <f t="shared" si="6"/>
        <v>386.25</v>
      </c>
      <c r="E97" s="192">
        <v>60</v>
      </c>
      <c r="F97" s="231"/>
      <c r="G97" s="205"/>
      <c r="H97" s="189"/>
      <c r="I97" s="190"/>
      <c r="J97" s="4"/>
      <c r="K97" s="172"/>
      <c r="L97" s="4"/>
      <c r="M97" s="4"/>
      <c r="N97" s="4"/>
      <c r="O97" s="193" t="e">
        <f>IF(O96+1&lt;=MIN('Données projet'!$E$9:$E$18),O96+1,"STOP")</f>
        <v>#VALUE!</v>
      </c>
      <c r="P97" s="184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9">
        <f>'Données projet'!A101</f>
        <v>80</v>
      </c>
      <c r="B98" s="180">
        <f>'Données projet'!D101</f>
        <v>330</v>
      </c>
      <c r="C98" s="190">
        <v>32.1875</v>
      </c>
      <c r="D98" s="178">
        <f t="shared" si="6"/>
        <v>10621.875</v>
      </c>
      <c r="E98" s="192">
        <v>60</v>
      </c>
      <c r="F98" s="231"/>
      <c r="G98" s="205"/>
      <c r="H98" s="189"/>
      <c r="I98" s="190"/>
      <c r="J98" s="4"/>
      <c r="K98" s="172"/>
      <c r="L98" s="4"/>
      <c r="M98" s="4"/>
      <c r="N98" s="4"/>
      <c r="O98" s="193" t="e">
        <f>IF(O97+1&lt;=MIN('Données projet'!$E$9:$E$18),O97+1,"STOP")</f>
        <v>#VALUE!</v>
      </c>
      <c r="P98" s="184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9">
        <f>'Données projet'!A102</f>
        <v>0</v>
      </c>
      <c r="B99" s="180">
        <f>'Données projet'!D102</f>
        <v>0</v>
      </c>
      <c r="C99" s="190"/>
      <c r="D99" s="178">
        <f t="shared" si="6"/>
        <v>0</v>
      </c>
      <c r="E99" s="192"/>
      <c r="F99" s="231"/>
      <c r="G99" s="205"/>
      <c r="H99" s="189"/>
      <c r="I99" s="190"/>
      <c r="J99" s="4"/>
      <c r="K99" s="172"/>
      <c r="L99" s="4"/>
      <c r="M99" s="4"/>
      <c r="N99" s="4"/>
      <c r="O99" s="193" t="e">
        <f>IF(O98+1&lt;=MIN('Données projet'!$E$9:$E$18),O98+1,"STOP")</f>
        <v>#VALUE!</v>
      </c>
      <c r="P99" s="184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9">
        <f>'Données projet'!A103</f>
        <v>0</v>
      </c>
      <c r="B100" s="180">
        <f>'Données projet'!D103</f>
        <v>0</v>
      </c>
      <c r="C100" s="190"/>
      <c r="D100" s="178">
        <f t="shared" si="6"/>
        <v>0</v>
      </c>
      <c r="E100" s="192"/>
      <c r="F100" s="231"/>
      <c r="G100" s="205"/>
      <c r="H100" s="189"/>
      <c r="I100" s="190"/>
      <c r="J100" s="4"/>
      <c r="K100" s="172"/>
      <c r="L100" s="4"/>
      <c r="M100" s="4"/>
      <c r="N100" s="4"/>
      <c r="O100" s="193" t="e">
        <f>IF(O99+1&lt;=MIN('Données projet'!$E$9:$E$18),O99+1,"STOP")</f>
        <v>#VALUE!</v>
      </c>
      <c r="P100" s="184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9">
        <f>'Données projet'!A104</f>
        <v>0</v>
      </c>
      <c r="B101" s="180">
        <f>'Données projet'!D104</f>
        <v>0</v>
      </c>
      <c r="C101" s="190"/>
      <c r="D101" s="178">
        <f t="shared" si="6"/>
        <v>0</v>
      </c>
      <c r="E101" s="192"/>
      <c r="F101" s="231"/>
      <c r="G101" s="205"/>
      <c r="H101" s="189"/>
      <c r="I101" s="190"/>
      <c r="J101" s="4"/>
      <c r="K101" s="172"/>
      <c r="L101" s="4"/>
      <c r="M101" s="4"/>
      <c r="N101" s="4"/>
      <c r="O101" s="193" t="e">
        <f>IF(O100+1&lt;=MIN('Données projet'!$E$9:$E$18),O100+1,"STOP")</f>
        <v>#VALUE!</v>
      </c>
      <c r="P101" s="184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9">
        <f>'Données projet'!A105</f>
        <v>0</v>
      </c>
      <c r="B102" s="180">
        <f>'Données projet'!D105</f>
        <v>0</v>
      </c>
      <c r="C102" s="190"/>
      <c r="D102" s="178">
        <f t="shared" si="6"/>
        <v>0</v>
      </c>
      <c r="E102" s="192"/>
      <c r="F102" s="231"/>
      <c r="G102" s="205"/>
      <c r="H102" s="189"/>
      <c r="I102" s="190"/>
      <c r="J102" s="4"/>
      <c r="K102" s="172"/>
      <c r="L102" s="4"/>
      <c r="M102" s="4"/>
      <c r="N102" s="4"/>
      <c r="O102" s="193" t="e">
        <f>IF(O101+1&lt;=MIN('Données projet'!$E$9:$E$18),O101+1,"STOP")</f>
        <v>#VALUE!</v>
      </c>
      <c r="P102" s="184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9">
        <f>'Données projet'!A106</f>
        <v>0</v>
      </c>
      <c r="B103" s="180">
        <f>'Données projet'!D106</f>
        <v>0</v>
      </c>
      <c r="C103" s="190"/>
      <c r="D103" s="178">
        <f t="shared" si="6"/>
        <v>0</v>
      </c>
      <c r="E103" s="192"/>
      <c r="F103" s="231"/>
      <c r="G103" s="205"/>
      <c r="H103" s="189"/>
      <c r="I103" s="190"/>
      <c r="J103" s="4"/>
      <c r="K103" s="172"/>
      <c r="L103" s="4"/>
      <c r="M103" s="4"/>
      <c r="N103" s="4"/>
      <c r="O103" s="193" t="e">
        <f>IF(O102+1&lt;=MIN('Données projet'!$E$9:$E$18),O102+1,"STOP")</f>
        <v>#VALUE!</v>
      </c>
      <c r="P103" s="184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9">
        <f>'Données projet'!A107</f>
        <v>0</v>
      </c>
      <c r="B104" s="180">
        <f>'Données projet'!D107</f>
        <v>0</v>
      </c>
      <c r="C104" s="190"/>
      <c r="D104" s="178">
        <f t="shared" si="6"/>
        <v>0</v>
      </c>
      <c r="E104" s="192"/>
      <c r="F104" s="231"/>
      <c r="G104" s="205"/>
      <c r="H104" s="189"/>
      <c r="I104" s="190"/>
      <c r="J104" s="4"/>
      <c r="K104" s="172"/>
      <c r="L104" s="4"/>
      <c r="M104" s="4"/>
      <c r="N104" s="4"/>
      <c r="O104" s="193" t="e">
        <f>IF(O103+1&lt;=MIN('Données projet'!$E$9:$E$18),O103+1,"STOP")</f>
        <v>#VALUE!</v>
      </c>
      <c r="P104" s="184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9"/>
      <c r="G105" s="205"/>
      <c r="H105" s="189"/>
      <c r="I105" s="190"/>
      <c r="J105" s="4"/>
      <c r="K105" s="172"/>
      <c r="L105" s="4"/>
      <c r="M105" s="4"/>
      <c r="N105" s="4"/>
      <c r="O105" s="193" t="e">
        <f>IF(O104+1&lt;=MIN('Données projet'!$E$9:$E$18),O104+1,"STOP")</f>
        <v>#VALUE!</v>
      </c>
      <c r="P105" s="184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9"/>
      <c r="G106" s="205"/>
      <c r="H106" s="189"/>
      <c r="I106" s="190"/>
      <c r="J106" s="4"/>
      <c r="K106" s="172"/>
      <c r="L106" s="4"/>
      <c r="M106" s="4"/>
      <c r="N106" s="4"/>
      <c r="O106" s="193" t="e">
        <f>IF(O105+1&lt;=MIN('Données projet'!$E$9:$E$18),O105+1,"STOP")</f>
        <v>#VALUE!</v>
      </c>
      <c r="P106" s="184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22</v>
      </c>
      <c r="B107" s="173" t="str">
        <f>IF('Données projet'!B12="","",'Données projet'!B12)</f>
        <v>Erable champêtre</v>
      </c>
      <c r="C107" s="4"/>
      <c r="D107" s="4"/>
      <c r="E107" s="4"/>
      <c r="F107" s="229"/>
      <c r="G107" s="205"/>
      <c r="H107" s="189"/>
      <c r="I107" s="190"/>
      <c r="J107" s="4"/>
      <c r="K107" s="172"/>
      <c r="L107" s="4"/>
      <c r="M107" s="4"/>
      <c r="N107" s="4"/>
      <c r="O107" s="193" t="e">
        <f>IF(O106+1&lt;=MIN('Données projet'!$E$9:$E$18),O106+1,"STOP")</f>
        <v>#VALUE!</v>
      </c>
      <c r="P107" s="184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9"/>
      <c r="G108" s="205"/>
      <c r="H108" s="189"/>
      <c r="I108" s="190"/>
      <c r="J108" s="4"/>
      <c r="K108" s="172"/>
      <c r="L108" s="4"/>
      <c r="M108" s="4"/>
      <c r="N108" s="4"/>
      <c r="O108" s="193" t="e">
        <f>IF(O107+1&lt;=MIN('Données projet'!$E$9:$E$18),O107+1,"STOP")</f>
        <v>#VALUE!</v>
      </c>
      <c r="P108" s="184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51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30"/>
      <c r="G109" s="205"/>
      <c r="H109" s="189"/>
      <c r="I109" s="190"/>
      <c r="J109" s="4"/>
      <c r="K109" s="172"/>
      <c r="L109" s="4"/>
      <c r="M109" s="4"/>
      <c r="N109" s="4"/>
      <c r="O109" s="193" t="e">
        <f>IF(O108+1&lt;=MIN('Données projet'!$E$9:$E$18),O108+1,"STOP")</f>
        <v>#VALUE!</v>
      </c>
      <c r="P109" s="184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8" t="s">
        <v>194</v>
      </c>
      <c r="C110" s="197" t="s">
        <v>194</v>
      </c>
      <c r="D110" s="196" t="s">
        <v>194</v>
      </c>
      <c r="E110" s="192"/>
      <c r="F110" s="230"/>
      <c r="G110" s="205"/>
      <c r="H110" s="189"/>
      <c r="I110" s="190"/>
      <c r="J110" s="4"/>
      <c r="K110" s="172"/>
      <c r="L110" s="4"/>
      <c r="M110" s="4"/>
      <c r="N110" s="4"/>
      <c r="O110" s="193" t="e">
        <f>IF(O109+1&lt;=MIN('Données projet'!$E$9:$E$18),O109+1,"STOP")</f>
        <v>#VALUE!</v>
      </c>
      <c r="P110" s="184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8" t="s">
        <v>194</v>
      </c>
      <c r="C111" s="197" t="s">
        <v>194</v>
      </c>
      <c r="D111" s="196" t="s">
        <v>194</v>
      </c>
      <c r="E111" s="192"/>
      <c r="F111" s="230"/>
      <c r="G111" s="23"/>
      <c r="H111" s="189"/>
      <c r="I111" s="190"/>
      <c r="J111" s="4"/>
      <c r="K111" s="172"/>
      <c r="L111" s="4"/>
      <c r="M111" s="4"/>
      <c r="N111" s="4"/>
      <c r="O111" s="193" t="e">
        <f>IF(O110+1&lt;=MIN('Données projet'!$E$9:$E$18),O110+1,"STOP")</f>
        <v>#VALUE!</v>
      </c>
      <c r="P111" s="184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8" t="s">
        <v>194</v>
      </c>
      <c r="C112" s="197" t="s">
        <v>194</v>
      </c>
      <c r="D112" s="196" t="s">
        <v>194</v>
      </c>
      <c r="E112" s="192"/>
      <c r="F112" s="230"/>
      <c r="G112" s="23"/>
      <c r="H112" s="189"/>
      <c r="I112" s="190"/>
      <c r="J112" s="4"/>
      <c r="K112" s="172"/>
      <c r="L112" s="4"/>
      <c r="M112" s="4"/>
      <c r="N112" s="4"/>
      <c r="O112" s="193" t="e">
        <f>IF(O111+1&lt;=MIN('Données projet'!$E$9:$E$18),O111+1,"STOP")</f>
        <v>#VALUE!</v>
      </c>
      <c r="P112" s="184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8" t="s">
        <v>194</v>
      </c>
      <c r="C113" s="197" t="s">
        <v>194</v>
      </c>
      <c r="D113" s="196" t="s">
        <v>194</v>
      </c>
      <c r="E113" s="192"/>
      <c r="F113" s="230"/>
      <c r="G113" s="23"/>
      <c r="H113" s="189"/>
      <c r="I113" s="190"/>
      <c r="J113" s="4"/>
      <c r="K113" s="172"/>
      <c r="L113" s="4"/>
      <c r="M113" s="4"/>
      <c r="N113" s="4"/>
      <c r="O113" s="193" t="e">
        <f>IF(O112+1&lt;=MIN('Données projet'!$E$9:$E$18),O112+1,"STOP")</f>
        <v>#VALUE!</v>
      </c>
      <c r="P113" s="184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8" t="s">
        <v>194</v>
      </c>
      <c r="C114" s="197" t="s">
        <v>194</v>
      </c>
      <c r="D114" s="196" t="s">
        <v>194</v>
      </c>
      <c r="E114" s="192"/>
      <c r="F114" s="230"/>
      <c r="G114" s="23"/>
      <c r="H114" s="189"/>
      <c r="I114" s="190"/>
      <c r="J114" s="4"/>
      <c r="K114" s="172"/>
      <c r="L114" s="4"/>
      <c r="M114" s="4"/>
      <c r="N114" s="4"/>
      <c r="O114" s="193" t="e">
        <f>IF(O113+1&lt;=MIN('Données projet'!$E$9:$E$18),O113+1,"STOP")</f>
        <v>#VALUE!</v>
      </c>
      <c r="P114" s="184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8" t="s">
        <v>194</v>
      </c>
      <c r="C115" s="197" t="s">
        <v>194</v>
      </c>
      <c r="D115" s="196" t="s">
        <v>194</v>
      </c>
      <c r="E115" s="192"/>
      <c r="F115" s="230"/>
      <c r="G115" s="204"/>
      <c r="H115" s="189"/>
      <c r="I115" s="190"/>
      <c r="J115" s="4"/>
      <c r="K115" s="172"/>
      <c r="L115" s="4"/>
      <c r="M115" s="4"/>
      <c r="N115" s="4"/>
      <c r="O115" s="193" t="e">
        <f>IF(O114+1&lt;=MIN('Données projet'!$E$9:$E$18),O114+1,"STOP")</f>
        <v>#VALUE!</v>
      </c>
      <c r="P115" s="184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9">
        <f>'Données projet'!A114</f>
        <v>15</v>
      </c>
      <c r="B116" s="180">
        <f>'Données projet'!D114</f>
        <v>32</v>
      </c>
      <c r="C116" s="190">
        <v>11.25</v>
      </c>
      <c r="D116" s="178">
        <f>B116*C116</f>
        <v>360</v>
      </c>
      <c r="E116" s="192">
        <v>60</v>
      </c>
      <c r="F116" s="231"/>
      <c r="G116" s="204"/>
      <c r="H116" s="189"/>
      <c r="I116" s="190"/>
      <c r="J116" s="4"/>
      <c r="K116" s="172"/>
      <c r="L116" s="4"/>
      <c r="M116" s="4"/>
      <c r="N116" s="4"/>
      <c r="O116" s="193" t="e">
        <f>IF(O115+1&lt;=MIN('Données projet'!$E$9:$E$18),O115+1,"STOP")</f>
        <v>#VALUE!</v>
      </c>
      <c r="P116" s="184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9">
        <f>'Données projet'!A115</f>
        <v>20</v>
      </c>
      <c r="B117" s="180">
        <f>'Données projet'!D115</f>
        <v>35</v>
      </c>
      <c r="C117" s="190">
        <v>11.25</v>
      </c>
      <c r="D117" s="178">
        <f t="shared" ref="D117:D135" si="8">B117*C117</f>
        <v>393.75</v>
      </c>
      <c r="E117" s="192">
        <v>60</v>
      </c>
      <c r="F117" s="231"/>
      <c r="G117" s="204"/>
      <c r="H117" s="189"/>
      <c r="I117" s="190"/>
      <c r="J117" s="4"/>
      <c r="K117" s="172"/>
      <c r="L117" s="4"/>
      <c r="M117" s="4"/>
      <c r="N117" s="4"/>
      <c r="O117" s="193" t="e">
        <f>IF(O116+1&lt;=MIN('Données projet'!$E$9:$E$18),O116+1,"STOP")</f>
        <v>#VALUE!</v>
      </c>
      <c r="P117" s="184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9">
        <f>'Données projet'!A116</f>
        <v>25</v>
      </c>
      <c r="B118" s="180">
        <f>'Données projet'!D116</f>
        <v>35</v>
      </c>
      <c r="C118" s="190">
        <v>11.25</v>
      </c>
      <c r="D118" s="178">
        <f t="shared" si="8"/>
        <v>393.75</v>
      </c>
      <c r="E118" s="192">
        <v>60</v>
      </c>
      <c r="F118" s="231"/>
      <c r="G118" s="204"/>
      <c r="H118" s="189"/>
      <c r="I118" s="190"/>
      <c r="J118" s="4"/>
      <c r="K118" s="172"/>
      <c r="L118" s="4"/>
      <c r="M118" s="4"/>
      <c r="N118" s="4"/>
      <c r="O118" s="193" t="e">
        <f>IF(O117+1&lt;=MIN('Données projet'!$E$9:$E$18),O117+1,"STOP")</f>
        <v>#VALUE!</v>
      </c>
      <c r="P118" s="184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9">
        <f>'Données projet'!A117</f>
        <v>30</v>
      </c>
      <c r="B119" s="180">
        <f>'Données projet'!D117</f>
        <v>35</v>
      </c>
      <c r="C119" s="190">
        <v>18.125</v>
      </c>
      <c r="D119" s="178">
        <f t="shared" si="8"/>
        <v>634.375</v>
      </c>
      <c r="E119" s="192">
        <v>60</v>
      </c>
      <c r="F119" s="231"/>
      <c r="G119" s="204"/>
      <c r="H119" s="189"/>
      <c r="I119" s="190"/>
      <c r="J119" s="4"/>
      <c r="K119" s="172"/>
      <c r="L119" s="4"/>
      <c r="M119" s="4"/>
      <c r="N119" s="4"/>
      <c r="O119" s="193" t="e">
        <f>IF(O118+1&lt;=MIN('Données projet'!$E$9:$E$18),O118+1,"STOP")</f>
        <v>#VALUE!</v>
      </c>
      <c r="P119" s="184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9">
        <f>'Données projet'!A118</f>
        <v>35</v>
      </c>
      <c r="B120" s="180">
        <f>'Données projet'!D118</f>
        <v>35</v>
      </c>
      <c r="C120" s="190">
        <v>18.125</v>
      </c>
      <c r="D120" s="178">
        <f t="shared" si="8"/>
        <v>634.375</v>
      </c>
      <c r="E120" s="192">
        <v>60</v>
      </c>
      <c r="F120" s="231"/>
      <c r="G120" s="204"/>
      <c r="H120" s="189"/>
      <c r="I120" s="190"/>
      <c r="J120" s="4"/>
      <c r="K120" s="172"/>
      <c r="L120" s="4"/>
      <c r="M120" s="4"/>
      <c r="N120" s="4"/>
      <c r="O120" s="193" t="e">
        <f>IF(O119+1&lt;=MIN('Données projet'!$E$9:$E$18),O119+1,"STOP")</f>
        <v>#VALUE!</v>
      </c>
      <c r="P120" s="184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9">
        <f>'Données projet'!A119</f>
        <v>40</v>
      </c>
      <c r="B121" s="180">
        <f>'Données projet'!D119</f>
        <v>35</v>
      </c>
      <c r="C121" s="190">
        <v>18.125</v>
      </c>
      <c r="D121" s="178">
        <f t="shared" si="8"/>
        <v>634.375</v>
      </c>
      <c r="E121" s="192">
        <v>60</v>
      </c>
      <c r="F121" s="231"/>
      <c r="G121" s="204"/>
      <c r="H121" s="189"/>
      <c r="I121" s="190"/>
      <c r="J121" s="4"/>
      <c r="K121" s="172"/>
      <c r="L121" s="4"/>
      <c r="M121" s="4"/>
      <c r="N121" s="4"/>
      <c r="O121" s="193" t="e">
        <f>IF(O120+1&lt;=MIN('Données projet'!$E$9:$E$18),O120+1,"STOP")</f>
        <v>#VALUE!</v>
      </c>
      <c r="P121" s="184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9">
        <f>'Données projet'!A120</f>
        <v>45</v>
      </c>
      <c r="B122" s="180">
        <f>'Données projet'!D120</f>
        <v>24</v>
      </c>
      <c r="C122" s="190">
        <v>18.125</v>
      </c>
      <c r="D122" s="178">
        <f t="shared" si="8"/>
        <v>435</v>
      </c>
      <c r="E122" s="192">
        <v>60</v>
      </c>
      <c r="F122" s="231"/>
      <c r="G122" s="205"/>
      <c r="H122" s="189"/>
      <c r="I122" s="190"/>
      <c r="J122" s="4"/>
      <c r="K122" s="172"/>
      <c r="L122" s="4"/>
      <c r="M122" s="4"/>
      <c r="N122" s="4"/>
      <c r="O122" s="193" t="e">
        <f>IF(O121+1&lt;=MIN('Données projet'!$E$9:$E$18),O121+1,"STOP")</f>
        <v>#VALUE!</v>
      </c>
      <c r="P122" s="184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9">
        <f>'Données projet'!A121</f>
        <v>50</v>
      </c>
      <c r="B123" s="180">
        <f>'Données projet'!D121</f>
        <v>19</v>
      </c>
      <c r="C123" s="190">
        <v>18.125</v>
      </c>
      <c r="D123" s="178">
        <f t="shared" si="8"/>
        <v>344.375</v>
      </c>
      <c r="E123" s="192">
        <v>60</v>
      </c>
      <c r="F123" s="231"/>
      <c r="G123" s="205"/>
      <c r="H123" s="189"/>
      <c r="I123" s="190"/>
      <c r="J123" s="4"/>
      <c r="K123" s="172"/>
      <c r="L123" s="4"/>
      <c r="M123" s="4"/>
      <c r="N123" s="4"/>
      <c r="O123" s="193" t="e">
        <f>IF(O122+1&lt;=MIN('Données projet'!$E$9:$E$18),O122+1,"STOP")</f>
        <v>#VALUE!</v>
      </c>
      <c r="P123" s="184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9">
        <f>'Données projet'!A122</f>
        <v>55</v>
      </c>
      <c r="B124" s="180">
        <f>'Données projet'!D122</f>
        <v>16</v>
      </c>
      <c r="C124" s="190">
        <v>32.1875</v>
      </c>
      <c r="D124" s="178">
        <f t="shared" si="8"/>
        <v>515</v>
      </c>
      <c r="E124" s="192">
        <v>60</v>
      </c>
      <c r="F124" s="231"/>
      <c r="G124" s="205"/>
      <c r="H124" s="189"/>
      <c r="I124" s="190"/>
      <c r="J124" s="4"/>
      <c r="K124" s="172"/>
      <c r="L124" s="4"/>
      <c r="M124" s="4"/>
      <c r="N124" s="4"/>
      <c r="O124" s="193" t="e">
        <f>IF(O123+1&lt;=MIN('Données projet'!$E$9:$E$18),O123+1,"STOP")</f>
        <v>#VALUE!</v>
      </c>
      <c r="P124" s="184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9">
        <f>'Données projet'!A123</f>
        <v>60</v>
      </c>
      <c r="B125" s="180">
        <f>'Données projet'!D123</f>
        <v>14</v>
      </c>
      <c r="C125" s="190">
        <v>32.1875</v>
      </c>
      <c r="D125" s="178">
        <f t="shared" si="8"/>
        <v>450.625</v>
      </c>
      <c r="E125" s="192">
        <v>60</v>
      </c>
      <c r="F125" s="231"/>
      <c r="G125" s="205"/>
      <c r="H125" s="189"/>
      <c r="I125" s="190"/>
      <c r="J125" s="4"/>
      <c r="K125" s="172"/>
      <c r="L125" s="4"/>
      <c r="M125" s="4"/>
      <c r="N125" s="4"/>
      <c r="O125" s="193" t="e">
        <f>IF(O124+1&lt;=MIN('Données projet'!$E$9:$E$18),O124+1,"STOP")</f>
        <v>#VALUE!</v>
      </c>
      <c r="P125" s="184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9">
        <f>'Données projet'!A124</f>
        <v>65</v>
      </c>
      <c r="B126" s="180">
        <f>'Données projet'!D124</f>
        <v>13</v>
      </c>
      <c r="C126" s="190">
        <v>32.1875</v>
      </c>
      <c r="D126" s="178">
        <f t="shared" si="8"/>
        <v>418.4375</v>
      </c>
      <c r="E126" s="192">
        <v>60</v>
      </c>
      <c r="F126" s="231"/>
      <c r="G126" s="205"/>
      <c r="H126" s="189"/>
      <c r="I126" s="190"/>
      <c r="J126" s="4"/>
      <c r="K126" s="172"/>
      <c r="L126" s="4"/>
      <c r="M126" s="4"/>
      <c r="N126" s="4"/>
      <c r="O126" s="193" t="e">
        <f>IF(O125+1&lt;=MIN('Données projet'!$E$9:$E$18),O125+1,"STOP")</f>
        <v>#VALUE!</v>
      </c>
      <c r="P126" s="184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9">
        <f>'Données projet'!A125</f>
        <v>70</v>
      </c>
      <c r="B127" s="180">
        <f>'Données projet'!D125</f>
        <v>13</v>
      </c>
      <c r="C127" s="190">
        <v>32.1875</v>
      </c>
      <c r="D127" s="178">
        <f t="shared" si="8"/>
        <v>418.4375</v>
      </c>
      <c r="E127" s="192">
        <v>60</v>
      </c>
      <c r="F127" s="231"/>
      <c r="G127" s="205"/>
      <c r="H127" s="189"/>
      <c r="I127" s="190"/>
      <c r="J127" s="4"/>
      <c r="K127" s="172"/>
      <c r="L127" s="4"/>
      <c r="M127" s="4"/>
      <c r="N127" s="4"/>
      <c r="O127" s="193" t="e">
        <f>IF(O126+1&lt;=MIN('Données projet'!$E$9:$E$18),O126+1,"STOP")</f>
        <v>#VALUE!</v>
      </c>
      <c r="P127" s="184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9">
        <f>'Données projet'!A126</f>
        <v>75</v>
      </c>
      <c r="B128" s="180">
        <f>'Données projet'!D126</f>
        <v>12</v>
      </c>
      <c r="C128" s="190">
        <v>32.1875</v>
      </c>
      <c r="D128" s="178">
        <f t="shared" si="8"/>
        <v>386.25</v>
      </c>
      <c r="E128" s="192">
        <v>60</v>
      </c>
      <c r="F128" s="231"/>
      <c r="G128" s="205"/>
      <c r="H128" s="189"/>
      <c r="I128" s="190"/>
      <c r="J128" s="4"/>
      <c r="K128" s="172"/>
      <c r="L128" s="4"/>
      <c r="M128" s="4"/>
      <c r="N128" s="4"/>
      <c r="O128" s="193" t="e">
        <f>IF(O127+1&lt;=MIN('Données projet'!$E$9:$E$18),O127+1,"STOP")</f>
        <v>#VALUE!</v>
      </c>
      <c r="P128" s="184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9">
        <f>'Données projet'!A127</f>
        <v>80</v>
      </c>
      <c r="B129" s="180">
        <f>'Données projet'!D127</f>
        <v>330</v>
      </c>
      <c r="C129" s="190">
        <v>32.1875</v>
      </c>
      <c r="D129" s="178">
        <f t="shared" si="8"/>
        <v>10621.875</v>
      </c>
      <c r="E129" s="192">
        <v>60</v>
      </c>
      <c r="F129" s="231"/>
      <c r="G129" s="205"/>
      <c r="H129" s="189"/>
      <c r="I129" s="190"/>
      <c r="J129" s="4"/>
      <c r="K129" s="172"/>
      <c r="L129" s="4"/>
      <c r="M129" s="4"/>
      <c r="N129" s="4"/>
      <c r="O129" s="193" t="e">
        <f>IF(O128+1&lt;=MIN('Données projet'!$E$9:$E$18),O128+1,"STOP")</f>
        <v>#VALUE!</v>
      </c>
      <c r="P129" s="184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9">
        <f>'Données projet'!A128</f>
        <v>0</v>
      </c>
      <c r="B130" s="180">
        <f>'Données projet'!D128</f>
        <v>0</v>
      </c>
      <c r="C130" s="190"/>
      <c r="D130" s="178">
        <f t="shared" si="8"/>
        <v>0</v>
      </c>
      <c r="E130" s="192"/>
      <c r="F130" s="231"/>
      <c r="G130" s="205"/>
      <c r="H130" s="189"/>
      <c r="I130" s="190"/>
      <c r="J130" s="4"/>
      <c r="K130" s="172"/>
      <c r="L130" s="4"/>
      <c r="M130" s="4"/>
      <c r="N130" s="4"/>
      <c r="O130" s="193" t="e">
        <f>IF(O129+1&lt;=MIN('Données projet'!$E$9:$E$18),O129+1,"STOP")</f>
        <v>#VALUE!</v>
      </c>
      <c r="P130" s="184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9">
        <f>'Données projet'!A129</f>
        <v>0</v>
      </c>
      <c r="B131" s="180">
        <f>'Données projet'!D129</f>
        <v>0</v>
      </c>
      <c r="C131" s="190"/>
      <c r="D131" s="178">
        <f t="shared" si="8"/>
        <v>0</v>
      </c>
      <c r="E131" s="192"/>
      <c r="F131" s="231"/>
      <c r="G131" s="205"/>
      <c r="H131" s="189"/>
      <c r="I131" s="190"/>
      <c r="J131" s="4"/>
      <c r="K131" s="172"/>
      <c r="L131" s="4"/>
      <c r="M131" s="4"/>
      <c r="N131" s="4"/>
      <c r="O131" s="193" t="e">
        <f>IF(O130+1&lt;=MIN('Données projet'!$E$9:$E$18),O130+1,"STOP")</f>
        <v>#VALUE!</v>
      </c>
      <c r="P131" s="184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9">
        <f>'Données projet'!A130</f>
        <v>0</v>
      </c>
      <c r="B132" s="180">
        <f>'Données projet'!D130</f>
        <v>0</v>
      </c>
      <c r="C132" s="190"/>
      <c r="D132" s="178">
        <f t="shared" si="8"/>
        <v>0</v>
      </c>
      <c r="E132" s="192"/>
      <c r="F132" s="231"/>
      <c r="G132" s="205"/>
      <c r="H132" s="189"/>
      <c r="I132" s="190"/>
      <c r="J132" s="4"/>
      <c r="K132" s="172"/>
      <c r="L132" s="4"/>
      <c r="M132" s="4"/>
      <c r="N132" s="4"/>
      <c r="O132" s="193" t="e">
        <f>IF(O131+1&lt;=MIN('Données projet'!$E$9:$E$18),O131+1,"STOP")</f>
        <v>#VALUE!</v>
      </c>
      <c r="P132" s="184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9">
        <f>'Données projet'!A131</f>
        <v>0</v>
      </c>
      <c r="B133" s="180">
        <f>'Données projet'!D131</f>
        <v>0</v>
      </c>
      <c r="C133" s="190"/>
      <c r="D133" s="178">
        <f t="shared" si="8"/>
        <v>0</v>
      </c>
      <c r="E133" s="192"/>
      <c r="F133" s="231"/>
      <c r="G133" s="205"/>
      <c r="H133" s="189"/>
      <c r="I133" s="190"/>
      <c r="J133" s="4"/>
      <c r="K133" s="172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9">
        <f>'Données projet'!A132</f>
        <v>0</v>
      </c>
      <c r="B134" s="180">
        <f>'Données projet'!D132</f>
        <v>0</v>
      </c>
      <c r="C134" s="190"/>
      <c r="D134" s="178">
        <f t="shared" si="8"/>
        <v>0</v>
      </c>
      <c r="E134" s="192"/>
      <c r="F134" s="231"/>
      <c r="G134" s="205"/>
      <c r="H134" s="189"/>
      <c r="I134" s="190"/>
      <c r="J134" s="4"/>
      <c r="K134" s="172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9">
        <f>'Données projet'!A133</f>
        <v>0</v>
      </c>
      <c r="B135" s="180">
        <f>'Données projet'!D133</f>
        <v>0</v>
      </c>
      <c r="C135" s="190"/>
      <c r="D135" s="178">
        <f t="shared" si="8"/>
        <v>0</v>
      </c>
      <c r="E135" s="192"/>
      <c r="F135" s="231"/>
      <c r="G135" s="205"/>
      <c r="H135" s="189"/>
      <c r="I135" s="190"/>
      <c r="J135" s="4"/>
      <c r="K135" s="172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9"/>
      <c r="G136" s="205"/>
      <c r="H136" s="189"/>
      <c r="I136" s="190"/>
      <c r="J136" s="4"/>
      <c r="K136" s="172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9"/>
      <c r="G137" s="205"/>
      <c r="H137" s="189"/>
      <c r="I137" s="190"/>
      <c r="J137" s="4"/>
      <c r="K137" s="172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24</v>
      </c>
      <c r="B138" s="173" t="str">
        <f>IF('Données projet'!B13="","",'Données projet'!B13)</f>
        <v>Douglas</v>
      </c>
      <c r="C138" s="4"/>
      <c r="D138" s="4"/>
      <c r="E138" s="4"/>
      <c r="F138" s="229"/>
      <c r="G138" s="205"/>
      <c r="H138" s="189"/>
      <c r="I138" s="190"/>
      <c r="J138" s="4"/>
      <c r="K138" s="172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9"/>
      <c r="G139" s="205"/>
      <c r="H139" s="189"/>
      <c r="I139" s="190"/>
      <c r="J139" s="4"/>
      <c r="K139" s="172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51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30"/>
      <c r="G140" s="205"/>
      <c r="H140" s="189"/>
      <c r="I140" s="190"/>
      <c r="J140" s="4"/>
      <c r="K140" s="172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8" t="s">
        <v>194</v>
      </c>
      <c r="C141" s="197" t="s">
        <v>194</v>
      </c>
      <c r="D141" s="196" t="s">
        <v>194</v>
      </c>
      <c r="E141" s="192"/>
      <c r="F141" s="230"/>
      <c r="G141" s="205"/>
      <c r="H141" s="189"/>
      <c r="I141" s="190"/>
      <c r="J141" s="4"/>
      <c r="K141" s="172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8" t="s">
        <v>194</v>
      </c>
      <c r="C142" s="197" t="s">
        <v>194</v>
      </c>
      <c r="D142" s="196" t="s">
        <v>194</v>
      </c>
      <c r="E142" s="192"/>
      <c r="F142" s="230"/>
      <c r="G142" s="23"/>
      <c r="H142" s="189"/>
      <c r="I142" s="190"/>
      <c r="J142" s="4"/>
      <c r="K142" s="172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8" t="s">
        <v>194</v>
      </c>
      <c r="C143" s="197" t="s">
        <v>194</v>
      </c>
      <c r="D143" s="196" t="s">
        <v>194</v>
      </c>
      <c r="E143" s="192"/>
      <c r="F143" s="230"/>
      <c r="G143" s="23"/>
      <c r="H143" s="189"/>
      <c r="I143" s="190"/>
      <c r="J143" s="4"/>
      <c r="K143" s="172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8" t="s">
        <v>194</v>
      </c>
      <c r="C144" s="197" t="s">
        <v>194</v>
      </c>
      <c r="D144" s="196" t="s">
        <v>194</v>
      </c>
      <c r="E144" s="192"/>
      <c r="F144" s="230"/>
      <c r="G144" s="23"/>
      <c r="H144" s="189"/>
      <c r="I144" s="190"/>
      <c r="J144" s="4"/>
      <c r="K144" s="172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8" t="s">
        <v>194</v>
      </c>
      <c r="C145" s="197" t="s">
        <v>194</v>
      </c>
      <c r="D145" s="196" t="s">
        <v>194</v>
      </c>
      <c r="E145" s="192"/>
      <c r="F145" s="230"/>
      <c r="G145" s="23"/>
      <c r="H145" s="189"/>
      <c r="I145" s="190"/>
      <c r="J145" s="4"/>
      <c r="K145" s="172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8" t="s">
        <v>194</v>
      </c>
      <c r="C146" s="197" t="s">
        <v>194</v>
      </c>
      <c r="D146" s="196" t="s">
        <v>194</v>
      </c>
      <c r="E146" s="192"/>
      <c r="F146" s="230"/>
      <c r="G146" s="204"/>
      <c r="H146" s="189"/>
      <c r="I146" s="190"/>
      <c r="J146" s="4"/>
      <c r="K146" s="172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21</v>
      </c>
      <c r="B147" s="174">
        <f>'Données projet'!D140</f>
        <v>64.599999999999994</v>
      </c>
      <c r="C147" s="190">
        <v>10.9375</v>
      </c>
      <c r="D147" s="181">
        <f>B147*C147</f>
        <v>706.56249999999989</v>
      </c>
      <c r="E147" s="192">
        <v>60</v>
      </c>
      <c r="G147" s="204"/>
      <c r="H147" s="189"/>
      <c r="I147" s="190"/>
      <c r="J147" s="4"/>
      <c r="K147" s="172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28</v>
      </c>
      <c r="B148" s="174">
        <f>'Données projet'!D141</f>
        <v>67.639999999999986</v>
      </c>
      <c r="C148" s="190">
        <v>10.9375</v>
      </c>
      <c r="D148" s="181">
        <f t="shared" ref="D148:D166" si="10">B148*C148</f>
        <v>739.81249999999989</v>
      </c>
      <c r="E148" s="192">
        <v>60</v>
      </c>
      <c r="G148" s="204"/>
      <c r="H148" s="189"/>
      <c r="I148" s="190"/>
      <c r="J148" s="4"/>
      <c r="K148" s="172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35</v>
      </c>
      <c r="B149" s="174">
        <f>'Données projet'!D142</f>
        <v>86.700000000000045</v>
      </c>
      <c r="C149" s="190">
        <v>41.5</v>
      </c>
      <c r="D149" s="181">
        <f t="shared" si="10"/>
        <v>3598.050000000002</v>
      </c>
      <c r="E149" s="192">
        <v>60</v>
      </c>
      <c r="G149" s="204"/>
      <c r="H149" s="189"/>
      <c r="I149" s="190"/>
      <c r="J149" s="4"/>
      <c r="K149" s="172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42</v>
      </c>
      <c r="B150" s="174">
        <f>'Données projet'!D143</f>
        <v>100.04000000000002</v>
      </c>
      <c r="C150" s="190">
        <v>41.5</v>
      </c>
      <c r="D150" s="181">
        <f t="shared" si="10"/>
        <v>4151.6600000000008</v>
      </c>
      <c r="E150" s="192">
        <v>60</v>
      </c>
      <c r="G150" s="204"/>
      <c r="H150" s="189"/>
      <c r="I150" s="190"/>
      <c r="J150" s="4"/>
      <c r="K150" s="172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49</v>
      </c>
      <c r="B151" s="174">
        <f>'Données projet'!D144</f>
        <v>112.69999999999999</v>
      </c>
      <c r="C151" s="190">
        <v>41.5</v>
      </c>
      <c r="D151" s="181">
        <f t="shared" si="10"/>
        <v>4677.0499999999993</v>
      </c>
      <c r="E151" s="192">
        <v>60</v>
      </c>
      <c r="G151" s="204"/>
      <c r="H151" s="189"/>
      <c r="I151" s="190"/>
      <c r="J151" s="4"/>
      <c r="K151" s="172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56</v>
      </c>
      <c r="B152" s="174">
        <f>'Données projet'!D145</f>
        <v>94.669999999999959</v>
      </c>
      <c r="C152" s="190">
        <v>41.5</v>
      </c>
      <c r="D152" s="181">
        <f t="shared" si="10"/>
        <v>3928.8049999999985</v>
      </c>
      <c r="E152" s="192">
        <v>60</v>
      </c>
      <c r="G152" s="204"/>
      <c r="H152" s="189"/>
      <c r="I152" s="190"/>
      <c r="J152" s="4"/>
      <c r="K152" s="172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63</v>
      </c>
      <c r="B153" s="174">
        <f>'Données projet'!D146</f>
        <v>99.599999999999966</v>
      </c>
      <c r="C153" s="190">
        <v>41.5</v>
      </c>
      <c r="D153" s="181">
        <f t="shared" si="10"/>
        <v>4133.3999999999987</v>
      </c>
      <c r="E153" s="192">
        <v>60</v>
      </c>
      <c r="G153" s="202"/>
      <c r="H153" s="189"/>
      <c r="I153" s="190"/>
      <c r="J153" s="4"/>
      <c r="K153" s="172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70</v>
      </c>
      <c r="B154" s="174">
        <f>'Données projet'!D147</f>
        <v>586.86</v>
      </c>
      <c r="C154" s="190">
        <v>48.5</v>
      </c>
      <c r="D154" s="181">
        <f t="shared" si="10"/>
        <v>28462.71</v>
      </c>
      <c r="E154" s="192">
        <v>60</v>
      </c>
      <c r="G154" s="202"/>
      <c r="H154" s="189"/>
      <c r="I154" s="190"/>
      <c r="J154" s="4"/>
      <c r="K154" s="172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4">
        <f>'Données projet'!D148</f>
        <v>0</v>
      </c>
      <c r="C155" s="190"/>
      <c r="D155" s="181">
        <f t="shared" si="10"/>
        <v>0</v>
      </c>
      <c r="E155" s="192"/>
      <c r="F155" s="232"/>
      <c r="G155" s="202"/>
      <c r="H155" s="189"/>
      <c r="I155" s="190"/>
      <c r="J155" s="4"/>
      <c r="K155" s="172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4">
        <f>'Données projet'!D149</f>
        <v>0</v>
      </c>
      <c r="C156" s="190"/>
      <c r="D156" s="181">
        <f t="shared" si="10"/>
        <v>0</v>
      </c>
      <c r="E156" s="192"/>
      <c r="F156" s="232"/>
      <c r="G156" s="202"/>
      <c r="H156" s="189"/>
      <c r="I156" s="190"/>
      <c r="J156" s="4"/>
      <c r="K156" s="172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4">
        <f>'Données projet'!D150</f>
        <v>0</v>
      </c>
      <c r="C157" s="190"/>
      <c r="D157" s="181">
        <f t="shared" si="10"/>
        <v>0</v>
      </c>
      <c r="E157" s="192"/>
      <c r="F157" s="232"/>
      <c r="G157" s="202"/>
      <c r="H157" s="189"/>
      <c r="I157" s="190"/>
      <c r="J157" s="4"/>
      <c r="K157" s="172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4">
        <f>'Données projet'!D151</f>
        <v>0</v>
      </c>
      <c r="C158" s="190"/>
      <c r="D158" s="181">
        <f t="shared" si="10"/>
        <v>0</v>
      </c>
      <c r="E158" s="192"/>
      <c r="F158" s="232"/>
      <c r="G158" s="202"/>
      <c r="H158" s="189"/>
      <c r="I158" s="190"/>
      <c r="J158" s="4"/>
      <c r="K158" s="172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4">
        <f>'Données projet'!D152</f>
        <v>0</v>
      </c>
      <c r="C159" s="190"/>
      <c r="D159" s="181">
        <f t="shared" si="10"/>
        <v>0</v>
      </c>
      <c r="E159" s="192"/>
      <c r="F159" s="232"/>
      <c r="G159" s="202"/>
      <c r="H159" s="189"/>
      <c r="I159" s="190"/>
      <c r="J159" s="4"/>
      <c r="K159" s="172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4">
        <f>'Données projet'!D153</f>
        <v>0</v>
      </c>
      <c r="C160" s="190"/>
      <c r="D160" s="181">
        <f t="shared" si="10"/>
        <v>0</v>
      </c>
      <c r="E160" s="192"/>
      <c r="F160" s="232"/>
      <c r="G160" s="202"/>
      <c r="H160" s="189"/>
      <c r="I160" s="190"/>
      <c r="J160" s="4"/>
      <c r="K160" s="172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4">
        <f>'Données projet'!D154</f>
        <v>0</v>
      </c>
      <c r="C161" s="190"/>
      <c r="D161" s="181">
        <f t="shared" si="10"/>
        <v>0</v>
      </c>
      <c r="E161" s="192"/>
      <c r="F161" s="232"/>
      <c r="G161" s="202"/>
      <c r="H161" s="189"/>
      <c r="I161" s="190"/>
      <c r="J161" s="4"/>
      <c r="K161" s="172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4">
        <f>'Données projet'!D155</f>
        <v>0</v>
      </c>
      <c r="C162" s="190"/>
      <c r="D162" s="181">
        <f t="shared" si="10"/>
        <v>0</v>
      </c>
      <c r="E162" s="192"/>
      <c r="F162" s="232"/>
      <c r="G162" s="202"/>
      <c r="H162" s="189"/>
      <c r="I162" s="190"/>
      <c r="J162" s="4"/>
      <c r="K162" s="172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4">
        <f>'Données projet'!D156</f>
        <v>0</v>
      </c>
      <c r="C163" s="190"/>
      <c r="D163" s="181">
        <f t="shared" si="10"/>
        <v>0</v>
      </c>
      <c r="E163" s="192"/>
      <c r="F163" s="232"/>
      <c r="G163" s="202"/>
      <c r="H163" s="189"/>
      <c r="I163" s="190"/>
      <c r="J163" s="4"/>
      <c r="K163" s="172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4">
        <f>'Données projet'!D157</f>
        <v>0</v>
      </c>
      <c r="C164" s="190"/>
      <c r="D164" s="181">
        <f t="shared" si="10"/>
        <v>0</v>
      </c>
      <c r="E164" s="192"/>
      <c r="F164" s="232"/>
      <c r="G164" s="202"/>
      <c r="H164" s="189"/>
      <c r="I164" s="190"/>
      <c r="J164" s="4"/>
      <c r="K164" s="172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4">
        <f>'Données projet'!D158</f>
        <v>0</v>
      </c>
      <c r="C165" s="190"/>
      <c r="D165" s="181">
        <f t="shared" si="10"/>
        <v>0</v>
      </c>
      <c r="E165" s="192"/>
      <c r="F165" s="232"/>
      <c r="G165" s="202"/>
      <c r="H165" s="189"/>
      <c r="I165" s="190"/>
      <c r="J165" s="4"/>
      <c r="K165" s="172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4">
        <f>'Données projet'!D159</f>
        <v>0</v>
      </c>
      <c r="C166" s="190"/>
      <c r="D166" s="181">
        <f t="shared" si="10"/>
        <v>0</v>
      </c>
      <c r="E166" s="192"/>
      <c r="F166" s="232"/>
      <c r="G166" s="202"/>
      <c r="H166" s="189"/>
      <c r="I166" s="190"/>
      <c r="J166" s="4"/>
      <c r="K166" s="172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9"/>
      <c r="G167" s="202"/>
      <c r="H167" s="189"/>
      <c r="I167" s="190"/>
      <c r="J167" s="4"/>
      <c r="K167" s="172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9"/>
      <c r="G168" s="202"/>
      <c r="H168" s="189"/>
      <c r="I168" s="190"/>
      <c r="J168" s="4"/>
      <c r="K168" s="172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26</v>
      </c>
      <c r="B169" s="173" t="str">
        <f>IF('Données projet'!B14="","",'Données projet'!B14)</f>
        <v>Merisier</v>
      </c>
      <c r="C169" s="4"/>
      <c r="D169" s="4"/>
      <c r="E169" s="4"/>
      <c r="F169" s="229"/>
      <c r="G169" s="202"/>
      <c r="H169" s="189"/>
      <c r="I169" s="190"/>
      <c r="J169" s="4"/>
      <c r="K169" s="172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9"/>
      <c r="G170" s="202"/>
      <c r="H170" s="189"/>
      <c r="I170" s="190"/>
      <c r="J170" s="4"/>
      <c r="K170" s="172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51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30"/>
      <c r="G171" s="202"/>
      <c r="H171" s="189"/>
      <c r="I171" s="190"/>
      <c r="J171" s="4"/>
      <c r="K171" s="172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8" t="s">
        <v>194</v>
      </c>
      <c r="C172" s="197" t="s">
        <v>194</v>
      </c>
      <c r="D172" s="196" t="s">
        <v>194</v>
      </c>
      <c r="E172" s="192"/>
      <c r="F172" s="230"/>
      <c r="G172" s="202"/>
      <c r="H172" s="189"/>
      <c r="I172" s="190"/>
      <c r="J172" s="4"/>
      <c r="K172" s="172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8" t="s">
        <v>194</v>
      </c>
      <c r="C173" s="197" t="s">
        <v>194</v>
      </c>
      <c r="D173" s="196" t="s">
        <v>194</v>
      </c>
      <c r="E173" s="192"/>
      <c r="F173" s="230"/>
      <c r="G173" s="23"/>
      <c r="H173" s="189"/>
      <c r="I173" s="190"/>
      <c r="J173" s="4"/>
      <c r="K173" s="172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8" t="s">
        <v>194</v>
      </c>
      <c r="C174" s="197" t="s">
        <v>194</v>
      </c>
      <c r="D174" s="196" t="s">
        <v>194</v>
      </c>
      <c r="E174" s="192"/>
      <c r="F174" s="230"/>
      <c r="G174" s="23"/>
      <c r="H174" s="189"/>
      <c r="I174" s="190"/>
      <c r="J174" s="4"/>
      <c r="K174" s="172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8" t="s">
        <v>194</v>
      </c>
      <c r="C175" s="197" t="s">
        <v>194</v>
      </c>
      <c r="D175" s="196" t="s">
        <v>194</v>
      </c>
      <c r="E175" s="192"/>
      <c r="F175" s="230"/>
      <c r="G175" s="23"/>
      <c r="H175" s="189"/>
      <c r="I175" s="190"/>
      <c r="J175" s="4"/>
      <c r="K175" s="172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8" t="s">
        <v>194</v>
      </c>
      <c r="C176" s="197" t="s">
        <v>194</v>
      </c>
      <c r="D176" s="196" t="s">
        <v>194</v>
      </c>
      <c r="E176" s="192"/>
      <c r="F176" s="230"/>
      <c r="G176" s="23"/>
      <c r="H176" s="189"/>
      <c r="I176" s="190"/>
      <c r="J176" s="4"/>
      <c r="K176" s="172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8" t="s">
        <v>194</v>
      </c>
      <c r="C177" s="197" t="s">
        <v>194</v>
      </c>
      <c r="D177" s="196" t="s">
        <v>194</v>
      </c>
      <c r="E177" s="192"/>
      <c r="F177" s="230"/>
      <c r="G177" s="204"/>
      <c r="H177" s="189"/>
      <c r="I177" s="190"/>
      <c r="J177" s="4"/>
      <c r="K177" s="172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9">
        <f>'Données projet'!A166</f>
        <v>15</v>
      </c>
      <c r="B178" s="180">
        <f>'Données projet'!D166</f>
        <v>32</v>
      </c>
      <c r="C178" s="192">
        <v>11.25</v>
      </c>
      <c r="D178" s="178">
        <f>B178*C178</f>
        <v>360</v>
      </c>
      <c r="E178" s="192">
        <v>60</v>
      </c>
      <c r="F178" s="231"/>
      <c r="G178" s="204"/>
      <c r="H178" s="189"/>
      <c r="I178" s="190"/>
      <c r="J178" s="4"/>
      <c r="K178" s="172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9">
        <f>'Données projet'!A167</f>
        <v>20</v>
      </c>
      <c r="B179" s="180">
        <f>'Données projet'!D167</f>
        <v>35</v>
      </c>
      <c r="C179" s="192">
        <v>11.25</v>
      </c>
      <c r="D179" s="178">
        <f t="shared" ref="D179:D197" si="11">B179*C179</f>
        <v>393.75</v>
      </c>
      <c r="E179" s="192">
        <v>60</v>
      </c>
      <c r="F179" s="231"/>
      <c r="G179" s="204"/>
      <c r="H179" s="189"/>
      <c r="I179" s="190"/>
      <c r="J179" s="4"/>
      <c r="K179" s="172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9">
        <f>'Données projet'!A168</f>
        <v>25</v>
      </c>
      <c r="B180" s="180">
        <f>'Données projet'!D168</f>
        <v>35</v>
      </c>
      <c r="C180" s="192">
        <v>11.25</v>
      </c>
      <c r="D180" s="178">
        <f t="shared" si="11"/>
        <v>393.75</v>
      </c>
      <c r="E180" s="192">
        <v>60</v>
      </c>
      <c r="F180" s="231"/>
      <c r="G180" s="204"/>
      <c r="H180" s="189"/>
      <c r="I180" s="190"/>
      <c r="J180" s="4"/>
      <c r="K180" s="172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9">
        <f>'Données projet'!A169</f>
        <v>30</v>
      </c>
      <c r="B181" s="180">
        <f>'Données projet'!D169</f>
        <v>35</v>
      </c>
      <c r="C181" s="192">
        <v>18.125</v>
      </c>
      <c r="D181" s="178">
        <f t="shared" si="11"/>
        <v>634.375</v>
      </c>
      <c r="E181" s="192">
        <v>60</v>
      </c>
      <c r="F181" s="231"/>
      <c r="G181" s="204"/>
      <c r="H181" s="189"/>
      <c r="I181" s="190"/>
      <c r="J181" s="4"/>
      <c r="K181" s="172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9">
        <f>'Données projet'!A170</f>
        <v>35</v>
      </c>
      <c r="B182" s="180">
        <f>'Données projet'!D170</f>
        <v>35</v>
      </c>
      <c r="C182" s="192">
        <v>18.125</v>
      </c>
      <c r="D182" s="178">
        <f t="shared" si="11"/>
        <v>634.375</v>
      </c>
      <c r="E182" s="192">
        <v>60</v>
      </c>
      <c r="F182" s="231"/>
      <c r="G182" s="204"/>
      <c r="H182" s="189"/>
      <c r="I182" s="190"/>
      <c r="J182" s="4"/>
      <c r="K182" s="172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9">
        <f>'Données projet'!A171</f>
        <v>40</v>
      </c>
      <c r="B183" s="180">
        <f>'Données projet'!D171</f>
        <v>35</v>
      </c>
      <c r="C183" s="192">
        <v>18.125</v>
      </c>
      <c r="D183" s="178">
        <f t="shared" si="11"/>
        <v>634.375</v>
      </c>
      <c r="E183" s="192">
        <v>60</v>
      </c>
      <c r="F183" s="231"/>
      <c r="G183" s="204"/>
      <c r="H183" s="189"/>
      <c r="I183" s="190"/>
      <c r="J183" s="4"/>
      <c r="K183" s="172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9">
        <f>'Données projet'!A172</f>
        <v>45</v>
      </c>
      <c r="B184" s="180">
        <f>'Données projet'!D172</f>
        <v>24</v>
      </c>
      <c r="C184" s="192">
        <v>18.125</v>
      </c>
      <c r="D184" s="178">
        <f t="shared" si="11"/>
        <v>435</v>
      </c>
      <c r="E184" s="192">
        <v>60</v>
      </c>
      <c r="F184" s="231"/>
      <c r="G184" s="205"/>
      <c r="H184" s="189"/>
      <c r="I184" s="190"/>
      <c r="J184" s="4"/>
      <c r="K184" s="172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9">
        <f>'Données projet'!A173</f>
        <v>50</v>
      </c>
      <c r="B185" s="180">
        <f>'Données projet'!D173</f>
        <v>19</v>
      </c>
      <c r="C185" s="192">
        <v>18.125</v>
      </c>
      <c r="D185" s="178">
        <f t="shared" si="11"/>
        <v>344.375</v>
      </c>
      <c r="E185" s="192">
        <v>60</v>
      </c>
      <c r="F185" s="231"/>
      <c r="G185" s="205"/>
      <c r="H185" s="189"/>
      <c r="I185" s="190"/>
      <c r="J185" s="4"/>
      <c r="K185" s="172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9">
        <f>'Données projet'!A174</f>
        <v>55</v>
      </c>
      <c r="B186" s="180">
        <f>'Données projet'!D174</f>
        <v>16</v>
      </c>
      <c r="C186" s="192">
        <v>32.1875</v>
      </c>
      <c r="D186" s="178">
        <f t="shared" si="11"/>
        <v>515</v>
      </c>
      <c r="E186" s="192">
        <v>60</v>
      </c>
      <c r="F186" s="231"/>
      <c r="G186" s="205"/>
      <c r="H186" s="189"/>
      <c r="I186" s="190"/>
      <c r="J186" s="4"/>
      <c r="K186" s="172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9">
        <f>'Données projet'!A175</f>
        <v>60</v>
      </c>
      <c r="B187" s="180">
        <f>'Données projet'!D175</f>
        <v>14</v>
      </c>
      <c r="C187" s="192">
        <v>32.1875</v>
      </c>
      <c r="D187" s="178">
        <f t="shared" si="11"/>
        <v>450.625</v>
      </c>
      <c r="E187" s="192">
        <v>60</v>
      </c>
      <c r="F187" s="231"/>
      <c r="G187" s="205"/>
      <c r="H187" s="189"/>
      <c r="I187" s="190"/>
      <c r="J187" s="4"/>
      <c r="K187" s="172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9">
        <f>'Données projet'!A176</f>
        <v>65</v>
      </c>
      <c r="B188" s="180">
        <f>'Données projet'!D176</f>
        <v>13</v>
      </c>
      <c r="C188" s="192">
        <v>32.1875</v>
      </c>
      <c r="D188" s="178">
        <f t="shared" si="11"/>
        <v>418.4375</v>
      </c>
      <c r="E188" s="192">
        <v>60</v>
      </c>
      <c r="F188" s="231"/>
      <c r="G188" s="205"/>
      <c r="H188" s="189"/>
      <c r="I188" s="190"/>
      <c r="J188" s="4"/>
      <c r="K188" s="172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9">
        <f>'Données projet'!A177</f>
        <v>70</v>
      </c>
      <c r="B189" s="180">
        <f>'Données projet'!D177</f>
        <v>13</v>
      </c>
      <c r="C189" s="192">
        <v>32.1875</v>
      </c>
      <c r="D189" s="178">
        <f t="shared" si="11"/>
        <v>418.4375</v>
      </c>
      <c r="E189" s="192">
        <v>60</v>
      </c>
      <c r="F189" s="231"/>
      <c r="G189" s="205"/>
      <c r="H189" s="189"/>
      <c r="I189" s="190"/>
      <c r="J189" s="4"/>
      <c r="K189" s="172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9">
        <f>'Données projet'!A178</f>
        <v>75</v>
      </c>
      <c r="B190" s="180">
        <f>'Données projet'!D178</f>
        <v>12</v>
      </c>
      <c r="C190" s="192">
        <v>32.1875</v>
      </c>
      <c r="D190" s="178">
        <f t="shared" si="11"/>
        <v>386.25</v>
      </c>
      <c r="E190" s="192">
        <v>60</v>
      </c>
      <c r="F190" s="231"/>
      <c r="G190" s="205"/>
      <c r="H190" s="189"/>
      <c r="I190" s="190"/>
      <c r="J190" s="4"/>
      <c r="K190" s="172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9">
        <f>'Données projet'!A179</f>
        <v>80</v>
      </c>
      <c r="B191" s="180">
        <f>'Données projet'!D179</f>
        <v>330</v>
      </c>
      <c r="C191" s="192">
        <v>32.1875</v>
      </c>
      <c r="D191" s="178">
        <f t="shared" si="11"/>
        <v>10621.875</v>
      </c>
      <c r="E191" s="192">
        <v>60</v>
      </c>
      <c r="F191" s="231"/>
      <c r="G191" s="205"/>
      <c r="H191" s="189"/>
      <c r="I191" s="190"/>
      <c r="J191" s="4"/>
      <c r="K191" s="172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9">
        <f>'Données projet'!A180</f>
        <v>0</v>
      </c>
      <c r="B192" s="180">
        <f>'Données projet'!D180</f>
        <v>0</v>
      </c>
      <c r="C192" s="192"/>
      <c r="D192" s="178">
        <f t="shared" si="11"/>
        <v>0</v>
      </c>
      <c r="E192" s="192"/>
      <c r="F192" s="231"/>
      <c r="G192" s="205"/>
      <c r="H192" s="189"/>
      <c r="I192" s="190"/>
      <c r="J192" s="4"/>
      <c r="K192" s="172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9">
        <f>'Données projet'!A181</f>
        <v>0</v>
      </c>
      <c r="B193" s="180">
        <f>'Données projet'!D181</f>
        <v>0</v>
      </c>
      <c r="C193" s="192"/>
      <c r="D193" s="178">
        <f t="shared" si="11"/>
        <v>0</v>
      </c>
      <c r="E193" s="192"/>
      <c r="F193" s="231"/>
      <c r="G193" s="205"/>
      <c r="H193" s="189"/>
      <c r="I193" s="190"/>
      <c r="J193" s="4"/>
      <c r="K193" s="172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9">
        <f>'Données projet'!A182</f>
        <v>0</v>
      </c>
      <c r="B194" s="180">
        <f>'Données projet'!D182</f>
        <v>0</v>
      </c>
      <c r="C194" s="192"/>
      <c r="D194" s="178">
        <f t="shared" si="11"/>
        <v>0</v>
      </c>
      <c r="E194" s="192"/>
      <c r="F194" s="231"/>
      <c r="G194" s="205"/>
      <c r="H194" s="189"/>
      <c r="I194" s="190"/>
      <c r="J194" s="4"/>
      <c r="K194" s="172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9">
        <f>'Données projet'!A183</f>
        <v>0</v>
      </c>
      <c r="B195" s="180">
        <f>'Données projet'!D183</f>
        <v>0</v>
      </c>
      <c r="C195" s="192"/>
      <c r="D195" s="178">
        <f t="shared" si="11"/>
        <v>0</v>
      </c>
      <c r="E195" s="192"/>
      <c r="F195" s="231"/>
      <c r="G195" s="205"/>
      <c r="H195" s="189"/>
      <c r="I195" s="190"/>
      <c r="J195" s="4"/>
      <c r="K195" s="172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9">
        <f>'Données projet'!A184</f>
        <v>0</v>
      </c>
      <c r="B196" s="180">
        <f>'Données projet'!D184</f>
        <v>0</v>
      </c>
      <c r="C196" s="192"/>
      <c r="D196" s="178">
        <f t="shared" si="11"/>
        <v>0</v>
      </c>
      <c r="E196" s="192"/>
      <c r="F196" s="231"/>
      <c r="G196" s="205"/>
      <c r="H196" s="189"/>
      <c r="I196" s="190"/>
      <c r="J196" s="4"/>
      <c r="K196" s="172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9">
        <f>'Données projet'!A185</f>
        <v>0</v>
      </c>
      <c r="B197" s="180">
        <f>'Données projet'!D185</f>
        <v>0</v>
      </c>
      <c r="C197" s="192"/>
      <c r="D197" s="178">
        <f t="shared" si="11"/>
        <v>0</v>
      </c>
      <c r="E197" s="192"/>
      <c r="F197" s="231"/>
      <c r="G197" s="205"/>
      <c r="H197" s="189"/>
      <c r="I197" s="190"/>
      <c r="J197" s="4"/>
      <c r="K197" s="172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9"/>
      <c r="G198" s="205"/>
      <c r="H198" s="189"/>
      <c r="I198" s="190"/>
      <c r="J198" s="4"/>
      <c r="K198" s="172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9"/>
      <c r="G199" s="205"/>
      <c r="H199" s="189"/>
      <c r="I199" s="190"/>
      <c r="J199" s="4"/>
      <c r="K199" s="172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28</v>
      </c>
      <c r="B200" s="173" t="str">
        <f>IF('Données projet'!$B$15="","",'Données projet'!$B$15)</f>
        <v>Chêne rouge d'Amérique</v>
      </c>
      <c r="C200" s="4"/>
      <c r="D200" s="4"/>
      <c r="E200" s="4"/>
      <c r="F200" s="229"/>
      <c r="G200" s="205"/>
      <c r="H200" s="189"/>
      <c r="I200" s="190"/>
      <c r="J200" s="4"/>
      <c r="K200" s="172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9"/>
      <c r="G201" s="205"/>
      <c r="H201" s="189"/>
      <c r="I201" s="190"/>
      <c r="J201" s="4"/>
      <c r="K201" s="172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51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30"/>
      <c r="G202" s="205"/>
      <c r="H202" s="189"/>
      <c r="I202" s="190"/>
      <c r="J202" s="4"/>
      <c r="K202" s="172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8" t="s">
        <v>194</v>
      </c>
      <c r="C203" s="197" t="s">
        <v>194</v>
      </c>
      <c r="D203" s="196" t="s">
        <v>194</v>
      </c>
      <c r="E203" s="192"/>
      <c r="F203" s="230"/>
      <c r="G203" s="205"/>
      <c r="H203" s="189"/>
      <c r="I203" s="190"/>
      <c r="J203" s="4"/>
      <c r="K203" s="172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8" t="s">
        <v>194</v>
      </c>
      <c r="C204" s="197" t="s">
        <v>194</v>
      </c>
      <c r="D204" s="196" t="s">
        <v>194</v>
      </c>
      <c r="E204" s="192"/>
      <c r="F204" s="230"/>
      <c r="G204" s="23"/>
      <c r="H204" s="189"/>
      <c r="I204" s="190"/>
      <c r="J204" s="4"/>
      <c r="K204" s="172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8" t="s">
        <v>194</v>
      </c>
      <c r="C205" s="197" t="s">
        <v>194</v>
      </c>
      <c r="D205" s="196" t="s">
        <v>194</v>
      </c>
      <c r="E205" s="192"/>
      <c r="F205" s="230"/>
      <c r="G205" s="23"/>
      <c r="H205" s="189"/>
      <c r="I205" s="190"/>
      <c r="J205" s="4"/>
      <c r="K205" s="172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8" t="s">
        <v>194</v>
      </c>
      <c r="C206" s="197" t="s">
        <v>194</v>
      </c>
      <c r="D206" s="196" t="s">
        <v>194</v>
      </c>
      <c r="E206" s="192"/>
      <c r="F206" s="230"/>
      <c r="G206" s="23"/>
      <c r="H206" s="189"/>
      <c r="I206" s="190"/>
      <c r="J206" s="4"/>
      <c r="K206" s="172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8" t="s">
        <v>194</v>
      </c>
      <c r="C207" s="197" t="s">
        <v>194</v>
      </c>
      <c r="D207" s="196" t="s">
        <v>194</v>
      </c>
      <c r="E207" s="192"/>
      <c r="F207" s="230"/>
      <c r="G207" s="23"/>
      <c r="H207" s="189"/>
      <c r="I207" s="190"/>
      <c r="J207" s="4"/>
      <c r="K207" s="172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8" t="s">
        <v>194</v>
      </c>
      <c r="C208" s="197" t="s">
        <v>194</v>
      </c>
      <c r="D208" s="196" t="s">
        <v>194</v>
      </c>
      <c r="E208" s="192"/>
      <c r="F208" s="230"/>
      <c r="G208" s="204"/>
      <c r="H208" s="189"/>
      <c r="I208" s="190"/>
      <c r="J208" s="4"/>
      <c r="K208" s="172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9">
        <f>'Données projet'!A192</f>
        <v>15</v>
      </c>
      <c r="B209" s="180">
        <f>'Données projet'!D192</f>
        <v>32</v>
      </c>
      <c r="C209" s="192">
        <v>11.25</v>
      </c>
      <c r="D209" s="178">
        <f>B209*C209</f>
        <v>360</v>
      </c>
      <c r="E209" s="192">
        <v>60</v>
      </c>
      <c r="F209" s="231"/>
      <c r="G209" s="204"/>
      <c r="H209" s="189"/>
      <c r="I209" s="190"/>
      <c r="J209" s="4"/>
      <c r="K209" s="172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9">
        <f>'Données projet'!A193</f>
        <v>20</v>
      </c>
      <c r="B210" s="180">
        <f>'Données projet'!D193</f>
        <v>35</v>
      </c>
      <c r="C210" s="192">
        <v>11.25</v>
      </c>
      <c r="D210" s="178">
        <f t="shared" ref="D210:D228" si="12">B210*C210</f>
        <v>393.75</v>
      </c>
      <c r="E210" s="192">
        <v>60</v>
      </c>
      <c r="F210" s="231"/>
      <c r="G210" s="204"/>
      <c r="H210" s="189"/>
      <c r="I210" s="190"/>
      <c r="J210" s="4"/>
      <c r="K210" s="172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9">
        <f>'Données projet'!A194</f>
        <v>25</v>
      </c>
      <c r="B211" s="180">
        <f>'Données projet'!D194</f>
        <v>35</v>
      </c>
      <c r="C211" s="192">
        <v>11.25</v>
      </c>
      <c r="D211" s="178">
        <f t="shared" si="12"/>
        <v>393.75</v>
      </c>
      <c r="E211" s="192">
        <v>60</v>
      </c>
      <c r="F211" s="231"/>
      <c r="G211" s="204"/>
      <c r="H211" s="189"/>
      <c r="I211" s="190"/>
      <c r="J211" s="4"/>
      <c r="K211" s="172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9">
        <f>'Données projet'!A195</f>
        <v>30</v>
      </c>
      <c r="B212" s="180">
        <f>'Données projet'!D195</f>
        <v>35</v>
      </c>
      <c r="C212" s="192">
        <v>18.125</v>
      </c>
      <c r="D212" s="178">
        <f t="shared" si="12"/>
        <v>634.375</v>
      </c>
      <c r="E212" s="192">
        <v>60</v>
      </c>
      <c r="F212" s="231"/>
      <c r="G212" s="204"/>
      <c r="H212" s="189"/>
      <c r="I212" s="190"/>
      <c r="J212" s="4"/>
      <c r="K212" s="172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9">
        <f>'Données projet'!A196</f>
        <v>35</v>
      </c>
      <c r="B213" s="180">
        <f>'Données projet'!D196</f>
        <v>35</v>
      </c>
      <c r="C213" s="192">
        <v>18.125</v>
      </c>
      <c r="D213" s="178">
        <f t="shared" si="12"/>
        <v>634.375</v>
      </c>
      <c r="E213" s="192">
        <v>60</v>
      </c>
      <c r="F213" s="231"/>
      <c r="G213" s="204"/>
      <c r="H213" s="189"/>
      <c r="I213" s="190"/>
      <c r="J213" s="4"/>
      <c r="K213" s="172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9">
        <f>'Données projet'!A197</f>
        <v>40</v>
      </c>
      <c r="B214" s="180">
        <f>'Données projet'!D197</f>
        <v>35</v>
      </c>
      <c r="C214" s="192">
        <v>18.125</v>
      </c>
      <c r="D214" s="178">
        <f t="shared" si="12"/>
        <v>634.375</v>
      </c>
      <c r="E214" s="192">
        <v>60</v>
      </c>
      <c r="F214" s="231"/>
      <c r="G214" s="204"/>
      <c r="H214" s="189"/>
      <c r="I214" s="190"/>
      <c r="J214" s="4"/>
      <c r="K214" s="172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9">
        <f>'Données projet'!A198</f>
        <v>45</v>
      </c>
      <c r="B215" s="180">
        <f>'Données projet'!D198</f>
        <v>24</v>
      </c>
      <c r="C215" s="192">
        <v>18.125</v>
      </c>
      <c r="D215" s="178">
        <f t="shared" si="12"/>
        <v>435</v>
      </c>
      <c r="E215" s="192">
        <v>60</v>
      </c>
      <c r="F215" s="231"/>
      <c r="G215" s="205"/>
      <c r="H215" s="189"/>
      <c r="I215" s="190"/>
      <c r="J215" s="4"/>
      <c r="K215" s="172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9">
        <f>'Données projet'!A199</f>
        <v>50</v>
      </c>
      <c r="B216" s="180">
        <f>'Données projet'!D199</f>
        <v>19</v>
      </c>
      <c r="C216" s="192">
        <v>18.125</v>
      </c>
      <c r="D216" s="178">
        <f t="shared" si="12"/>
        <v>344.375</v>
      </c>
      <c r="E216" s="192">
        <v>60</v>
      </c>
      <c r="F216" s="231"/>
      <c r="G216" s="205"/>
      <c r="H216" s="189"/>
      <c r="I216" s="190"/>
      <c r="J216" s="4"/>
      <c r="K216" s="172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9">
        <f>'Données projet'!A200</f>
        <v>55</v>
      </c>
      <c r="B217" s="180">
        <f>'Données projet'!D200</f>
        <v>16</v>
      </c>
      <c r="C217" s="192">
        <v>32.1875</v>
      </c>
      <c r="D217" s="178">
        <f t="shared" si="12"/>
        <v>515</v>
      </c>
      <c r="E217" s="192">
        <v>60</v>
      </c>
      <c r="F217" s="231"/>
      <c r="G217" s="205"/>
      <c r="H217" s="189"/>
      <c r="I217" s="190"/>
      <c r="J217" s="4"/>
      <c r="K217" s="172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9">
        <f>'Données projet'!A201</f>
        <v>60</v>
      </c>
      <c r="B218" s="180">
        <f>'Données projet'!D201</f>
        <v>14</v>
      </c>
      <c r="C218" s="192">
        <v>32.1875</v>
      </c>
      <c r="D218" s="178">
        <f t="shared" si="12"/>
        <v>450.625</v>
      </c>
      <c r="E218" s="192">
        <v>60</v>
      </c>
      <c r="F218" s="231"/>
      <c r="G218" s="205"/>
      <c r="H218" s="189"/>
      <c r="I218" s="190"/>
      <c r="J218" s="4"/>
      <c r="K218" s="172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9">
        <f>'Données projet'!A202</f>
        <v>65</v>
      </c>
      <c r="B219" s="180">
        <f>'Données projet'!D202</f>
        <v>13</v>
      </c>
      <c r="C219" s="192">
        <v>32.1875</v>
      </c>
      <c r="D219" s="178">
        <f t="shared" si="12"/>
        <v>418.4375</v>
      </c>
      <c r="E219" s="192">
        <v>60</v>
      </c>
      <c r="F219" s="231"/>
      <c r="G219" s="205"/>
      <c r="H219" s="189"/>
      <c r="I219" s="190"/>
      <c r="J219" s="4"/>
      <c r="K219" s="172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9">
        <f>'Données projet'!A203</f>
        <v>70</v>
      </c>
      <c r="B220" s="180">
        <f>'Données projet'!D203</f>
        <v>13</v>
      </c>
      <c r="C220" s="192">
        <v>32.1875</v>
      </c>
      <c r="D220" s="178">
        <f t="shared" si="12"/>
        <v>418.4375</v>
      </c>
      <c r="E220" s="192">
        <v>60</v>
      </c>
      <c r="F220" s="231"/>
      <c r="G220" s="205"/>
      <c r="H220" s="4"/>
      <c r="I220" s="4"/>
      <c r="J220" s="4"/>
      <c r="K220" s="172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9">
        <f>'Données projet'!A204</f>
        <v>75</v>
      </c>
      <c r="B221" s="180">
        <f>'Données projet'!D204</f>
        <v>12</v>
      </c>
      <c r="C221" s="192">
        <v>32.1875</v>
      </c>
      <c r="D221" s="178">
        <f t="shared" si="12"/>
        <v>386.25</v>
      </c>
      <c r="E221" s="192">
        <v>60</v>
      </c>
      <c r="F221" s="231"/>
      <c r="G221" s="205"/>
      <c r="H221" s="4"/>
      <c r="I221" s="4"/>
      <c r="J221" s="4"/>
      <c r="K221" s="172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9">
        <f>'Données projet'!A205</f>
        <v>80</v>
      </c>
      <c r="B222" s="180">
        <f>'Données projet'!D205</f>
        <v>330</v>
      </c>
      <c r="C222" s="192">
        <v>32.1875</v>
      </c>
      <c r="D222" s="178">
        <f t="shared" si="12"/>
        <v>10621.875</v>
      </c>
      <c r="E222" s="192">
        <v>60</v>
      </c>
      <c r="F222" s="231"/>
      <c r="G222" s="205"/>
      <c r="H222" s="4"/>
      <c r="I222" s="4"/>
      <c r="J222" s="4"/>
      <c r="K222" s="172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9">
        <f>'Données projet'!A206</f>
        <v>0</v>
      </c>
      <c r="B223" s="180">
        <f>'Données projet'!D206</f>
        <v>0</v>
      </c>
      <c r="C223" s="192"/>
      <c r="D223" s="178">
        <f t="shared" si="12"/>
        <v>0</v>
      </c>
      <c r="E223" s="192"/>
      <c r="F223" s="231"/>
      <c r="G223" s="205"/>
      <c r="H223" s="4"/>
      <c r="I223" s="4"/>
      <c r="J223" s="4"/>
      <c r="K223" s="172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9">
        <f>'Données projet'!A207</f>
        <v>0</v>
      </c>
      <c r="B224" s="180">
        <f>'Données projet'!D207</f>
        <v>0</v>
      </c>
      <c r="C224" s="192"/>
      <c r="D224" s="178">
        <f t="shared" si="12"/>
        <v>0</v>
      </c>
      <c r="E224" s="192"/>
      <c r="F224" s="231"/>
      <c r="G224" s="205"/>
      <c r="H224" s="4"/>
      <c r="I224" s="4"/>
      <c r="J224" s="4"/>
      <c r="K224" s="172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9">
        <f>'Données projet'!A208</f>
        <v>0</v>
      </c>
      <c r="B225" s="180">
        <f>'Données projet'!D208</f>
        <v>0</v>
      </c>
      <c r="C225" s="192"/>
      <c r="D225" s="178">
        <f t="shared" si="12"/>
        <v>0</v>
      </c>
      <c r="E225" s="192"/>
      <c r="F225" s="231"/>
      <c r="G225" s="205"/>
      <c r="H225" s="4"/>
      <c r="I225" s="4"/>
      <c r="J225" s="4"/>
      <c r="K225" s="172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9">
        <f>'Données projet'!A209</f>
        <v>0</v>
      </c>
      <c r="B226" s="180">
        <f>'Données projet'!D209</f>
        <v>0</v>
      </c>
      <c r="C226" s="192"/>
      <c r="D226" s="178">
        <f t="shared" si="12"/>
        <v>0</v>
      </c>
      <c r="E226" s="192"/>
      <c r="F226" s="231"/>
      <c r="G226" s="205"/>
      <c r="H226" s="4"/>
      <c r="I226" s="4"/>
      <c r="J226" s="4"/>
      <c r="K226" s="172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9">
        <f>'Données projet'!A210</f>
        <v>0</v>
      </c>
      <c r="B227" s="180">
        <f>'Données projet'!D210</f>
        <v>0</v>
      </c>
      <c r="C227" s="192"/>
      <c r="D227" s="178">
        <f t="shared" si="12"/>
        <v>0</v>
      </c>
      <c r="E227" s="192"/>
      <c r="F227" s="231"/>
      <c r="G227" s="205"/>
      <c r="H227" s="4"/>
      <c r="I227" s="4"/>
      <c r="J227" s="4"/>
      <c r="K227" s="172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9">
        <f>'Données projet'!A211</f>
        <v>0</v>
      </c>
      <c r="B228" s="180">
        <f>'Données projet'!D211</f>
        <v>0</v>
      </c>
      <c r="C228" s="192"/>
      <c r="D228" s="178">
        <f t="shared" si="12"/>
        <v>0</v>
      </c>
      <c r="E228" s="192"/>
      <c r="F228" s="231"/>
      <c r="G228" s="205"/>
      <c r="H228" s="4"/>
      <c r="I228" s="4"/>
      <c r="J228" s="4"/>
      <c r="K228" s="172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2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2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30</v>
      </c>
      <c r="B231" s="173" t="str">
        <f>IF('Données projet'!$B$16="","",'Données projet'!$B$16)</f>
        <v>Bouleau verruqueux</v>
      </c>
      <c r="C231" s="4"/>
      <c r="D231" s="4"/>
      <c r="E231" s="4"/>
      <c r="F231" s="229"/>
      <c r="G231" s="205"/>
      <c r="H231" s="4"/>
      <c r="I231" s="4"/>
      <c r="J231" s="4"/>
      <c r="K231" s="172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2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51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30"/>
      <c r="G233" s="205"/>
      <c r="H233" s="4"/>
      <c r="I233" s="4"/>
      <c r="J233" s="4"/>
      <c r="K233" s="172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8" t="s">
        <v>194</v>
      </c>
      <c r="C234" s="197" t="s">
        <v>194</v>
      </c>
      <c r="D234" s="196" t="s">
        <v>194</v>
      </c>
      <c r="E234" s="192"/>
      <c r="F234" s="230"/>
      <c r="G234" s="205"/>
      <c r="H234" s="4"/>
      <c r="I234" s="4"/>
      <c r="J234" s="4"/>
      <c r="K234" s="172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8" t="s">
        <v>194</v>
      </c>
      <c r="C235" s="197" t="s">
        <v>194</v>
      </c>
      <c r="D235" s="196" t="s">
        <v>194</v>
      </c>
      <c r="E235" s="192"/>
      <c r="F235" s="230"/>
      <c r="G235" s="23"/>
      <c r="H235" s="4"/>
      <c r="I235" s="4"/>
      <c r="J235" s="4"/>
      <c r="K235" s="172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8" t="s">
        <v>194</v>
      </c>
      <c r="C236" s="197" t="s">
        <v>194</v>
      </c>
      <c r="D236" s="196" t="s">
        <v>194</v>
      </c>
      <c r="E236" s="192"/>
      <c r="F236" s="230"/>
      <c r="G236" s="23"/>
      <c r="H236" s="4"/>
      <c r="I236" s="4"/>
      <c r="J236" s="4"/>
      <c r="K236" s="172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8" t="s">
        <v>194</v>
      </c>
      <c r="C237" s="197" t="s">
        <v>194</v>
      </c>
      <c r="D237" s="196" t="s">
        <v>194</v>
      </c>
      <c r="E237" s="192"/>
      <c r="F237" s="230"/>
      <c r="G237" s="23"/>
      <c r="H237" s="4"/>
      <c r="I237" s="4"/>
      <c r="J237" s="4"/>
      <c r="K237" s="172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8" t="s">
        <v>194</v>
      </c>
      <c r="C238" s="197" t="s">
        <v>194</v>
      </c>
      <c r="D238" s="196" t="s">
        <v>194</v>
      </c>
      <c r="E238" s="192"/>
      <c r="F238" s="230"/>
      <c r="G238" s="23"/>
      <c r="H238" s="4"/>
      <c r="I238" s="4"/>
      <c r="J238" s="4"/>
      <c r="K238" s="172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8" t="s">
        <v>194</v>
      </c>
      <c r="C239" s="197" t="s">
        <v>194</v>
      </c>
      <c r="D239" s="196" t="s">
        <v>194</v>
      </c>
      <c r="E239" s="192"/>
      <c r="F239" s="230"/>
      <c r="G239" s="204"/>
      <c r="H239" s="4"/>
      <c r="I239" s="4"/>
      <c r="J239" s="4"/>
      <c r="K239" s="172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9">
        <f>'Données projet'!A218</f>
        <v>15</v>
      </c>
      <c r="B240" s="180">
        <f>'Données projet'!D218</f>
        <v>32</v>
      </c>
      <c r="C240" s="190">
        <v>11.25</v>
      </c>
      <c r="D240" s="178">
        <f>B240*C240</f>
        <v>360</v>
      </c>
      <c r="E240" s="192">
        <v>60</v>
      </c>
      <c r="F240" s="231"/>
      <c r="G240" s="204"/>
      <c r="H240" s="4"/>
      <c r="I240" s="4"/>
      <c r="J240" s="4"/>
      <c r="K240" s="172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9">
        <f>'Données projet'!A219</f>
        <v>20</v>
      </c>
      <c r="B241" s="180">
        <f>'Données projet'!D219</f>
        <v>35</v>
      </c>
      <c r="C241" s="190">
        <v>11.25</v>
      </c>
      <c r="D241" s="178">
        <f t="shared" ref="D241:D259" si="13">B241*C241</f>
        <v>393.75</v>
      </c>
      <c r="E241" s="192">
        <v>60</v>
      </c>
      <c r="F241" s="231"/>
      <c r="G241" s="204"/>
      <c r="H241" s="4"/>
      <c r="I241" s="4"/>
      <c r="J241" s="4"/>
      <c r="K241" s="172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9">
        <f>'Données projet'!A220</f>
        <v>25</v>
      </c>
      <c r="B242" s="180">
        <f>'Données projet'!D220</f>
        <v>35</v>
      </c>
      <c r="C242" s="190">
        <v>11.25</v>
      </c>
      <c r="D242" s="178">
        <f t="shared" si="13"/>
        <v>393.75</v>
      </c>
      <c r="E242" s="192">
        <v>60</v>
      </c>
      <c r="F242" s="231"/>
      <c r="G242" s="204"/>
      <c r="H242" s="4"/>
      <c r="I242" s="4"/>
      <c r="J242" s="4"/>
      <c r="K242" s="172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9">
        <f>'Données projet'!A221</f>
        <v>30</v>
      </c>
      <c r="B243" s="180">
        <f>'Données projet'!D221</f>
        <v>35</v>
      </c>
      <c r="C243" s="190">
        <v>18.125</v>
      </c>
      <c r="D243" s="178">
        <f t="shared" si="13"/>
        <v>634.375</v>
      </c>
      <c r="E243" s="192">
        <v>60</v>
      </c>
      <c r="F243" s="231"/>
      <c r="G243" s="204"/>
      <c r="H243" s="4"/>
      <c r="I243" s="4"/>
      <c r="J243" s="4"/>
      <c r="K243" s="172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9">
        <f>'Données projet'!A222</f>
        <v>35</v>
      </c>
      <c r="B244" s="180">
        <f>'Données projet'!D222</f>
        <v>35</v>
      </c>
      <c r="C244" s="190">
        <v>18.125</v>
      </c>
      <c r="D244" s="178">
        <f t="shared" si="13"/>
        <v>634.375</v>
      </c>
      <c r="E244" s="192">
        <v>60</v>
      </c>
      <c r="F244" s="231"/>
      <c r="G244" s="204"/>
      <c r="H244" s="4"/>
      <c r="I244" s="4"/>
      <c r="J244" s="4"/>
      <c r="K244" s="172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9">
        <f>'Données projet'!A223</f>
        <v>40</v>
      </c>
      <c r="B245" s="180">
        <f>'Données projet'!D223</f>
        <v>35</v>
      </c>
      <c r="C245" s="190">
        <v>18.125</v>
      </c>
      <c r="D245" s="178">
        <f t="shared" si="13"/>
        <v>634.375</v>
      </c>
      <c r="E245" s="192">
        <v>60</v>
      </c>
      <c r="F245" s="231"/>
      <c r="G245" s="204"/>
      <c r="H245" s="4"/>
      <c r="I245" s="4"/>
      <c r="J245" s="4"/>
      <c r="K245" s="172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9">
        <f>'Données projet'!A224</f>
        <v>45</v>
      </c>
      <c r="B246" s="180">
        <f>'Données projet'!D224</f>
        <v>24</v>
      </c>
      <c r="C246" s="190">
        <v>18.125</v>
      </c>
      <c r="D246" s="178">
        <f t="shared" si="13"/>
        <v>435</v>
      </c>
      <c r="E246" s="192">
        <v>60</v>
      </c>
      <c r="F246" s="231"/>
      <c r="G246" s="205"/>
      <c r="H246" s="4"/>
      <c r="I246" s="4"/>
      <c r="J246" s="4"/>
      <c r="K246" s="172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9">
        <f>'Données projet'!A225</f>
        <v>50</v>
      </c>
      <c r="B247" s="180">
        <f>'Données projet'!D225</f>
        <v>19</v>
      </c>
      <c r="C247" s="190">
        <v>18.125</v>
      </c>
      <c r="D247" s="178">
        <f t="shared" si="13"/>
        <v>344.375</v>
      </c>
      <c r="E247" s="192">
        <v>60</v>
      </c>
      <c r="F247" s="231"/>
      <c r="G247" s="205"/>
      <c r="H247" s="4"/>
      <c r="I247" s="4"/>
      <c r="J247" s="4"/>
      <c r="K247" s="172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9">
        <f>'Données projet'!A226</f>
        <v>55</v>
      </c>
      <c r="B248" s="180">
        <f>'Données projet'!D226</f>
        <v>16</v>
      </c>
      <c r="C248" s="190">
        <v>32.1875</v>
      </c>
      <c r="D248" s="178">
        <f t="shared" si="13"/>
        <v>515</v>
      </c>
      <c r="E248" s="192">
        <v>60</v>
      </c>
      <c r="F248" s="231"/>
      <c r="G248" s="205"/>
      <c r="H248" s="4"/>
      <c r="I248" s="4"/>
      <c r="J248" s="4"/>
      <c r="K248" s="172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9">
        <f>'Données projet'!A227</f>
        <v>60</v>
      </c>
      <c r="B249" s="180">
        <f>'Données projet'!D227</f>
        <v>14</v>
      </c>
      <c r="C249" s="192">
        <v>32.1875</v>
      </c>
      <c r="D249" s="178">
        <f t="shared" si="13"/>
        <v>450.625</v>
      </c>
      <c r="E249" s="192">
        <v>60</v>
      </c>
      <c r="F249" s="231"/>
      <c r="G249" s="205"/>
      <c r="H249" s="4"/>
      <c r="I249" s="4"/>
      <c r="J249" s="4"/>
      <c r="K249" s="172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9">
        <f>'Données projet'!A228</f>
        <v>65</v>
      </c>
      <c r="B250" s="180">
        <f>'Données projet'!D228</f>
        <v>13</v>
      </c>
      <c r="C250" s="192">
        <v>32.1875</v>
      </c>
      <c r="D250" s="178">
        <f t="shared" si="13"/>
        <v>418.4375</v>
      </c>
      <c r="E250" s="192">
        <v>60</v>
      </c>
      <c r="F250" s="231"/>
      <c r="G250" s="205"/>
      <c r="H250" s="4"/>
      <c r="I250" s="4"/>
      <c r="J250" s="4"/>
      <c r="K250" s="172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9">
        <f>'Données projet'!A229</f>
        <v>70</v>
      </c>
      <c r="B251" s="180">
        <f>'Données projet'!D229</f>
        <v>13</v>
      </c>
      <c r="C251" s="192">
        <v>32.1875</v>
      </c>
      <c r="D251" s="178">
        <f t="shared" si="13"/>
        <v>418.4375</v>
      </c>
      <c r="E251" s="192">
        <v>60</v>
      </c>
      <c r="F251" s="231"/>
      <c r="G251" s="205"/>
      <c r="H251" s="4"/>
      <c r="I251" s="4"/>
      <c r="J251" s="4"/>
      <c r="K251" s="172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9">
        <f>'Données projet'!A230</f>
        <v>75</v>
      </c>
      <c r="B252" s="180">
        <f>'Données projet'!D230</f>
        <v>12</v>
      </c>
      <c r="C252" s="192">
        <v>32.1875</v>
      </c>
      <c r="D252" s="178">
        <f t="shared" si="13"/>
        <v>386.25</v>
      </c>
      <c r="E252" s="192">
        <v>60</v>
      </c>
      <c r="F252" s="231"/>
      <c r="G252" s="205"/>
      <c r="H252" s="4"/>
      <c r="I252" s="4"/>
      <c r="J252" s="4"/>
      <c r="K252" s="172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9">
        <f>'Données projet'!A231</f>
        <v>80</v>
      </c>
      <c r="B253" s="180">
        <f>'Données projet'!D231</f>
        <v>330</v>
      </c>
      <c r="C253" s="192">
        <v>32.1875</v>
      </c>
      <c r="D253" s="178">
        <f t="shared" si="13"/>
        <v>10621.875</v>
      </c>
      <c r="E253" s="192">
        <v>60</v>
      </c>
      <c r="F253" s="231"/>
      <c r="G253" s="205"/>
      <c r="H253" s="4"/>
      <c r="I253" s="4"/>
      <c r="J253" s="4"/>
      <c r="K253" s="172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9">
        <f>'Données projet'!A232</f>
        <v>0</v>
      </c>
      <c r="B254" s="180">
        <f>'Données projet'!D232</f>
        <v>0</v>
      </c>
      <c r="C254" s="192"/>
      <c r="D254" s="178">
        <f t="shared" si="13"/>
        <v>0</v>
      </c>
      <c r="E254" s="192"/>
      <c r="F254" s="231"/>
      <c r="G254" s="205"/>
      <c r="H254" s="4"/>
      <c r="I254" s="4"/>
      <c r="J254" s="4"/>
      <c r="K254" s="172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9">
        <f>'Données projet'!A233</f>
        <v>0</v>
      </c>
      <c r="B255" s="180">
        <f>'Données projet'!D233</f>
        <v>0</v>
      </c>
      <c r="C255" s="192"/>
      <c r="D255" s="178">
        <f t="shared" si="13"/>
        <v>0</v>
      </c>
      <c r="E255" s="192"/>
      <c r="F255" s="231"/>
      <c r="G255" s="205"/>
      <c r="H255" s="4"/>
      <c r="I255" s="4"/>
      <c r="J255" s="4"/>
      <c r="K255" s="172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9">
        <f>'Données projet'!A234</f>
        <v>0</v>
      </c>
      <c r="B256" s="180">
        <f>'Données projet'!D234</f>
        <v>0</v>
      </c>
      <c r="C256" s="192"/>
      <c r="D256" s="178">
        <f t="shared" si="13"/>
        <v>0</v>
      </c>
      <c r="E256" s="192"/>
      <c r="F256" s="231"/>
      <c r="G256" s="205"/>
      <c r="H256" s="4"/>
      <c r="I256" s="4"/>
      <c r="J256" s="4"/>
      <c r="K256" s="172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9">
        <f>'Données projet'!A235</f>
        <v>0</v>
      </c>
      <c r="B257" s="180">
        <f>'Données projet'!D235</f>
        <v>0</v>
      </c>
      <c r="C257" s="192"/>
      <c r="D257" s="178">
        <f t="shared" si="13"/>
        <v>0</v>
      </c>
      <c r="E257" s="192"/>
      <c r="F257" s="231"/>
      <c r="G257" s="205"/>
      <c r="H257" s="4"/>
      <c r="I257" s="4"/>
      <c r="J257" s="4"/>
      <c r="K257" s="172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9">
        <f>'Données projet'!A236</f>
        <v>0</v>
      </c>
      <c r="B258" s="180">
        <f>'Données projet'!D236</f>
        <v>0</v>
      </c>
      <c r="C258" s="192"/>
      <c r="D258" s="178">
        <f t="shared" si="13"/>
        <v>0</v>
      </c>
      <c r="E258" s="192"/>
      <c r="F258" s="231"/>
      <c r="G258" s="205"/>
      <c r="H258" s="4"/>
      <c r="I258" s="4"/>
      <c r="J258" s="4"/>
      <c r="K258" s="172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9">
        <f>'Données projet'!A237</f>
        <v>0</v>
      </c>
      <c r="B259" s="180">
        <f>'Données projet'!D237</f>
        <v>0</v>
      </c>
      <c r="C259" s="192"/>
      <c r="D259" s="178">
        <f t="shared" si="13"/>
        <v>0</v>
      </c>
      <c r="E259" s="192"/>
      <c r="F259" s="231"/>
      <c r="G259" s="205"/>
      <c r="H259" s="4"/>
      <c r="I259" s="4"/>
      <c r="J259" s="4"/>
      <c r="K259" s="172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2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2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31</v>
      </c>
      <c r="B262" s="173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2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2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51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30"/>
      <c r="G264" s="205"/>
      <c r="H264" s="4"/>
      <c r="I264" s="4"/>
      <c r="J264" s="4"/>
      <c r="K264" s="172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8" t="s">
        <v>194</v>
      </c>
      <c r="C265" s="197" t="s">
        <v>194</v>
      </c>
      <c r="D265" s="196" t="s">
        <v>194</v>
      </c>
      <c r="E265" s="192"/>
      <c r="F265" s="230"/>
      <c r="G265" s="205"/>
      <c r="H265" s="4"/>
      <c r="I265" s="4"/>
      <c r="J265" s="4"/>
      <c r="K265" s="172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8" t="s">
        <v>194</v>
      </c>
      <c r="C266" s="197" t="s">
        <v>194</v>
      </c>
      <c r="D266" s="196" t="s">
        <v>194</v>
      </c>
      <c r="E266" s="192"/>
      <c r="F266" s="230"/>
      <c r="G266" s="23"/>
      <c r="H266" s="4"/>
      <c r="I266" s="4"/>
      <c r="J266" s="4"/>
      <c r="K266" s="172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8" t="s">
        <v>194</v>
      </c>
      <c r="C267" s="197" t="s">
        <v>194</v>
      </c>
      <c r="D267" s="196" t="s">
        <v>194</v>
      </c>
      <c r="E267" s="192"/>
      <c r="F267" s="230"/>
      <c r="G267" s="23"/>
      <c r="H267" s="4"/>
      <c r="I267" s="4"/>
      <c r="J267" s="4"/>
      <c r="K267" s="172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8" t="s">
        <v>194</v>
      </c>
      <c r="C268" s="197" t="s">
        <v>194</v>
      </c>
      <c r="D268" s="196" t="s">
        <v>194</v>
      </c>
      <c r="E268" s="192"/>
      <c r="F268" s="230"/>
      <c r="G268" s="23"/>
      <c r="H268" s="4"/>
      <c r="I268" s="4"/>
      <c r="J268" s="4"/>
      <c r="K268" s="172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8" t="s">
        <v>194</v>
      </c>
      <c r="C269" s="197"/>
      <c r="D269" s="196" t="s">
        <v>194</v>
      </c>
      <c r="E269" s="192"/>
      <c r="F269" s="230"/>
      <c r="G269" s="23"/>
      <c r="H269" s="4"/>
      <c r="I269" s="4"/>
      <c r="J269" s="4"/>
      <c r="K269" s="172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8" t="s">
        <v>194</v>
      </c>
      <c r="C270" s="197"/>
      <c r="D270" s="196" t="s">
        <v>194</v>
      </c>
      <c r="E270" s="192"/>
      <c r="F270" s="230"/>
      <c r="G270" s="204"/>
      <c r="H270" s="4"/>
      <c r="I270" s="4"/>
      <c r="J270" s="4"/>
      <c r="K270" s="172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9">
        <f>'Données projet'!A244</f>
        <v>0</v>
      </c>
      <c r="B271" s="180">
        <f>'Données projet'!D244</f>
        <v>0</v>
      </c>
      <c r="C271" s="192"/>
      <c r="D271" s="178">
        <f>B271*C271</f>
        <v>0</v>
      </c>
      <c r="E271" s="192"/>
      <c r="F271" s="231"/>
      <c r="G271" s="204"/>
      <c r="H271" s="4"/>
      <c r="I271" s="4"/>
      <c r="J271" s="4"/>
      <c r="K271" s="172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9">
        <f>'Données projet'!A245</f>
        <v>0</v>
      </c>
      <c r="B272" s="180">
        <f>'Données projet'!D245</f>
        <v>0</v>
      </c>
      <c r="C272" s="192"/>
      <c r="D272" s="178">
        <f t="shared" ref="D272:D290" si="14">B272*C272</f>
        <v>0</v>
      </c>
      <c r="E272" s="192"/>
      <c r="F272" s="231"/>
      <c r="G272" s="204"/>
      <c r="H272" s="4"/>
      <c r="I272" s="4"/>
      <c r="J272" s="4"/>
      <c r="K272" s="172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9">
        <f>'Données projet'!A246</f>
        <v>0</v>
      </c>
      <c r="B273" s="180">
        <f>'Données projet'!D246</f>
        <v>0</v>
      </c>
      <c r="C273" s="192"/>
      <c r="D273" s="178">
        <f t="shared" si="14"/>
        <v>0</v>
      </c>
      <c r="E273" s="192"/>
      <c r="F273" s="231"/>
      <c r="G273" s="204"/>
      <c r="H273" s="4"/>
      <c r="I273" s="4"/>
      <c r="J273" s="4"/>
      <c r="K273" s="172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9">
        <f>'Données projet'!A247</f>
        <v>0</v>
      </c>
      <c r="B274" s="180">
        <f>'Données projet'!D247</f>
        <v>0</v>
      </c>
      <c r="C274" s="192"/>
      <c r="D274" s="178">
        <f t="shared" si="14"/>
        <v>0</v>
      </c>
      <c r="E274" s="192"/>
      <c r="F274" s="231"/>
      <c r="G274" s="204"/>
      <c r="H274" s="4"/>
      <c r="I274" s="4"/>
      <c r="J274" s="4"/>
      <c r="K274" s="172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9">
        <f>'Données projet'!A248</f>
        <v>0</v>
      </c>
      <c r="B275" s="180">
        <f>'Données projet'!D248</f>
        <v>0</v>
      </c>
      <c r="C275" s="192"/>
      <c r="D275" s="178">
        <f t="shared" si="14"/>
        <v>0</v>
      </c>
      <c r="E275" s="192"/>
      <c r="F275" s="231"/>
      <c r="G275" s="204"/>
      <c r="H275" s="4"/>
      <c r="I275" s="4"/>
      <c r="J275" s="4"/>
      <c r="K275" s="172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9">
        <f>'Données projet'!A249</f>
        <v>0</v>
      </c>
      <c r="B276" s="180">
        <f>'Données projet'!D249</f>
        <v>0</v>
      </c>
      <c r="C276" s="192"/>
      <c r="D276" s="178">
        <f t="shared" si="14"/>
        <v>0</v>
      </c>
      <c r="E276" s="192"/>
      <c r="F276" s="231"/>
      <c r="G276" s="204"/>
      <c r="H276" s="4"/>
      <c r="I276" s="4"/>
      <c r="J276" s="4"/>
      <c r="K276" s="172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9">
        <f>'Données projet'!A250</f>
        <v>0</v>
      </c>
      <c r="B277" s="180">
        <f>'Données projet'!D250</f>
        <v>0</v>
      </c>
      <c r="C277" s="192"/>
      <c r="D277" s="178">
        <f t="shared" si="14"/>
        <v>0</v>
      </c>
      <c r="E277" s="192"/>
      <c r="F277" s="231"/>
      <c r="G277" s="205"/>
      <c r="H277" s="4"/>
      <c r="I277" s="4"/>
      <c r="J277" s="4"/>
      <c r="K277" s="172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9">
        <f>'Données projet'!A251</f>
        <v>0</v>
      </c>
      <c r="B278" s="180">
        <f>'Données projet'!D251</f>
        <v>0</v>
      </c>
      <c r="C278" s="192"/>
      <c r="D278" s="178">
        <f t="shared" si="14"/>
        <v>0</v>
      </c>
      <c r="E278" s="192"/>
      <c r="F278" s="231"/>
      <c r="G278" s="205"/>
      <c r="H278" s="4"/>
      <c r="I278" s="4"/>
      <c r="J278" s="4"/>
      <c r="K278" s="172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9">
        <f>'Données projet'!A252</f>
        <v>0</v>
      </c>
      <c r="B279" s="180">
        <f>'Données projet'!D252</f>
        <v>0</v>
      </c>
      <c r="C279" s="192"/>
      <c r="D279" s="178">
        <f t="shared" si="14"/>
        <v>0</v>
      </c>
      <c r="E279" s="192"/>
      <c r="F279" s="231"/>
      <c r="G279" s="205"/>
      <c r="H279" s="4"/>
      <c r="I279" s="4"/>
      <c r="J279" s="4"/>
      <c r="K279" s="172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9">
        <f>'Données projet'!A253</f>
        <v>0</v>
      </c>
      <c r="B280" s="180">
        <f>'Données projet'!D253</f>
        <v>0</v>
      </c>
      <c r="C280" s="192"/>
      <c r="D280" s="178">
        <f t="shared" si="14"/>
        <v>0</v>
      </c>
      <c r="E280" s="192"/>
      <c r="F280" s="231"/>
      <c r="G280" s="205"/>
      <c r="H280" s="4"/>
      <c r="I280" s="4"/>
      <c r="J280" s="4"/>
      <c r="K280" s="172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9">
        <f>'Données projet'!A254</f>
        <v>0</v>
      </c>
      <c r="B281" s="180">
        <f>'Données projet'!D254</f>
        <v>0</v>
      </c>
      <c r="C281" s="192"/>
      <c r="D281" s="178">
        <f t="shared" si="14"/>
        <v>0</v>
      </c>
      <c r="E281" s="192"/>
      <c r="F281" s="231"/>
      <c r="G281" s="205"/>
      <c r="H281" s="4"/>
      <c r="I281" s="4"/>
      <c r="J281" s="4"/>
      <c r="K281" s="172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9">
        <f>'Données projet'!A255</f>
        <v>0</v>
      </c>
      <c r="B282" s="180">
        <f>'Données projet'!D255</f>
        <v>0</v>
      </c>
      <c r="C282" s="192"/>
      <c r="D282" s="178">
        <f t="shared" si="14"/>
        <v>0</v>
      </c>
      <c r="E282" s="192"/>
      <c r="F282" s="231"/>
      <c r="G282" s="205"/>
      <c r="H282" s="4"/>
      <c r="I282" s="4"/>
      <c r="J282" s="4"/>
      <c r="K282" s="172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9">
        <f>'Données projet'!A256</f>
        <v>0</v>
      </c>
      <c r="B283" s="180">
        <f>'Données projet'!D256</f>
        <v>0</v>
      </c>
      <c r="C283" s="192"/>
      <c r="D283" s="178">
        <f t="shared" si="14"/>
        <v>0</v>
      </c>
      <c r="E283" s="192"/>
      <c r="F283" s="231"/>
      <c r="G283" s="205"/>
      <c r="H283" s="4"/>
      <c r="I283" s="4"/>
      <c r="J283" s="4"/>
      <c r="K283" s="172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9">
        <f>'Données projet'!A257</f>
        <v>0</v>
      </c>
      <c r="B284" s="180">
        <f>'Données projet'!D257</f>
        <v>0</v>
      </c>
      <c r="C284" s="192"/>
      <c r="D284" s="178">
        <f t="shared" si="14"/>
        <v>0</v>
      </c>
      <c r="E284" s="192"/>
      <c r="F284" s="231"/>
      <c r="G284" s="205"/>
      <c r="H284" s="4"/>
      <c r="I284" s="4"/>
      <c r="J284" s="4"/>
      <c r="K284" s="172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9">
        <f>'Données projet'!A258</f>
        <v>0</v>
      </c>
      <c r="B285" s="180">
        <f>'Données projet'!D258</f>
        <v>0</v>
      </c>
      <c r="C285" s="192"/>
      <c r="D285" s="178">
        <f t="shared" si="14"/>
        <v>0</v>
      </c>
      <c r="E285" s="192"/>
      <c r="F285" s="231"/>
      <c r="G285" s="205"/>
      <c r="H285" s="4"/>
      <c r="I285" s="4"/>
      <c r="J285" s="4"/>
      <c r="K285" s="172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9">
        <f>'Données projet'!A259</f>
        <v>0</v>
      </c>
      <c r="B286" s="180">
        <f>'Données projet'!D259</f>
        <v>0</v>
      </c>
      <c r="C286" s="192"/>
      <c r="D286" s="178">
        <f t="shared" si="14"/>
        <v>0</v>
      </c>
      <c r="E286" s="192"/>
      <c r="F286" s="231"/>
      <c r="G286" s="205"/>
      <c r="H286" s="4"/>
      <c r="I286" s="4"/>
      <c r="J286" s="4"/>
      <c r="K286" s="172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9">
        <f>'Données projet'!A260</f>
        <v>0</v>
      </c>
      <c r="B287" s="180">
        <f>'Données projet'!D260</f>
        <v>0</v>
      </c>
      <c r="C287" s="192"/>
      <c r="D287" s="178">
        <f t="shared" si="14"/>
        <v>0</v>
      </c>
      <c r="E287" s="192"/>
      <c r="F287" s="231"/>
      <c r="G287" s="205"/>
      <c r="H287" s="4"/>
      <c r="I287" s="4"/>
      <c r="J287" s="4"/>
      <c r="K287" s="172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9">
        <f>'Données projet'!A261</f>
        <v>0</v>
      </c>
      <c r="B288" s="180">
        <f>'Données projet'!D261</f>
        <v>0</v>
      </c>
      <c r="C288" s="192"/>
      <c r="D288" s="178">
        <f t="shared" si="14"/>
        <v>0</v>
      </c>
      <c r="E288" s="192"/>
      <c r="F288" s="231"/>
      <c r="G288" s="205"/>
      <c r="H288" s="4"/>
      <c r="I288" s="4"/>
      <c r="J288" s="4"/>
      <c r="K288" s="172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9">
        <f>'Données projet'!A262</f>
        <v>0</v>
      </c>
      <c r="B289" s="180">
        <f>'Données projet'!D262</f>
        <v>0</v>
      </c>
      <c r="C289" s="192"/>
      <c r="D289" s="178">
        <f t="shared" si="14"/>
        <v>0</v>
      </c>
      <c r="E289" s="192"/>
      <c r="F289" s="231"/>
      <c r="G289" s="205"/>
      <c r="H289" s="4"/>
      <c r="I289" s="4"/>
      <c r="J289" s="4"/>
      <c r="K289" s="172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9">
        <f>'Données projet'!A263</f>
        <v>0</v>
      </c>
      <c r="B290" s="180">
        <f>'Données projet'!D263</f>
        <v>0</v>
      </c>
      <c r="C290" s="192"/>
      <c r="D290" s="178">
        <f t="shared" si="14"/>
        <v>0</v>
      </c>
      <c r="E290" s="192"/>
      <c r="F290" s="231"/>
      <c r="G290" s="205"/>
      <c r="H290" s="4"/>
      <c r="I290" s="4"/>
      <c r="J290" s="4"/>
      <c r="K290" s="172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2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2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32</v>
      </c>
      <c r="B293" s="173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2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2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51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30"/>
      <c r="G295" s="205"/>
      <c r="H295" s="4"/>
      <c r="I295" s="4"/>
      <c r="J295" s="4"/>
      <c r="K295" s="172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8" t="s">
        <v>194</v>
      </c>
      <c r="C296" s="197" t="s">
        <v>194</v>
      </c>
      <c r="D296" s="196" t="s">
        <v>194</v>
      </c>
      <c r="E296" s="192"/>
      <c r="F296" s="230"/>
      <c r="G296" s="205"/>
      <c r="H296" s="4"/>
      <c r="I296" s="4"/>
      <c r="J296" s="4"/>
      <c r="K296" s="172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8" t="s">
        <v>194</v>
      </c>
      <c r="C297" s="197" t="s">
        <v>194</v>
      </c>
      <c r="D297" s="196" t="s">
        <v>194</v>
      </c>
      <c r="E297" s="192"/>
      <c r="F297" s="230"/>
      <c r="G297" s="23"/>
      <c r="H297" s="4"/>
      <c r="I297" s="4"/>
      <c r="J297" s="4"/>
      <c r="K297" s="172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8" t="s">
        <v>194</v>
      </c>
      <c r="C298" s="197" t="s">
        <v>194</v>
      </c>
      <c r="D298" s="196" t="s">
        <v>194</v>
      </c>
      <c r="E298" s="192"/>
      <c r="F298" s="230"/>
      <c r="G298" s="23"/>
      <c r="H298" s="4"/>
      <c r="I298" s="4"/>
      <c r="J298" s="4"/>
      <c r="K298" s="172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8" t="s">
        <v>194</v>
      </c>
      <c r="C299" s="197" t="s">
        <v>194</v>
      </c>
      <c r="D299" s="196" t="s">
        <v>194</v>
      </c>
      <c r="E299" s="192"/>
      <c r="F299" s="230"/>
      <c r="G299" s="23"/>
      <c r="H299" s="4"/>
      <c r="I299" s="4"/>
      <c r="J299" s="4"/>
      <c r="K299" s="172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8" t="s">
        <v>194</v>
      </c>
      <c r="C300" s="197" t="s">
        <v>194</v>
      </c>
      <c r="D300" s="196" t="s">
        <v>194</v>
      </c>
      <c r="E300" s="192"/>
      <c r="F300" s="230"/>
      <c r="G300" s="23"/>
      <c r="H300" s="4"/>
      <c r="I300" s="4"/>
      <c r="J300" s="4"/>
      <c r="K300" s="172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8" t="s">
        <v>194</v>
      </c>
      <c r="C301" s="197" t="s">
        <v>194</v>
      </c>
      <c r="D301" s="196" t="s">
        <v>194</v>
      </c>
      <c r="E301" s="192"/>
      <c r="F301" s="230"/>
      <c r="G301" s="204"/>
      <c r="H301" s="4"/>
      <c r="I301" s="4"/>
      <c r="J301" s="4"/>
      <c r="K301" s="172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9">
        <f>'Données projet'!A270</f>
        <v>0</v>
      </c>
      <c r="B302" s="180">
        <f>'Données projet'!D270</f>
        <v>0</v>
      </c>
      <c r="C302" s="190"/>
      <c r="D302" s="181">
        <f>B302*C302</f>
        <v>0</v>
      </c>
      <c r="E302" s="192"/>
      <c r="F302" s="232"/>
      <c r="G302" s="204"/>
      <c r="H302" s="4"/>
      <c r="I302" s="4"/>
      <c r="J302" s="4"/>
      <c r="K302" s="172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9">
        <f>'Données projet'!A271</f>
        <v>0</v>
      </c>
      <c r="B303" s="180">
        <f>'Données projet'!D271</f>
        <v>0</v>
      </c>
      <c r="C303" s="190"/>
      <c r="D303" s="181">
        <f t="shared" ref="D303:D321" si="15">B303*C303</f>
        <v>0</v>
      </c>
      <c r="E303" s="192"/>
      <c r="F303" s="232"/>
      <c r="G303" s="204"/>
      <c r="H303" s="4"/>
      <c r="I303" s="4"/>
      <c r="J303" s="4"/>
      <c r="K303" s="172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9">
        <f>'Données projet'!A272</f>
        <v>0</v>
      </c>
      <c r="B304" s="180">
        <f>'Données projet'!D272</f>
        <v>0</v>
      </c>
      <c r="C304" s="190"/>
      <c r="D304" s="181">
        <f t="shared" si="15"/>
        <v>0</v>
      </c>
      <c r="E304" s="192"/>
      <c r="F304" s="232"/>
      <c r="G304" s="204"/>
      <c r="H304" s="4"/>
      <c r="I304" s="4"/>
      <c r="J304" s="4"/>
      <c r="K304" s="172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9">
        <f>'Données projet'!A273</f>
        <v>0</v>
      </c>
      <c r="B305" s="180">
        <f>'Données projet'!D273</f>
        <v>0</v>
      </c>
      <c r="C305" s="190"/>
      <c r="D305" s="181">
        <f t="shared" si="15"/>
        <v>0</v>
      </c>
      <c r="E305" s="192"/>
      <c r="F305" s="232"/>
      <c r="G305" s="204"/>
      <c r="H305" s="4"/>
      <c r="I305" s="4"/>
      <c r="J305" s="4"/>
      <c r="K305" s="172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9">
        <f>'Données projet'!A274</f>
        <v>0</v>
      </c>
      <c r="B306" s="180">
        <f>'Données projet'!D274</f>
        <v>0</v>
      </c>
      <c r="C306" s="190"/>
      <c r="D306" s="181">
        <f t="shared" si="15"/>
        <v>0</v>
      </c>
      <c r="E306" s="192"/>
      <c r="F306" s="232"/>
      <c r="G306" s="204"/>
      <c r="H306" s="4"/>
      <c r="I306" s="4"/>
      <c r="J306" s="4"/>
      <c r="K306" s="172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9">
        <f>'Données projet'!A275</f>
        <v>0</v>
      </c>
      <c r="B307" s="180">
        <f>'Données projet'!D275</f>
        <v>0</v>
      </c>
      <c r="C307" s="190"/>
      <c r="D307" s="181">
        <f t="shared" si="15"/>
        <v>0</v>
      </c>
      <c r="E307" s="192"/>
      <c r="F307" s="232"/>
      <c r="G307" s="204"/>
      <c r="H307" s="4"/>
      <c r="I307" s="4"/>
      <c r="J307" s="4"/>
      <c r="K307" s="172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9">
        <f>'Données projet'!A276</f>
        <v>0</v>
      </c>
      <c r="B308" s="180">
        <f>'Données projet'!D276</f>
        <v>0</v>
      </c>
      <c r="C308" s="190"/>
      <c r="D308" s="181">
        <f t="shared" si="15"/>
        <v>0</v>
      </c>
      <c r="E308" s="192"/>
      <c r="F308" s="232"/>
      <c r="G308" s="202"/>
      <c r="H308" s="4"/>
      <c r="I308" s="4"/>
      <c r="J308" s="4"/>
      <c r="K308" s="172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9">
        <f>'Données projet'!A277</f>
        <v>0</v>
      </c>
      <c r="B309" s="180">
        <f>'Données projet'!D277</f>
        <v>0</v>
      </c>
      <c r="C309" s="190"/>
      <c r="D309" s="181">
        <f t="shared" si="15"/>
        <v>0</v>
      </c>
      <c r="E309" s="192"/>
      <c r="F309" s="232"/>
      <c r="G309" s="202"/>
      <c r="H309" s="4"/>
      <c r="I309" s="4"/>
      <c r="J309" s="4"/>
      <c r="K309" s="172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9">
        <f>'Données projet'!A278</f>
        <v>0</v>
      </c>
      <c r="B310" s="180">
        <f>'Données projet'!D278</f>
        <v>0</v>
      </c>
      <c r="C310" s="190"/>
      <c r="D310" s="181">
        <f t="shared" si="15"/>
        <v>0</v>
      </c>
      <c r="E310" s="192"/>
      <c r="F310" s="232"/>
      <c r="G310" s="202"/>
      <c r="H310" s="4"/>
      <c r="I310" s="4"/>
      <c r="J310" s="4"/>
      <c r="K310" s="172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9">
        <f>'Données projet'!A279</f>
        <v>0</v>
      </c>
      <c r="B311" s="180">
        <f>'Données projet'!D279</f>
        <v>0</v>
      </c>
      <c r="C311" s="190"/>
      <c r="D311" s="181">
        <f t="shared" si="15"/>
        <v>0</v>
      </c>
      <c r="E311" s="192"/>
      <c r="F311" s="232"/>
      <c r="G311" s="202"/>
      <c r="H311" s="4"/>
      <c r="I311" s="4"/>
      <c r="J311" s="4"/>
      <c r="K311" s="172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9">
        <f>'Données projet'!A280</f>
        <v>0</v>
      </c>
      <c r="B312" s="180">
        <f>'Données projet'!D280</f>
        <v>0</v>
      </c>
      <c r="C312" s="190"/>
      <c r="D312" s="181">
        <f t="shared" si="15"/>
        <v>0</v>
      </c>
      <c r="E312" s="192"/>
      <c r="F312" s="232"/>
      <c r="G312" s="202"/>
      <c r="H312" s="4"/>
      <c r="I312" s="4"/>
      <c r="J312" s="4"/>
      <c r="K312" s="172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9">
        <f>'Données projet'!A281</f>
        <v>0</v>
      </c>
      <c r="B313" s="180">
        <f>'Données projet'!D281</f>
        <v>0</v>
      </c>
      <c r="C313" s="190"/>
      <c r="D313" s="181">
        <f t="shared" si="15"/>
        <v>0</v>
      </c>
      <c r="E313" s="192"/>
      <c r="F313" s="232"/>
      <c r="G313" s="202"/>
      <c r="H313" s="4"/>
      <c r="I313" s="4"/>
      <c r="J313" s="4"/>
      <c r="K313" s="172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9">
        <f>'Données projet'!A282</f>
        <v>0</v>
      </c>
      <c r="B314" s="180">
        <f>'Données projet'!D282</f>
        <v>0</v>
      </c>
      <c r="C314" s="190"/>
      <c r="D314" s="181">
        <f t="shared" si="15"/>
        <v>0</v>
      </c>
      <c r="E314" s="192"/>
      <c r="F314" s="232"/>
      <c r="G314" s="202"/>
      <c r="H314" s="4"/>
      <c r="I314" s="4"/>
      <c r="J314" s="4"/>
      <c r="K314" s="172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9">
        <f>'Données projet'!A283</f>
        <v>0</v>
      </c>
      <c r="B315" s="180">
        <f>'Données projet'!D283</f>
        <v>0</v>
      </c>
      <c r="C315" s="190"/>
      <c r="D315" s="181">
        <f t="shared" si="15"/>
        <v>0</v>
      </c>
      <c r="E315" s="192"/>
      <c r="F315" s="232"/>
      <c r="G315" s="202"/>
      <c r="H315" s="4"/>
      <c r="I315" s="4"/>
      <c r="J315" s="4"/>
      <c r="K315" s="172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9">
        <f>'Données projet'!A284</f>
        <v>0</v>
      </c>
      <c r="B316" s="180">
        <f>'Données projet'!D284</f>
        <v>0</v>
      </c>
      <c r="C316" s="190"/>
      <c r="D316" s="181">
        <f t="shared" si="15"/>
        <v>0</v>
      </c>
      <c r="E316" s="192"/>
      <c r="F316" s="232"/>
      <c r="G316" s="202"/>
      <c r="H316" s="4"/>
      <c r="I316" s="4"/>
      <c r="J316" s="4"/>
      <c r="K316" s="172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9">
        <f>'Données projet'!A285</f>
        <v>0</v>
      </c>
      <c r="B317" s="180">
        <f>'Données projet'!D285</f>
        <v>0</v>
      </c>
      <c r="C317" s="190"/>
      <c r="D317" s="181">
        <f t="shared" si="15"/>
        <v>0</v>
      </c>
      <c r="E317" s="192"/>
      <c r="F317" s="232"/>
      <c r="G317" s="202"/>
      <c r="H317" s="4"/>
      <c r="I317" s="4"/>
      <c r="J317" s="4"/>
      <c r="K317" s="172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9">
        <f>'Données projet'!A286</f>
        <v>0</v>
      </c>
      <c r="B318" s="180">
        <f>'Données projet'!D286</f>
        <v>0</v>
      </c>
      <c r="C318" s="190"/>
      <c r="D318" s="181">
        <f t="shared" si="15"/>
        <v>0</v>
      </c>
      <c r="E318" s="192"/>
      <c r="F318" s="232"/>
      <c r="G318" s="202"/>
      <c r="H318" s="4"/>
      <c r="I318" s="4"/>
      <c r="J318" s="4"/>
      <c r="K318" s="172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9">
        <f>'Données projet'!A287</f>
        <v>0</v>
      </c>
      <c r="B319" s="180">
        <f>'Données projet'!D287</f>
        <v>0</v>
      </c>
      <c r="C319" s="190"/>
      <c r="D319" s="181">
        <f t="shared" si="15"/>
        <v>0</v>
      </c>
      <c r="E319" s="192"/>
      <c r="F319" s="232"/>
      <c r="G319" s="202"/>
      <c r="H319" s="4"/>
      <c r="I319" s="4"/>
      <c r="J319" s="4"/>
      <c r="K319" s="172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9">
        <f>'Données projet'!A288</f>
        <v>0</v>
      </c>
      <c r="B320" s="180">
        <f>'Données projet'!D288</f>
        <v>0</v>
      </c>
      <c r="C320" s="190"/>
      <c r="D320" s="181">
        <f t="shared" si="15"/>
        <v>0</v>
      </c>
      <c r="E320" s="192"/>
      <c r="F320" s="232"/>
      <c r="G320" s="202"/>
      <c r="H320" s="4"/>
      <c r="I320" s="4"/>
      <c r="J320" s="4"/>
      <c r="K320" s="172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9">
        <f>'Données projet'!A289</f>
        <v>0</v>
      </c>
      <c r="B321" s="180">
        <f>'Données projet'!D289</f>
        <v>0</v>
      </c>
      <c r="C321" s="195"/>
      <c r="D321" s="181">
        <f t="shared" si="15"/>
        <v>0</v>
      </c>
      <c r="E321" s="192"/>
      <c r="F321" s="232"/>
      <c r="G321" s="202"/>
      <c r="H321" s="4"/>
      <c r="I321" s="4"/>
      <c r="J321" s="4"/>
      <c r="K321" s="172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2"/>
      <c r="H322" s="4"/>
      <c r="I322" s="4"/>
      <c r="J322" s="4"/>
      <c r="K322" s="172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2"/>
      <c r="H323" s="4"/>
      <c r="I323" s="4"/>
      <c r="J323" s="4"/>
      <c r="K323" s="172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2"/>
      <c r="H324" s="4"/>
      <c r="I324" s="4"/>
      <c r="J324" s="4"/>
      <c r="K324" s="172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2"/>
      <c r="H325" s="4"/>
      <c r="I325" s="4"/>
      <c r="J325" s="4"/>
      <c r="K325" s="172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2"/>
      <c r="H326" s="4"/>
      <c r="I326" s="4"/>
      <c r="J326" s="4"/>
      <c r="K326" s="172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2"/>
      <c r="H327" s="4"/>
      <c r="I327" s="4"/>
      <c r="J327" s="4"/>
      <c r="K327" s="172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5" ma:contentTypeDescription="Create a new document." ma:contentTypeScope="" ma:versionID="a73ee3bb35a9bd7478c61e6e8e2bc4ee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0e87dbacb70e8a9550b50faea6e54f53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Props1.xml><?xml version="1.0" encoding="utf-8"?>
<ds:datastoreItem xmlns:ds="http://schemas.openxmlformats.org/officeDocument/2006/customXml" ds:itemID="{8E0708BB-0F53-4F6B-864B-E1D38588BF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C36F45-3712-4F0B-8E21-D3D97DF5FE90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Joseph DE LAPASSE</cp:lastModifiedBy>
  <cp:revision/>
  <dcterms:created xsi:type="dcterms:W3CDTF">2021-02-01T08:22:39Z</dcterms:created>
  <dcterms:modified xsi:type="dcterms:W3CDTF">2023-07-27T14:17:37Z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535400</vt:r8>
  </property>
  <property fmtid="{D5CDD505-2E9C-101B-9397-08002B2CF9AE}" pid="4" name="MediaServiceImageTags">
    <vt:lpwstr/>
  </property>
</Properties>
</file>