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osylvafrance.sharepoint.com/sites/Partage/Documents partages/DOSSIER STAGIAIRE/Contrats NIF - Propriétaires/2ROUS-121 - Groupe Florentaise JP. Chupin - La Roussière/Administration/Label Bas Carbone/Projet/Annexes/Annexes/"/>
    </mc:Choice>
  </mc:AlternateContent>
  <xr:revisionPtr revIDLastSave="133" documentId="11_832EBC973FF36A9F0A417D33E5FDCA6337D90D96" xr6:coauthVersionLast="47" xr6:coauthVersionMax="47" xr10:uidLastSave="{4B349361-F3C9-458F-A778-BC22A22D1B5A}"/>
  <bookViews>
    <workbookView xWindow="-120" yWindow="-120" windowWidth="29040" windowHeight="1584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73" i="6" l="1"/>
  <c r="E142" i="6"/>
  <c r="E111" i="6"/>
  <c r="E80" i="6" l="1"/>
  <c r="E18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EA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H14" i="2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V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A22" i="2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EA38" i="2"/>
  <c r="FS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V61" i="2"/>
  <c r="EX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X107" i="2"/>
  <c r="HG107" i="2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H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DI154" i="2"/>
  <c r="ED154" i="2"/>
  <c r="AC154" i="2"/>
  <c r="EX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AX152" i="2"/>
  <c r="EB156" i="2" l="1"/>
  <c r="ED155" i="2"/>
  <c r="EX156" i="2"/>
  <c r="DH156" i="2"/>
  <c r="HI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A157" i="2"/>
  <c r="EB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V158" i="2"/>
  <c r="EW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ED159" i="2"/>
  <c r="D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D160" i="2" l="1"/>
  <c r="EX161" i="2"/>
  <c r="EA161" i="2"/>
  <c r="EB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W162" i="2"/>
  <c r="DI161" i="2"/>
  <c r="EC162" i="2"/>
  <c r="HG162" i="2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D162" i="2"/>
  <c r="EA163" i="2"/>
  <c r="EV163" i="2"/>
  <c r="HI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DH164" i="2" l="1"/>
  <c r="DI163" i="2"/>
  <c r="EA164" i="2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ED165" i="2"/>
  <c r="CN165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DG167" i="2"/>
  <c r="EA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DI167" i="2"/>
  <c r="HI168" i="2"/>
  <c r="DG168" i="2"/>
  <c r="EV168" i="2"/>
  <c r="EY168" i="2" s="1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A169" i="2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D171" i="2"/>
  <c r="EW172" i="2"/>
  <c r="EA172" i="2"/>
  <c r="HI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W175" i="2"/>
  <c r="FS175" i="2"/>
  <c r="EA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B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D177" i="2"/>
  <c r="EB178" i="2"/>
  <c r="HH178" i="2"/>
  <c r="EW178" i="2"/>
  <c r="FS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A179" i="2" l="1"/>
  <c r="EB179" i="2"/>
  <c r="EV179" i="2"/>
  <c r="DF179" i="2"/>
  <c r="HG179" i="2"/>
  <c r="HI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ED180" i="2" s="1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B185" i="2" l="1"/>
  <c r="HI185" i="2"/>
  <c r="EW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EW186" i="2"/>
  <c r="HH186" i="2"/>
  <c r="EA186" i="2"/>
  <c r="FS186" i="2"/>
  <c r="ED185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G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D189" i="2" l="1"/>
  <c r="EB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I191" i="2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V192" i="2"/>
  <c r="HH192" i="2"/>
  <c r="EB192" i="2"/>
  <c r="ED192" i="2" s="1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DI192" i="2" l="1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CN193" i="2"/>
  <c r="ED193" i="2"/>
  <c r="EA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EA195" i="2"/>
  <c r="DH195" i="2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HG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EB199" i="2"/>
  <c r="FS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A201" i="2"/>
  <c r="EB201" i="2"/>
  <c r="HG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FR202" i="2"/>
  <c r="HG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22" i="2" a="1"/>
  <c r="FY22" i="2" s="1"/>
  <c r="FY35" i="2" a="1"/>
  <c r="FY35" i="2" s="1"/>
  <c r="FY18" i="2" a="1"/>
  <c r="FY18" i="2" s="1"/>
  <c r="FY69" i="2" a="1"/>
  <c r="FY69" i="2" s="1"/>
  <c r="FY191" i="2" a="1"/>
  <c r="FY191" i="2" s="1"/>
  <c r="FY186" i="2" a="1"/>
  <c r="FY186" i="2" s="1"/>
  <c r="FY92" i="2" a="1"/>
  <c r="FY92" i="2" s="1"/>
  <c r="FY78" i="2" a="1"/>
  <c r="FY78" i="2" s="1"/>
  <c r="FY55" i="2" a="1"/>
  <c r="FY55" i="2" s="1"/>
  <c r="FY190" i="2" a="1"/>
  <c r="FY190" i="2" s="1"/>
  <c r="FY24" i="2" a="1"/>
  <c r="FY24" i="2" s="1"/>
  <c r="FY104" i="2" a="1"/>
  <c r="FY10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DN103" i="2" a="1"/>
  <c r="DN103" i="2" s="1"/>
  <c r="DN114" i="2" a="1"/>
  <c r="DN114" i="2" s="1"/>
  <c r="AH62" i="2" a="1"/>
  <c r="AH62" i="2" s="1"/>
  <c r="CS38" i="2" a="1"/>
  <c r="CS38" i="2" s="1"/>
  <c r="FY182" i="2" a="1"/>
  <c r="FY182" i="2" s="1"/>
  <c r="FY30" i="2" a="1"/>
  <c r="FY30" i="2" s="1"/>
  <c r="FY121" i="2" a="1"/>
  <c r="FY121" i="2" s="1"/>
  <c r="FD48" i="2" a="1"/>
  <c r="FD48" i="2" s="1"/>
  <c r="FD43" i="2" a="1"/>
  <c r="FD43" i="2" s="1"/>
  <c r="FD159" i="2" a="1"/>
  <c r="FD159" i="2" s="1"/>
  <c r="FD194" i="2" a="1"/>
  <c r="FD194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CS72" i="2" a="1"/>
  <c r="CS72" i="2" s="1"/>
  <c r="BX107" i="2" a="1"/>
  <c r="BX107" i="2" s="1"/>
  <c r="DN187" i="2" a="1"/>
  <c r="DN187" i="2" s="1"/>
  <c r="HJ202" i="2"/>
  <c r="EY202" i="2"/>
  <c r="AX200" i="2"/>
  <c r="CS66" i="2" l="1" a="1"/>
  <c r="CS66" i="2" s="1"/>
  <c r="AH151" i="2" a="1"/>
  <c r="AH151" i="2" s="1"/>
  <c r="AH90" i="2" a="1"/>
  <c r="AH90" i="2" s="1"/>
  <c r="FD19" i="2" a="1"/>
  <c r="FD19" i="2" s="1"/>
  <c r="FD107" i="2" a="1"/>
  <c r="FD107" i="2" s="1"/>
  <c r="FD64" i="2" a="1"/>
  <c r="FD64" i="2" s="1"/>
  <c r="FD44" i="2" a="1"/>
  <c r="FD44" i="2" s="1"/>
  <c r="FY167" i="2" a="1"/>
  <c r="FY167" i="2" s="1"/>
  <c r="FY42" i="2" a="1"/>
  <c r="FY42" i="2" s="1"/>
  <c r="FY115" i="2" a="1"/>
  <c r="FY115" i="2" s="1"/>
  <c r="CS105" i="2" a="1"/>
  <c r="CS105" i="2" s="1"/>
  <c r="AH199" i="2" a="1"/>
  <c r="AH199" i="2" s="1"/>
  <c r="CS77" i="2" a="1"/>
  <c r="CS77" i="2" s="1"/>
  <c r="CS137" i="2" a="1"/>
  <c r="CS137" i="2" s="1"/>
  <c r="CS129" i="2" a="1"/>
  <c r="CS129" i="2" s="1"/>
  <c r="FD144" i="2" a="1"/>
  <c r="FD144" i="2" s="1"/>
  <c r="FY34" i="2" a="1"/>
  <c r="FY34" i="2" s="1"/>
  <c r="FY124" i="2" a="1"/>
  <c r="FY124" i="2" s="1"/>
  <c r="FY72" i="2" a="1"/>
  <c r="FY7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HG203" i="2"/>
  <c r="FD82" i="2" a="1"/>
  <c r="FD82" i="2" s="1"/>
  <c r="CS134" i="2" a="1"/>
  <c r="CS134" i="2" s="1"/>
  <c r="CS185" i="2" a="1"/>
  <c r="CS185" i="2" s="1"/>
  <c r="FD160" i="2" a="1"/>
  <c r="FD160" i="2" s="1"/>
  <c r="FD167" i="2" a="1"/>
  <c r="FD167" i="2" s="1"/>
  <c r="FD189" i="2" a="1"/>
  <c r="FD189" i="2" s="1"/>
  <c r="FD188" i="2" a="1"/>
  <c r="FD188" i="2" s="1"/>
  <c r="FY142" i="2" a="1"/>
  <c r="FY142" i="2" s="1"/>
  <c r="FY196" i="2" a="1"/>
  <c r="FY196" i="2" s="1"/>
  <c r="FY86" i="2" a="1"/>
  <c r="FY86" i="2" s="1"/>
  <c r="CS161" i="2" a="1"/>
  <c r="CS161" i="2" s="1"/>
  <c r="AH166" i="2" a="1"/>
  <c r="AH166" i="2" s="1"/>
  <c r="CS52" i="2" a="1"/>
  <c r="CS52" i="2" s="1"/>
  <c r="FD21" i="2" a="1"/>
  <c r="FD21" i="2" s="1"/>
  <c r="FY164" i="2" a="1"/>
  <c r="FY164" i="2" s="1"/>
  <c r="FY169" i="2" a="1"/>
  <c r="FY169" i="2" s="1"/>
  <c r="AH92" i="2" a="1"/>
  <c r="AH9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CS114" i="2" a="1"/>
  <c r="CS114" i="2" s="1"/>
  <c r="CS120" i="2" a="1"/>
  <c r="CS120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Y80" i="2" a="1"/>
  <c r="FY80" i="2" s="1"/>
  <c r="FY82" i="2" a="1"/>
  <c r="FY82" i="2" s="1"/>
  <c r="FY58" i="2" a="1"/>
  <c r="FY58" i="2" s="1"/>
  <c r="AH163" i="2" a="1"/>
  <c r="AH163" i="2" s="1"/>
  <c r="AH19" i="2" a="1"/>
  <c r="AH19" i="2" s="1"/>
  <c r="FY172" i="2" a="1"/>
  <c r="FY172" i="2" s="1"/>
  <c r="FY149" i="2" a="1"/>
  <c r="FY149" i="2" s="1"/>
  <c r="FY62" i="2" a="1"/>
  <c r="FY62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<sst xmlns="http://schemas.openxmlformats.org/spreadsheetml/2006/main" count="1179" uniqueCount="328">
  <si>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</si>
  <si>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</si>
  <si>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</si>
  <si>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</si>
  <si>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</si>
  <si>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</si>
  <si>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</si>
  <si>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</si>
  <si>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</si>
  <si>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</si>
  <si>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</si>
  <si>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</si>
  <si>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</si>
  <si>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</si>
  <si>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</si>
  <si>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</si>
  <si>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</si>
  <si>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</si>
  <si>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</si>
  <si>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</si>
  <si>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</si>
  <si>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</si>
  <si>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</si>
  <si>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</si>
  <si>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</si>
  <si>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</si>
  <si>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</si>
  <si>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</si>
  <si>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</si>
  <si>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</si>
  <si>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</si>
  <si>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</si>
  <si>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</si>
  <si>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</si>
  <si>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</si>
  <si>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</si>
  <si>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</si>
  <si>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</si>
  <si>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</si>
  <si>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</si>
  <si>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</si>
  <si>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</si>
  <si>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</si>
  <si>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</si>
  <si>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</si>
  <si>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</si>
  <si>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</si>
  <si>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</si>
  <si>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</si>
  <si>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</si>
  <si>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</si>
  <si>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</si>
  <si>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</si>
  <si>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</si>
  <si>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</si>
  <si>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</si>
  <si>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</si>
  <si>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</si>
  <si>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</si>
  <si>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</si>
  <si>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</si>
  <si>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</si>
  <si>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</si>
  <si>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</si>
  <si>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</si>
  <si>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</si>
  <si>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</si>
  <si>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</si>
  <si>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</si>
  <si>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</si>
  <si>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</si>
  <si>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</si>
  <si>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</si>
  <si>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</si>
  <si>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</si>
  <si>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</si>
  <si>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</si>
  <si>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</si>
  <si>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</si>
  <si>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</si>
  <si>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</si>
  <si>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</si>
  <si>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</si>
  <si>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</si>
  <si>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</si>
  <si>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</si>
  <si>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</si>
  <si>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</si>
  <si>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</si>
  <si>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</si>
  <si>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</si>
  <si>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</si>
  <si>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</si>
  <si>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</si>
  <si>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</si>
  <si>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</si>
  <si>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</si>
  <si>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</si>
  <si>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</si>
  <si>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</si>
  <si>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</si>
  <si>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</si>
  <si>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</si>
  <si>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</si>
  <si>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</si>
  <si>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</si>
  <si>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</si>
  <si>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</si>
  <si>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</si>
  <si>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</si>
  <si>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</si>
  <si>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</si>
  <si>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</si>
  <si>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</si>
  <si>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</si>
  <si>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</si>
  <si>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</si>
  <si>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</si>
  <si>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</si>
  <si>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</si>
  <si>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</si>
  <si>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</si>
  <si>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</si>
  <si>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</si>
  <si>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</si>
  <si>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</si>
  <si>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</si>
  <si>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</si>
  <si>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</si>
  <si>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</si>
  <si>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</si>
  <si>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</si>
  <si>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</si>
  <si>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</si>
  <si>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</si>
  <si>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</si>
  <si>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</si>
  <si>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</si>
  <si>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</si>
  <si>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</si>
  <si>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</si>
  <si>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</si>
  <si>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</si>
  <si>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</si>
  <si>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</si>
  <si>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</si>
  <si>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</si>
  <si>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</si>
  <si>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</si>
  <si>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</si>
  <si>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</si>
  <si>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</si>
  <si>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</si>
  <si>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</si>
  <si>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</si>
  <si>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</si>
  <si>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</si>
  <si>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</si>
  <si>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</si>
  <si>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</si>
  <si>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</si>
  <si>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</si>
  <si>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</si>
  <si>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</si>
  <si>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</si>
  <si>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</si>
  <si>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</si>
  <si>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</si>
  <si>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</si>
  <si>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</si>
  <si>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</si>
  <si>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</si>
  <si>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</si>
  <si>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</si>
  <si>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</si>
  <si>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</si>
  <si>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</si>
  <si>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</si>
  <si>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</si>
  <si>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</si>
  <si>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</si>
  <si>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</si>
  <si>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</si>
  <si>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</si>
  <si>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</si>
  <si>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</si>
  <si>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</si>
  <si>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</si>
  <si>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</si>
  <si>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</si>
  <si>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</si>
  <si>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</si>
  <si>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</si>
  <si>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</si>
  <si>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</si>
  <si>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</si>
  <si>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</si>
  <si>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</si>
  <si>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</si>
  <si>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</si>
  <si>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</si>
  <si>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</si>
  <si>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</si>
  <si>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</si>
  <si>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</si>
  <si>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</si>
  <si>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</si>
  <si>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</si>
  <si>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</si>
  <si>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</si>
  <si>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</si>
  <si>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</si>
  <si>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</si>
  <si>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</si>
  <si>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</si>
  <si>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</si>
  <si>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</si>
  <si>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</si>
  <si>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</si>
  <si>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</si>
  <si>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</si>
  <si>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</si>
  <si>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</si>
  <si>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</si>
  <si>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</si>
  <si>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</si>
  <si>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</si>
  <si>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</si>
  <si>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</si>
  <si>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</si>
  <si>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</si>
  <si>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</si>
  <si>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</si>
  <si>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</si>
  <si>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</si>
  <si>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</si>
  <si>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</si>
  <si>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</si>
  <si>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</si>
  <si>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</si>
  <si>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</si>
  <si>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</si>
  <si>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</si>
  <si>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</si>
  <si>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</si>
  <si>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</si>
  <si>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</si>
  <si>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</si>
  <si>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</si>
  <si>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</si>
  <si>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</si>
  <si>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</si>
  <si>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</si>
  <si>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</si>
  <si>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</si>
  <si>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</si>
  <si>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</si>
  <si>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</si>
  <si>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</si>
  <si>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</si>
  <si>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</si>
  <si>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</si>
  <si>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</si>
  <si>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</si>
  <si>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</si>
  <si>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</si>
  <si>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</si>
  <si>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</si>
  <si>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</si>
  <si>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</si>
  <si>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</si>
  <si>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</si>
  <si>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</si>
  <si>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</si>
  <si>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</si>
  <si>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</si>
  <si>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</si>
  <si>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</si>
  <si>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</si>
  <si>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</si>
  <si>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</si>
  <si>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</si>
  <si>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</si>
  <si>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</si>
  <si>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</si>
  <si>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</si>
  <si>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</si>
  <si>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</si>
  <si>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</si>
  <si>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</si>
  <si>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</si>
  <si>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</si>
  <si>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</si>
  <si>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</si>
  <si>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</si>
  <si>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</si>
  <si>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</si>
  <si>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</si>
  <si>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</si>
  <si>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</si>
  <si>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</si>
  <si>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</si>
  <si>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</si>
  <si>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</si>
  <si>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</si>
  <si>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</si>
  <si>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</si>
  <si>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</si>
  <si>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</si>
  <si>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</si>
  <si>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</si>
  <si>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</si>
  <si>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</si>
  <si>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</si>
  <si>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</si>
  <si>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</si>
  <si>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</si>
  <si>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</si>
  <si>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</si>
  <si>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</si>
  <si>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</si>
  <si>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</si>
  <si>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</si>
  <si>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</si>
  <si>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NOM DU PROJET NEOSYLVA</t>
  </si>
  <si>
    <t>Ajout coût rédaction DGD en année 2</t>
  </si>
  <si>
    <t xml:space="preserve">Ajout coût maitrise d'œuvre + étude de cas en année 1 </t>
  </si>
  <si>
    <t>Correspond au Pin Brutia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</si>
</sst>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117.72474944809574</c:v>
                </c:pt>
                <c:pt idx="22">
                  <c:v>127.1409435652896</c:v>
                </c:pt>
                <c:pt idx="23">
                  <c:v>136.54024093843057</c:v>
                </c:pt>
                <c:pt idx="24">
                  <c:v>145.923970279027</c:v>
                </c:pt>
                <c:pt idx="25">
                  <c:v>155.29327512886556</c:v>
                </c:pt>
                <c:pt idx="26">
                  <c:v>164.64914953217098</c:v>
                </c:pt>
                <c:pt idx="27">
                  <c:v>173.99246515445861</c:v>
                </c:pt>
                <c:pt idx="28">
                  <c:v>183.32399225800415</c:v>
                </c:pt>
                <c:pt idx="29">
                  <c:v>192.64441617417944</c:v>
                </c:pt>
                <c:pt idx="30">
                  <c:v>201.954350415145</c:v>
                </c:pt>
                <c:pt idx="31">
                  <c:v>162.74342737221238</c:v>
                </c:pt>
                <c:pt idx="32">
                  <c:v>172.90134126179336</c:v>
                </c:pt>
                <c:pt idx="33">
                  <c:v>183.04522494888076</c:v>
                </c:pt>
                <c:pt idx="34">
                  <c:v>193.17596631436231</c:v>
                </c:pt>
                <c:pt idx="35">
                  <c:v>203.29435238958658</c:v>
                </c:pt>
                <c:pt idx="36">
                  <c:v>213.40108537115125</c:v>
                </c:pt>
                <c:pt idx="37">
                  <c:v>223.49679543820852</c:v>
                </c:pt>
                <c:pt idx="38">
                  <c:v>233.58205112932433</c:v>
                </c:pt>
                <c:pt idx="39">
                  <c:v>243.65736783107673</c:v>
                </c:pt>
                <c:pt idx="40">
                  <c:v>253.72321478750428</c:v>
                </c:pt>
                <c:pt idx="41">
                  <c:v>215.71900389754799</c:v>
                </c:pt>
                <c:pt idx="42">
                  <c:v>227.32535187982873</c:v>
                </c:pt>
                <c:pt idx="43">
                  <c:v>238.91813856816086</c:v>
                </c:pt>
                <c:pt idx="44">
                  <c:v>250.49811509434733</c:v>
                </c:pt>
                <c:pt idx="45">
                  <c:v>262.06595742232179</c:v>
                </c:pt>
                <c:pt idx="46">
                  <c:v>273.62227692796188</c:v>
                </c:pt>
                <c:pt idx="47">
                  <c:v>285.16762909642119</c:v>
                </c:pt>
                <c:pt idx="48">
                  <c:v>296.70252073615876</c:v>
                </c:pt>
                <c:pt idx="49">
                  <c:v>308.22741601166098</c:v>
                </c:pt>
                <c:pt idx="50">
                  <c:v>319.74274152614299</c:v>
                </c:pt>
                <c:pt idx="51">
                  <c:v>270.74529722893834</c:v>
                </c:pt>
                <c:pt idx="52">
                  <c:v>284.30059123871615</c:v>
                </c:pt>
                <c:pt idx="53">
                  <c:v>297.84141768671242</c:v>
                </c:pt>
                <c:pt idx="54">
                  <c:v>311.36852709156392</c:v>
                </c:pt>
                <c:pt idx="55">
                  <c:v>324.88259941909052</c:v>
                </c:pt>
                <c:pt idx="56">
                  <c:v>338.38425343574306</c:v>
                </c:pt>
                <c:pt idx="57">
                  <c:v>351.87405449055399</c:v>
                </c:pt>
                <c:pt idx="58">
                  <c:v>365.35252104096782</c:v>
                </c:pt>
                <c:pt idx="59">
                  <c:v>378.82013016511155</c:v>
                </c:pt>
                <c:pt idx="60">
                  <c:v>392.27732224909045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1.4277434797495412</c:v>
                </c:pt>
                <c:pt idx="2">
                  <c:v>1.7576087758860595</c:v>
                </c:pt>
                <c:pt idx="3">
                  <c:v>2.1639864868843932</c:v>
                </c:pt>
                <c:pt idx="4">
                  <c:v>2.664689713964655</c:v>
                </c:pt>
                <c:pt idx="5">
                  <c:v>3.2816931284686746</c:v>
                </c:pt>
                <c:pt idx="6">
                  <c:v>4.0421083642357898</c:v>
                </c:pt>
                <c:pt idx="7">
                  <c:v>4.9793887074806547</c:v>
                </c:pt>
                <c:pt idx="8">
                  <c:v>6.1348171361315273</c:v>
                </c:pt>
                <c:pt idx="9">
                  <c:v>7.5593445341668968</c:v>
                </c:pt>
                <c:pt idx="10">
                  <c:v>9.3158607056134244</c:v>
                </c:pt>
                <c:pt idx="11">
                  <c:v>11.482000355648138</c:v>
                </c:pt>
                <c:pt idx="12">
                  <c:v>14.153610381551344</c:v>
                </c:pt>
                <c:pt idx="13">
                  <c:v>17.449034724384219</c:v>
                </c:pt>
                <c:pt idx="14">
                  <c:v>21.514410035324246</c:v>
                </c:pt>
                <c:pt idx="15">
                  <c:v>26.530211194891177</c:v>
                </c:pt>
                <c:pt idx="16">
                  <c:v>32.719342376632746</c:v>
                </c:pt>
                <c:pt idx="17">
                  <c:v>40.357139454231955</c:v>
                </c:pt>
                <c:pt idx="18">
                  <c:v>49.783736313284805</c:v>
                </c:pt>
                <c:pt idx="19">
                  <c:v>61.419355009756934</c:v>
                </c:pt>
                <c:pt idx="20">
                  <c:v>75.783212624694968</c:v>
                </c:pt>
                <c:pt idx="21">
                  <c:v>61.426338122607696</c:v>
                </c:pt>
                <c:pt idx="22">
                  <c:v>74.301503402209107</c:v>
                </c:pt>
                <c:pt idx="23">
                  <c:v>87.119585419986052</c:v>
                </c:pt>
                <c:pt idx="24">
                  <c:v>99.890196920962865</c:v>
                </c:pt>
                <c:pt idx="25">
                  <c:v>112.62027690259437</c:v>
                </c:pt>
                <c:pt idx="26">
                  <c:v>95.123829607626519</c:v>
                </c:pt>
                <c:pt idx="27">
                  <c:v>109.4761940982586</c:v>
                </c:pt>
                <c:pt idx="28">
                  <c:v>123.78225711183522</c:v>
                </c:pt>
                <c:pt idx="29">
                  <c:v>138.04813230684346</c:v>
                </c:pt>
                <c:pt idx="30">
                  <c:v>152.27856245875802</c:v>
                </c:pt>
                <c:pt idx="31">
                  <c:v>134.57208158622626</c:v>
                </c:pt>
                <c:pt idx="32">
                  <c:v>148.46389274648752</c:v>
                </c:pt>
                <c:pt idx="33">
                  <c:v>162.32467730046838</c:v>
                </c:pt>
                <c:pt idx="34">
                  <c:v>176.157459710859</c:v>
                </c:pt>
                <c:pt idx="35">
                  <c:v>189.96474989450965</c:v>
                </c:pt>
                <c:pt idx="36">
                  <c:v>171.28443288353469</c:v>
                </c:pt>
                <c:pt idx="37">
                  <c:v>184.03059563272015</c:v>
                </c:pt>
                <c:pt idx="38">
                  <c:v>196.75612978272565</c:v>
                </c:pt>
                <c:pt idx="39">
                  <c:v>209.46255825629609</c:v>
                </c:pt>
                <c:pt idx="40">
                  <c:v>222.1512039362278</c:v>
                </c:pt>
                <c:pt idx="41">
                  <c:v>202.37126979003634</c:v>
                </c:pt>
                <c:pt idx="42">
                  <c:v>213.90038553159476</c:v>
                </c:pt>
                <c:pt idx="43">
                  <c:v>225.41519444264225</c:v>
                </c:pt>
                <c:pt idx="44">
                  <c:v>236.91653080465895</c:v>
                </c:pt>
                <c:pt idx="45">
                  <c:v>248.40514121608999</c:v>
                </c:pt>
                <c:pt idx="46">
                  <c:v>232.7981490795961</c:v>
                </c:pt>
                <c:pt idx="47">
                  <c:v>243.09105298616973</c:v>
                </c:pt>
                <c:pt idx="48">
                  <c:v>253.37404846967021</c:v>
                </c:pt>
                <c:pt idx="49">
                  <c:v>263.6475946372251</c:v>
                </c:pt>
                <c:pt idx="50">
                  <c:v>273.91211186584667</c:v>
                </c:pt>
                <c:pt idx="51">
                  <c:v>260.87464386146814</c:v>
                </c:pt>
                <c:pt idx="52">
                  <c:v>269.90999877240154</c:v>
                </c:pt>
                <c:pt idx="53">
                  <c:v>278.93854753906652</c:v>
                </c:pt>
                <c:pt idx="54">
                  <c:v>287.96054171276359</c:v>
                </c:pt>
                <c:pt idx="55">
                  <c:v>296.97621578180656</c:v>
                </c:pt>
                <c:pt idx="56">
                  <c:v>285.63730814423053</c:v>
                </c:pt>
                <c:pt idx="57">
                  <c:v>293.42532674285144</c:v>
                </c:pt>
                <c:pt idx="58">
                  <c:v>301.20873193992401</c:v>
                </c:pt>
                <c:pt idx="59">
                  <c:v>308.98765988144947</c:v>
                </c:pt>
                <c:pt idx="60">
                  <c:v>316.76223929211881</c:v>
                </c:pt>
                <c:pt idx="61">
                  <c:v>307.41858126516939</c:v>
                </c:pt>
                <c:pt idx="62">
                  <c:v>314.61442790048704</c:v>
                </c:pt>
                <c:pt idx="63">
                  <c:v>321.80662646268377</c:v>
                </c:pt>
                <c:pt idx="64">
                  <c:v>328.9952700684068</c:v>
                </c:pt>
                <c:pt idx="65">
                  <c:v>336.18044742890237</c:v>
                </c:pt>
                <c:pt idx="66">
                  <c:v>326.37233244015329</c:v>
                </c:pt>
                <c:pt idx="67">
                  <c:v>331.2090787499971</c:v>
                </c:pt>
                <c:pt idx="68">
                  <c:v>336.04426724267915</c:v>
                </c:pt>
                <c:pt idx="69">
                  <c:v>340.87792352687325</c:v>
                </c:pt>
                <c:pt idx="70">
                  <c:v>345.71007242474792</c:v>
                </c:pt>
                <c:pt idx="71">
                  <c:v>337.30388765026402</c:v>
                </c:pt>
                <c:pt idx="72">
                  <c:v>341.66069719382591</c:v>
                </c:pt>
                <c:pt idx="73">
                  <c:v>346.01628514801934</c:v>
                </c:pt>
                <c:pt idx="74">
                  <c:v>350.37066908188012</c:v>
                </c:pt>
                <c:pt idx="75">
                  <c:v>354.72386609151022</c:v>
                </c:pt>
                <c:pt idx="76">
                  <c:v>346.96890891549771</c:v>
                </c:pt>
                <c:pt idx="77">
                  <c:v>350.26862685755435</c:v>
                </c:pt>
                <c:pt idx="78">
                  <c:v>353.56766295520214</c:v>
                </c:pt>
                <c:pt idx="79">
                  <c:v>356.86602447853119</c:v>
                </c:pt>
                <c:pt idx="80">
                  <c:v>360.16371855206853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317.14231769154247</c:v>
                </c:pt>
                <c:pt idx="42">
                  <c:v>341.42696956725422</c:v>
                </c:pt>
                <c:pt idx="43">
                  <c:v>365.67365126385283</c:v>
                </c:pt>
                <c:pt idx="44">
                  <c:v>389.88523246274644</c:v>
                </c:pt>
                <c:pt idx="45">
                  <c:v>414.06419751906054</c:v>
                </c:pt>
                <c:pt idx="46">
                  <c:v>368.73383823272388</c:v>
                </c:pt>
                <c:pt idx="47">
                  <c:v>390.90393569861902</c:v>
                </c:pt>
                <c:pt idx="48">
                  <c:v>413.04676405305344</c:v>
                </c:pt>
                <c:pt idx="49">
                  <c:v>435.16398965501406</c:v>
                </c:pt>
                <c:pt idx="50">
                  <c:v>457.25709576545165</c:v>
                </c:pt>
                <c:pt idx="51">
                  <c:v>412.31545034855634</c:v>
                </c:pt>
                <c:pt idx="52">
                  <c:v>434.71934533149914</c:v>
                </c:pt>
                <c:pt idx="53">
                  <c:v>457.09846370599325</c:v>
                </c:pt>
                <c:pt idx="54">
                  <c:v>479.45418811198141</c:v>
                </c:pt>
                <c:pt idx="55">
                  <c:v>501.78776183351812</c:v>
                </c:pt>
                <c:pt idx="56">
                  <c:v>524.10030854720526</c:v>
                </c:pt>
                <c:pt idx="57">
                  <c:v>546.39284853374647</c:v>
                </c:pt>
                <c:pt idx="58">
                  <c:v>568.66631210732646</c:v>
                </c:pt>
                <c:pt idx="59">
                  <c:v>491.0196521124895</c:v>
                </c:pt>
                <c:pt idx="60">
                  <c:v>512.07623603023308</c:v>
                </c:pt>
                <c:pt idx="61">
                  <c:v>533.11454122394582</c:v>
                </c:pt>
                <c:pt idx="62">
                  <c:v>554.13538990317852</c:v>
                </c:pt>
                <c:pt idx="63">
                  <c:v>575.13953686439993</c:v>
                </c:pt>
                <c:pt idx="64">
                  <c:v>596.12767732798443</c:v>
                </c:pt>
                <c:pt idx="65">
                  <c:v>617.10045361481673</c:v>
                </c:pt>
                <c:pt idx="66">
                  <c:v>638.05846086868871</c:v>
                </c:pt>
                <c:pt idx="67">
                  <c:v>572.29782173470437</c:v>
                </c:pt>
                <c:pt idx="68">
                  <c:v>588.55481451870241</c:v>
                </c:pt>
                <c:pt idx="69">
                  <c:v>604.80245799974352</c:v>
                </c:pt>
                <c:pt idx="70">
                  <c:v>621.04103855425899</c:v>
                </c:pt>
                <c:pt idx="71">
                  <c:v>637.27082637167155</c:v>
                </c:pt>
                <c:pt idx="72">
                  <c:v>653.49207676674712</c:v>
                </c:pt>
                <c:pt idx="73">
                  <c:v>669.70503135496119</c:v>
                </c:pt>
                <c:pt idx="74">
                  <c:v>685.90991910820378</c:v>
                </c:pt>
                <c:pt idx="75">
                  <c:v>650.50043827916329</c:v>
                </c:pt>
                <c:pt idx="76">
                  <c:v>661.67827996165295</c:v>
                </c:pt>
                <c:pt idx="77">
                  <c:v>672.85223568835988</c:v>
                </c:pt>
                <c:pt idx="78">
                  <c:v>684.0223790645324</c:v>
                </c:pt>
                <c:pt idx="79">
                  <c:v>695.18878109639593</c:v>
                </c:pt>
                <c:pt idx="80">
                  <c:v>706.35151032407646</c:v>
                </c:pt>
                <c:pt idx="81">
                  <c:v>717.5106329456886</c:v>
                </c:pt>
                <c:pt idx="82">
                  <c:v>728.66621293330627</c:v>
                </c:pt>
                <c:pt idx="83">
                  <c:v>704.65375190251507</c:v>
                </c:pt>
                <c:pt idx="84">
                  <c:v>713.33030961393968</c:v>
                </c:pt>
                <c:pt idx="85">
                  <c:v>722.00471168438105</c:v>
                </c:pt>
                <c:pt idx="86">
                  <c:v>730.67698765669229</c:v>
                </c:pt>
                <c:pt idx="87">
                  <c:v>739.34716631546792</c:v>
                </c:pt>
                <c:pt idx="88">
                  <c:v>748.0152757153586</c:v>
                </c:pt>
                <c:pt idx="89">
                  <c:v>756.68134320800482</c:v>
                </c:pt>
                <c:pt idx="90">
                  <c:v>765.34539546767564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317.14231769154247</c:v>
                </c:pt>
                <c:pt idx="42">
                  <c:v>341.42696956725422</c:v>
                </c:pt>
                <c:pt idx="43">
                  <c:v>365.67365126385283</c:v>
                </c:pt>
                <c:pt idx="44">
                  <c:v>389.88523246274644</c:v>
                </c:pt>
                <c:pt idx="45">
                  <c:v>414.06419751906054</c:v>
                </c:pt>
                <c:pt idx="46">
                  <c:v>368.73383823272388</c:v>
                </c:pt>
                <c:pt idx="47">
                  <c:v>390.90393569861902</c:v>
                </c:pt>
                <c:pt idx="48">
                  <c:v>413.04676405305344</c:v>
                </c:pt>
                <c:pt idx="49">
                  <c:v>435.16398965501406</c:v>
                </c:pt>
                <c:pt idx="50">
                  <c:v>457.25709576545165</c:v>
                </c:pt>
                <c:pt idx="51">
                  <c:v>412.31545034855634</c:v>
                </c:pt>
                <c:pt idx="52">
                  <c:v>434.71934533149914</c:v>
                </c:pt>
                <c:pt idx="53">
                  <c:v>457.09846370599325</c:v>
                </c:pt>
                <c:pt idx="54">
                  <c:v>479.45418811198141</c:v>
                </c:pt>
                <c:pt idx="55">
                  <c:v>501.78776183351812</c:v>
                </c:pt>
                <c:pt idx="56">
                  <c:v>524.10030854720526</c:v>
                </c:pt>
                <c:pt idx="57">
                  <c:v>546.39284853374647</c:v>
                </c:pt>
                <c:pt idx="58">
                  <c:v>568.66631210732646</c:v>
                </c:pt>
                <c:pt idx="59">
                  <c:v>491.0196521124895</c:v>
                </c:pt>
                <c:pt idx="60">
                  <c:v>512.07623603023308</c:v>
                </c:pt>
                <c:pt idx="61">
                  <c:v>533.11454122394582</c:v>
                </c:pt>
                <c:pt idx="62">
                  <c:v>554.13538990317852</c:v>
                </c:pt>
                <c:pt idx="63">
                  <c:v>575.13953686439993</c:v>
                </c:pt>
                <c:pt idx="64">
                  <c:v>596.12767732798443</c:v>
                </c:pt>
                <c:pt idx="65">
                  <c:v>617.10045361481673</c:v>
                </c:pt>
                <c:pt idx="66">
                  <c:v>638.05846086868871</c:v>
                </c:pt>
                <c:pt idx="67">
                  <c:v>572.29782173470437</c:v>
                </c:pt>
                <c:pt idx="68">
                  <c:v>588.55481451870241</c:v>
                </c:pt>
                <c:pt idx="69">
                  <c:v>604.80245799974352</c:v>
                </c:pt>
                <c:pt idx="70">
                  <c:v>621.04103855425899</c:v>
                </c:pt>
                <c:pt idx="71">
                  <c:v>637.27082637167155</c:v>
                </c:pt>
                <c:pt idx="72">
                  <c:v>653.49207676674712</c:v>
                </c:pt>
                <c:pt idx="73">
                  <c:v>669.70503135496119</c:v>
                </c:pt>
                <c:pt idx="74">
                  <c:v>685.90991910820378</c:v>
                </c:pt>
                <c:pt idx="75">
                  <c:v>650.50043827916329</c:v>
                </c:pt>
                <c:pt idx="76">
                  <c:v>661.67827996165295</c:v>
                </c:pt>
                <c:pt idx="77">
                  <c:v>672.85223568835988</c:v>
                </c:pt>
                <c:pt idx="78">
                  <c:v>684.0223790645324</c:v>
                </c:pt>
                <c:pt idx="79">
                  <c:v>695.18878109639593</c:v>
                </c:pt>
                <c:pt idx="80">
                  <c:v>706.35151032407646</c:v>
                </c:pt>
                <c:pt idx="81">
                  <c:v>717.5106329456886</c:v>
                </c:pt>
                <c:pt idx="82">
                  <c:v>728.66621293330627</c:v>
                </c:pt>
                <c:pt idx="83">
                  <c:v>704.65375190251507</c:v>
                </c:pt>
                <c:pt idx="84">
                  <c:v>713.33030961393968</c:v>
                </c:pt>
                <c:pt idx="85">
                  <c:v>722.00471168438105</c:v>
                </c:pt>
                <c:pt idx="86">
                  <c:v>730.67698765669229</c:v>
                </c:pt>
                <c:pt idx="87">
                  <c:v>739.34716631546792</c:v>
                </c:pt>
                <c:pt idx="88">
                  <c:v>748.0152757153586</c:v>
                </c:pt>
                <c:pt idx="89">
                  <c:v>756.68134320800482</c:v>
                </c:pt>
                <c:pt idx="90">
                  <c:v>765.34539546767564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317.14231769154247</c:v>
                </c:pt>
                <c:pt idx="42">
                  <c:v>341.42696956725422</c:v>
                </c:pt>
                <c:pt idx="43">
                  <c:v>365.67365126385283</c:v>
                </c:pt>
                <c:pt idx="44">
                  <c:v>389.88523246274644</c:v>
                </c:pt>
                <c:pt idx="45">
                  <c:v>414.06419751906054</c:v>
                </c:pt>
                <c:pt idx="46">
                  <c:v>368.73383823272388</c:v>
                </c:pt>
                <c:pt idx="47">
                  <c:v>390.90393569861902</c:v>
                </c:pt>
                <c:pt idx="48">
                  <c:v>413.04676405305344</c:v>
                </c:pt>
                <c:pt idx="49">
                  <c:v>435.16398965501406</c:v>
                </c:pt>
                <c:pt idx="50">
                  <c:v>457.25709576545165</c:v>
                </c:pt>
                <c:pt idx="51">
                  <c:v>412.31545034855634</c:v>
                </c:pt>
                <c:pt idx="52">
                  <c:v>434.71934533149914</c:v>
                </c:pt>
                <c:pt idx="53">
                  <c:v>457.09846370599325</c:v>
                </c:pt>
                <c:pt idx="54">
                  <c:v>479.45418811198141</c:v>
                </c:pt>
                <c:pt idx="55">
                  <c:v>501.78776183351812</c:v>
                </c:pt>
                <c:pt idx="56">
                  <c:v>524.10030854720526</c:v>
                </c:pt>
                <c:pt idx="57">
                  <c:v>546.39284853374647</c:v>
                </c:pt>
                <c:pt idx="58">
                  <c:v>568.66631210732646</c:v>
                </c:pt>
                <c:pt idx="59">
                  <c:v>491.0196521124895</c:v>
                </c:pt>
                <c:pt idx="60">
                  <c:v>512.07623603023308</c:v>
                </c:pt>
                <c:pt idx="61">
                  <c:v>533.11454122394582</c:v>
                </c:pt>
                <c:pt idx="62">
                  <c:v>554.13538990317852</c:v>
                </c:pt>
                <c:pt idx="63">
                  <c:v>575.13953686439993</c:v>
                </c:pt>
                <c:pt idx="64">
                  <c:v>596.12767732798443</c:v>
                </c:pt>
                <c:pt idx="65">
                  <c:v>617.10045361481673</c:v>
                </c:pt>
                <c:pt idx="66">
                  <c:v>638.05846086868871</c:v>
                </c:pt>
                <c:pt idx="67">
                  <c:v>572.29782173470437</c:v>
                </c:pt>
                <c:pt idx="68">
                  <c:v>588.55481451870241</c:v>
                </c:pt>
                <c:pt idx="69">
                  <c:v>604.80245799974352</c:v>
                </c:pt>
                <c:pt idx="70">
                  <c:v>621.04103855425899</c:v>
                </c:pt>
                <c:pt idx="71">
                  <c:v>637.27082637167155</c:v>
                </c:pt>
                <c:pt idx="72">
                  <c:v>653.49207676674712</c:v>
                </c:pt>
                <c:pt idx="73">
                  <c:v>669.70503135496119</c:v>
                </c:pt>
                <c:pt idx="74">
                  <c:v>685.90991910820378</c:v>
                </c:pt>
                <c:pt idx="75">
                  <c:v>650.50043827916329</c:v>
                </c:pt>
                <c:pt idx="76">
                  <c:v>661.67827996165295</c:v>
                </c:pt>
                <c:pt idx="77">
                  <c:v>672.85223568835988</c:v>
                </c:pt>
                <c:pt idx="78">
                  <c:v>684.0223790645324</c:v>
                </c:pt>
                <c:pt idx="79">
                  <c:v>695.18878109639593</c:v>
                </c:pt>
                <c:pt idx="80">
                  <c:v>706.35151032407646</c:v>
                </c:pt>
                <c:pt idx="81">
                  <c:v>717.5106329456886</c:v>
                </c:pt>
                <c:pt idx="82">
                  <c:v>728.66621293330627</c:v>
                </c:pt>
                <c:pt idx="83">
                  <c:v>704.65375190251507</c:v>
                </c:pt>
                <c:pt idx="84">
                  <c:v>713.33030961393968</c:v>
                </c:pt>
                <c:pt idx="85">
                  <c:v>722.00471168438105</c:v>
                </c:pt>
                <c:pt idx="86">
                  <c:v>730.67698765669229</c:v>
                </c:pt>
                <c:pt idx="87">
                  <c:v>739.34716631546792</c:v>
                </c:pt>
                <c:pt idx="88">
                  <c:v>748.0152757153586</c:v>
                </c:pt>
                <c:pt idx="89">
                  <c:v>756.68134320800482</c:v>
                </c:pt>
                <c:pt idx="90">
                  <c:v>765.34539546767564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317.14231769154247</c:v>
                </c:pt>
                <c:pt idx="42">
                  <c:v>341.42696956725422</c:v>
                </c:pt>
                <c:pt idx="43">
                  <c:v>365.67365126385283</c:v>
                </c:pt>
                <c:pt idx="44">
                  <c:v>389.88523246274644</c:v>
                </c:pt>
                <c:pt idx="45">
                  <c:v>414.06419751906054</c:v>
                </c:pt>
                <c:pt idx="46">
                  <c:v>368.73383823272388</c:v>
                </c:pt>
                <c:pt idx="47">
                  <c:v>390.90393569861902</c:v>
                </c:pt>
                <c:pt idx="48">
                  <c:v>413.04676405305344</c:v>
                </c:pt>
                <c:pt idx="49">
                  <c:v>435.16398965501406</c:v>
                </c:pt>
                <c:pt idx="50">
                  <c:v>457.25709576545165</c:v>
                </c:pt>
                <c:pt idx="51">
                  <c:v>412.31545034855634</c:v>
                </c:pt>
                <c:pt idx="52">
                  <c:v>434.71934533149914</c:v>
                </c:pt>
                <c:pt idx="53">
                  <c:v>457.09846370599325</c:v>
                </c:pt>
                <c:pt idx="54">
                  <c:v>479.45418811198141</c:v>
                </c:pt>
                <c:pt idx="55">
                  <c:v>501.78776183351812</c:v>
                </c:pt>
                <c:pt idx="56">
                  <c:v>524.10030854720526</c:v>
                </c:pt>
                <c:pt idx="57">
                  <c:v>546.39284853374647</c:v>
                </c:pt>
                <c:pt idx="58">
                  <c:v>568.66631210732646</c:v>
                </c:pt>
                <c:pt idx="59">
                  <c:v>491.0196521124895</c:v>
                </c:pt>
                <c:pt idx="60">
                  <c:v>512.07623603023308</c:v>
                </c:pt>
                <c:pt idx="61">
                  <c:v>533.11454122394582</c:v>
                </c:pt>
                <c:pt idx="62">
                  <c:v>554.13538990317852</c:v>
                </c:pt>
                <c:pt idx="63">
                  <c:v>575.13953686439993</c:v>
                </c:pt>
                <c:pt idx="64">
                  <c:v>596.12767732798443</c:v>
                </c:pt>
                <c:pt idx="65">
                  <c:v>617.10045361481673</c:v>
                </c:pt>
                <c:pt idx="66">
                  <c:v>638.05846086868871</c:v>
                </c:pt>
                <c:pt idx="67">
                  <c:v>572.29782173470437</c:v>
                </c:pt>
                <c:pt idx="68">
                  <c:v>588.55481451870241</c:v>
                </c:pt>
                <c:pt idx="69">
                  <c:v>604.80245799974352</c:v>
                </c:pt>
                <c:pt idx="70">
                  <c:v>621.04103855425899</c:v>
                </c:pt>
                <c:pt idx="71">
                  <c:v>637.27082637167155</c:v>
                </c:pt>
                <c:pt idx="72">
                  <c:v>653.49207676674712</c:v>
                </c:pt>
                <c:pt idx="73">
                  <c:v>669.70503135496119</c:v>
                </c:pt>
                <c:pt idx="74">
                  <c:v>685.90991910820378</c:v>
                </c:pt>
                <c:pt idx="75">
                  <c:v>650.50043827916329</c:v>
                </c:pt>
                <c:pt idx="76">
                  <c:v>661.67827996165295</c:v>
                </c:pt>
                <c:pt idx="77">
                  <c:v>672.85223568835988</c:v>
                </c:pt>
                <c:pt idx="78">
                  <c:v>684.0223790645324</c:v>
                </c:pt>
                <c:pt idx="79">
                  <c:v>695.18878109639593</c:v>
                </c:pt>
                <c:pt idx="80">
                  <c:v>706.35151032407646</c:v>
                </c:pt>
                <c:pt idx="81">
                  <c:v>717.5106329456886</c:v>
                </c:pt>
                <c:pt idx="82">
                  <c:v>728.66621293330627</c:v>
                </c:pt>
                <c:pt idx="83">
                  <c:v>704.65375190251507</c:v>
                </c:pt>
                <c:pt idx="84">
                  <c:v>713.33030961393968</c:v>
                </c:pt>
                <c:pt idx="85">
                  <c:v>722.00471168438105</c:v>
                </c:pt>
                <c:pt idx="86">
                  <c:v>730.67698765669229</c:v>
                </c:pt>
                <c:pt idx="87">
                  <c:v>739.34716631546792</c:v>
                </c:pt>
                <c:pt idx="88">
                  <c:v>748.0152757153586</c:v>
                </c:pt>
                <c:pt idx="89">
                  <c:v>756.68134320800482</c:v>
                </c:pt>
                <c:pt idx="90">
                  <c:v>765.34539546767564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G33" sqref="G33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0" zoomScaleNormal="80" workbookViewId="0">
      <selection activeCell="D33" sqref="D33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5.79</v>
      </c>
      <c r="D5" s="269" t="s">
        <v>229</v>
      </c>
      <c r="E5" s="270"/>
      <c r="F5" s="90"/>
      <c r="G5" s="218"/>
      <c r="H5" s="218"/>
      <c r="I5" s="218" t="s">
        <v>324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164</v>
      </c>
      <c r="C9" s="32">
        <v>0.76</v>
      </c>
      <c r="D9" s="33">
        <f t="shared" ref="D9:D18" si="0">C9*$C$5</f>
        <v>4.4004000000000003</v>
      </c>
      <c r="E9" s="34">
        <v>60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156</v>
      </c>
      <c r="C10" s="32">
        <v>0.2</v>
      </c>
      <c r="D10" s="33">
        <f t="shared" si="0"/>
        <v>1.1580000000000001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35</v>
      </c>
      <c r="C11" s="32">
        <v>0.01</v>
      </c>
      <c r="D11" s="33">
        <f t="shared" si="0"/>
        <v>5.79E-2</v>
      </c>
      <c r="E11" s="34">
        <v>90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40</v>
      </c>
      <c r="C12" s="32">
        <v>0.01</v>
      </c>
      <c r="D12" s="33">
        <f t="shared" si="0"/>
        <v>5.79E-2</v>
      </c>
      <c r="E12" s="34">
        <v>90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138</v>
      </c>
      <c r="C13" s="32">
        <v>0.01</v>
      </c>
      <c r="D13" s="33">
        <f t="shared" si="0"/>
        <v>5.79E-2</v>
      </c>
      <c r="E13" s="34">
        <v>90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 t="s">
        <v>35</v>
      </c>
      <c r="C14" s="32">
        <v>0.01</v>
      </c>
      <c r="D14" s="33">
        <f t="shared" si="0"/>
        <v>5.79E-2</v>
      </c>
      <c r="E14" s="34">
        <v>90</v>
      </c>
      <c r="F14" s="35" t="str">
        <f t="array" ref="F14">IF(E14="","",IF(INDEX(A:A,MAX(IF(ISNUMBER($A$166:$A$185),ROW($A$166:$A$185),"")))&lt;&gt;E14,"Corrigez : révolution incorrecte","OK"))</f>
        <v>OK</v>
      </c>
      <c r="G14" s="23" t="s">
        <v>327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5.7900000000000009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0.05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Cèdre de l'Atlas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20</v>
      </c>
      <c r="B36" s="60">
        <v>158</v>
      </c>
      <c r="C36" s="60">
        <v>1</v>
      </c>
      <c r="D36" s="60">
        <v>55.3</v>
      </c>
      <c r="E36" s="51">
        <v>0</v>
      </c>
      <c r="F36" s="51">
        <v>1</v>
      </c>
      <c r="G36" s="51">
        <v>0</v>
      </c>
      <c r="H36" s="51">
        <v>0</v>
      </c>
      <c r="I36" s="49">
        <f>IFERROR(B36/A36,"")</f>
        <v>7.9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30</v>
      </c>
      <c r="B37" s="60">
        <v>194.7</v>
      </c>
      <c r="C37" s="60">
        <v>2</v>
      </c>
      <c r="D37" s="60">
        <v>48.674999999999997</v>
      </c>
      <c r="E37" s="51">
        <v>0</v>
      </c>
      <c r="F37" s="51">
        <v>1</v>
      </c>
      <c r="G37" s="51">
        <v>0</v>
      </c>
      <c r="H37" s="51">
        <v>0</v>
      </c>
      <c r="I37" s="53">
        <f t="shared" ref="I37:I55" si="1">IF(A37&lt;&gt;0,(B37-(B36-D36))/(A37-A36),"")</f>
        <v>9.1999999999999993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40</v>
      </c>
      <c r="B38" s="60">
        <v>246.02499999999998</v>
      </c>
      <c r="C38" s="60">
        <v>3</v>
      </c>
      <c r="D38" s="60">
        <v>49.204999999999998</v>
      </c>
      <c r="E38" s="51">
        <v>0.5</v>
      </c>
      <c r="F38" s="51">
        <v>0.5</v>
      </c>
      <c r="G38" s="51">
        <v>0</v>
      </c>
      <c r="H38" s="51">
        <v>0</v>
      </c>
      <c r="I38" s="53">
        <f t="shared" si="1"/>
        <v>10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50</v>
      </c>
      <c r="B39" s="60">
        <v>311.82</v>
      </c>
      <c r="C39" s="60">
        <v>4</v>
      </c>
      <c r="D39" s="60">
        <v>62.364000000000004</v>
      </c>
      <c r="E39" s="51">
        <v>0.7</v>
      </c>
      <c r="F39" s="51">
        <v>0.3</v>
      </c>
      <c r="G39" s="51">
        <v>0</v>
      </c>
      <c r="H39" s="51">
        <v>0</v>
      </c>
      <c r="I39" s="49">
        <f t="shared" si="1"/>
        <v>11.5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60</v>
      </c>
      <c r="B40" s="60">
        <v>384.45600000000002</v>
      </c>
      <c r="C40" s="60">
        <v>5</v>
      </c>
      <c r="D40" s="60">
        <v>384.45600000000002</v>
      </c>
      <c r="E40" s="51">
        <v>0.7</v>
      </c>
      <c r="F40" s="51">
        <v>0.3</v>
      </c>
      <c r="G40" s="51">
        <v>0</v>
      </c>
      <c r="H40" s="51">
        <v>0</v>
      </c>
      <c r="I40" s="49">
        <f t="shared" si="1"/>
        <v>13.500000000000004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Séquoia toujours vert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20</v>
      </c>
      <c r="B62" s="60">
        <v>75.352860000000007</v>
      </c>
      <c r="C62" s="60">
        <v>1</v>
      </c>
      <c r="D62" s="60">
        <v>27.761580000000002</v>
      </c>
      <c r="E62" s="51">
        <v>0</v>
      </c>
      <c r="F62" s="51">
        <v>1</v>
      </c>
      <c r="G62" s="51">
        <v>0</v>
      </c>
      <c r="H62" s="51">
        <v>0</v>
      </c>
      <c r="I62" s="53">
        <f>IFERROR(B62/A62,"")</f>
        <v>3.7676430000000005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25</v>
      </c>
      <c r="B63" s="60">
        <v>113.20956000000001</v>
      </c>
      <c r="C63" s="60">
        <v>2</v>
      </c>
      <c r="D63" s="60">
        <v>32.809139999999999</v>
      </c>
      <c r="E63" s="51">
        <v>0</v>
      </c>
      <c r="F63" s="51">
        <v>1</v>
      </c>
      <c r="G63" s="51">
        <v>0</v>
      </c>
      <c r="H63" s="51">
        <v>0</v>
      </c>
      <c r="I63" s="49">
        <f>IF(A63&lt;&gt;0,(B63-(B62-D62))/(A63-A62),"")</f>
        <v>13.123656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30</v>
      </c>
      <c r="B64" s="60">
        <v>154.31112000000002</v>
      </c>
      <c r="C64" s="60">
        <v>3</v>
      </c>
      <c r="D64" s="60">
        <v>32.809139999999999</v>
      </c>
      <c r="E64" s="51">
        <v>0</v>
      </c>
      <c r="F64" s="51">
        <v>1</v>
      </c>
      <c r="G64" s="51">
        <v>0</v>
      </c>
      <c r="H64" s="51">
        <v>0</v>
      </c>
      <c r="I64" s="49">
        <f>IF(A64&lt;&gt;0,(B64-(B63-D63))/(A64-A63),"")</f>
        <v>14.782140000000002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35</v>
      </c>
      <c r="B65" s="60">
        <v>193.60998000000001</v>
      </c>
      <c r="C65" s="60">
        <v>4</v>
      </c>
      <c r="D65" s="60">
        <v>32.809139999999999</v>
      </c>
      <c r="E65" s="51">
        <v>0</v>
      </c>
      <c r="F65" s="51">
        <v>1</v>
      </c>
      <c r="G65" s="51">
        <v>0</v>
      </c>
      <c r="H65" s="51">
        <v>0</v>
      </c>
      <c r="I65" s="49">
        <f>IF(A65&lt;&gt;0,(B65-(B64-D64))/(A65-A64),"")</f>
        <v>14.421599999999998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40</v>
      </c>
      <c r="B66" s="60">
        <v>227.32047</v>
      </c>
      <c r="C66" s="60">
        <v>5</v>
      </c>
      <c r="D66" s="60">
        <v>32.809139999999999</v>
      </c>
      <c r="E66" s="51">
        <v>0.5</v>
      </c>
      <c r="F66" s="51">
        <v>0.5</v>
      </c>
      <c r="G66" s="51">
        <v>0</v>
      </c>
      <c r="H66" s="51">
        <v>0</v>
      </c>
      <c r="I66" s="49">
        <f t="shared" ref="I66:I81" si="2">IF(A66&lt;&gt;0,(B66-(B65-D65))/(A66-A65),"")</f>
        <v>13.303926000000001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45</v>
      </c>
      <c r="B67" s="60">
        <v>254.90178000000003</v>
      </c>
      <c r="C67" s="60">
        <v>6</v>
      </c>
      <c r="D67" s="60">
        <v>27.220770000000002</v>
      </c>
      <c r="E67" s="51">
        <v>0.5</v>
      </c>
      <c r="F67" s="51">
        <v>0.5</v>
      </c>
      <c r="G67" s="51">
        <v>0</v>
      </c>
      <c r="H67" s="51">
        <v>0</v>
      </c>
      <c r="I67" s="49">
        <f t="shared" si="2"/>
        <v>12.078090000000008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50</v>
      </c>
      <c r="B68" s="60">
        <v>281.76201000000003</v>
      </c>
      <c r="C68" s="60">
        <v>7</v>
      </c>
      <c r="D68" s="60">
        <v>23.254830000000002</v>
      </c>
      <c r="E68" s="51">
        <v>0.7</v>
      </c>
      <c r="F68" s="51">
        <v>0.3</v>
      </c>
      <c r="G68" s="51">
        <v>0</v>
      </c>
      <c r="H68" s="51">
        <v>0</v>
      </c>
      <c r="I68" s="49">
        <f t="shared" si="2"/>
        <v>10.816200000000004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55</v>
      </c>
      <c r="B69" s="50">
        <v>306.09846000000005</v>
      </c>
      <c r="C69" s="50">
        <v>8</v>
      </c>
      <c r="D69" s="50">
        <v>20.190240000000003</v>
      </c>
      <c r="E69" s="51">
        <v>0.7</v>
      </c>
      <c r="F69" s="51">
        <v>0.3</v>
      </c>
      <c r="G69" s="51">
        <v>0</v>
      </c>
      <c r="H69" s="51">
        <v>0</v>
      </c>
      <c r="I69" s="49">
        <f t="shared" si="2"/>
        <v>9.518256000000008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60</v>
      </c>
      <c r="B70" s="50">
        <v>327.00978000000003</v>
      </c>
      <c r="C70" s="50">
        <v>9</v>
      </c>
      <c r="D70" s="50">
        <v>17.486190000000001</v>
      </c>
      <c r="E70" s="51">
        <v>0.7</v>
      </c>
      <c r="F70" s="51">
        <v>0.3</v>
      </c>
      <c r="G70" s="51">
        <v>0</v>
      </c>
      <c r="H70" s="51">
        <v>0</v>
      </c>
      <c r="I70" s="49">
        <f t="shared" si="2"/>
        <v>8.2203120000000016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65</v>
      </c>
      <c r="B71" s="50">
        <v>347.56056000000001</v>
      </c>
      <c r="C71" s="50">
        <v>10</v>
      </c>
      <c r="D71" s="50">
        <v>15.503220000000001</v>
      </c>
      <c r="E71" s="51">
        <v>0.7</v>
      </c>
      <c r="F71" s="51">
        <v>0.3</v>
      </c>
      <c r="G71" s="51">
        <v>0</v>
      </c>
      <c r="H71" s="51">
        <v>0</v>
      </c>
      <c r="I71" s="49">
        <f t="shared" si="2"/>
        <v>7.6073939999999993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>
        <v>70</v>
      </c>
      <c r="B72" s="50">
        <v>357.65568000000002</v>
      </c>
      <c r="C72" s="50">
        <v>11</v>
      </c>
      <c r="D72" s="50">
        <v>13.520250000000001</v>
      </c>
      <c r="E72" s="51">
        <v>0.69999999999999984</v>
      </c>
      <c r="F72" s="51">
        <v>0.3</v>
      </c>
      <c r="G72" s="51">
        <v>0</v>
      </c>
      <c r="H72" s="51">
        <v>0</v>
      </c>
      <c r="I72" s="49">
        <f t="shared" si="2"/>
        <v>5.1196680000000017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>
        <v>75</v>
      </c>
      <c r="B73" s="50">
        <v>367.20999000000006</v>
      </c>
      <c r="C73" s="50">
        <v>12</v>
      </c>
      <c r="D73" s="50">
        <v>11.717550000000001</v>
      </c>
      <c r="E73" s="51">
        <v>0.7</v>
      </c>
      <c r="F73" s="51">
        <v>0.3</v>
      </c>
      <c r="G73" s="51">
        <v>0</v>
      </c>
      <c r="H73" s="51">
        <v>0</v>
      </c>
      <c r="I73" s="49">
        <f t="shared" si="2"/>
        <v>4.6149120000000039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>
        <v>80</v>
      </c>
      <c r="B74" s="50">
        <v>372.97863000000001</v>
      </c>
      <c r="C74" s="50">
        <v>13</v>
      </c>
      <c r="D74" s="50">
        <v>372.97863000000001</v>
      </c>
      <c r="E74" s="51">
        <v>0.7</v>
      </c>
      <c r="F74" s="51">
        <v>0.3</v>
      </c>
      <c r="G74" s="51">
        <v>0</v>
      </c>
      <c r="H74" s="51">
        <v>0</v>
      </c>
      <c r="I74" s="49">
        <f t="shared" si="2"/>
        <v>3.4972379999999932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Pin laricio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22</v>
      </c>
      <c r="B88" s="60">
        <v>123</v>
      </c>
      <c r="C88" s="60">
        <v>1</v>
      </c>
      <c r="D88" s="60">
        <v>16</v>
      </c>
      <c r="E88" s="51">
        <v>0.1</v>
      </c>
      <c r="F88" s="51">
        <v>0.8</v>
      </c>
      <c r="G88" s="51">
        <v>0</v>
      </c>
      <c r="H88" s="87">
        <v>0.1</v>
      </c>
      <c r="I88" s="53">
        <f>IFERROR(B88/A88,"")</f>
        <v>5.5909090909090908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25</v>
      </c>
      <c r="B89" s="60">
        <v>144</v>
      </c>
      <c r="C89" s="60">
        <v>2</v>
      </c>
      <c r="D89" s="60">
        <v>17</v>
      </c>
      <c r="E89" s="51">
        <v>0.1</v>
      </c>
      <c r="F89" s="51">
        <v>0.8</v>
      </c>
      <c r="G89" s="51">
        <v>0</v>
      </c>
      <c r="H89" s="87">
        <v>0.1</v>
      </c>
      <c r="I89" s="53">
        <f t="shared" ref="I89:I107" si="3">IF(A89&lt;&gt;0,(B89-(B88-D88))/(A89-A88),"")</f>
        <v>12.333333333333334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30</v>
      </c>
      <c r="B90" s="60">
        <v>194</v>
      </c>
      <c r="C90" s="60">
        <v>3</v>
      </c>
      <c r="D90" s="60">
        <v>34</v>
      </c>
      <c r="E90" s="87">
        <v>0.3</v>
      </c>
      <c r="F90" s="87">
        <v>0.5</v>
      </c>
      <c r="G90" s="87">
        <v>0</v>
      </c>
      <c r="H90" s="87">
        <v>0.2</v>
      </c>
      <c r="I90" s="53">
        <f t="shared" si="3"/>
        <v>13.4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35</v>
      </c>
      <c r="B91" s="60">
        <v>233</v>
      </c>
      <c r="C91" s="60">
        <v>4</v>
      </c>
      <c r="D91" s="60">
        <v>41</v>
      </c>
      <c r="E91" s="87">
        <v>0.3</v>
      </c>
      <c r="F91" s="87">
        <v>0.5</v>
      </c>
      <c r="G91" s="87">
        <v>0</v>
      </c>
      <c r="H91" s="87">
        <v>0.20000000000000004</v>
      </c>
      <c r="I91" s="53">
        <f t="shared" si="3"/>
        <v>14.6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40</v>
      </c>
      <c r="B92" s="60">
        <v>264</v>
      </c>
      <c r="C92" s="60">
        <v>5</v>
      </c>
      <c r="D92" s="60">
        <v>41</v>
      </c>
      <c r="E92" s="87">
        <v>0.3</v>
      </c>
      <c r="F92" s="87">
        <v>0.5</v>
      </c>
      <c r="G92" s="87">
        <v>0</v>
      </c>
      <c r="H92" s="87">
        <v>0.20000000000000004</v>
      </c>
      <c r="I92" s="53">
        <f t="shared" si="3"/>
        <v>14.4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45</v>
      </c>
      <c r="B93" s="60">
        <v>318</v>
      </c>
      <c r="C93" s="60">
        <v>6</v>
      </c>
      <c r="D93" s="60">
        <v>53</v>
      </c>
      <c r="E93" s="87">
        <v>0.3</v>
      </c>
      <c r="F93" s="87">
        <v>0.5</v>
      </c>
      <c r="G93" s="87">
        <v>0</v>
      </c>
      <c r="H93" s="87">
        <v>0.20000000000000004</v>
      </c>
      <c r="I93" s="53">
        <f t="shared" si="3"/>
        <v>19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50</v>
      </c>
      <c r="B94" s="60">
        <v>352</v>
      </c>
      <c r="C94" s="60">
        <v>7</v>
      </c>
      <c r="D94" s="60">
        <v>53</v>
      </c>
      <c r="E94" s="87">
        <v>0.69999999999999984</v>
      </c>
      <c r="F94" s="87">
        <v>0.3</v>
      </c>
      <c r="G94" s="87">
        <v>0</v>
      </c>
      <c r="H94" s="87">
        <v>0</v>
      </c>
      <c r="I94" s="53">
        <f t="shared" si="3"/>
        <v>17.399999999999999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58</v>
      </c>
      <c r="B95" s="60">
        <v>440</v>
      </c>
      <c r="C95" s="60">
        <v>8</v>
      </c>
      <c r="D95" s="60">
        <v>78</v>
      </c>
      <c r="E95" s="87">
        <v>0.7</v>
      </c>
      <c r="F95" s="87">
        <v>0.3</v>
      </c>
      <c r="G95" s="87">
        <v>0</v>
      </c>
      <c r="H95" s="87">
        <v>0</v>
      </c>
      <c r="I95" s="53">
        <f t="shared" si="3"/>
        <v>17.625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66</v>
      </c>
      <c r="B96" s="60">
        <v>495</v>
      </c>
      <c r="C96" s="60">
        <v>9</v>
      </c>
      <c r="D96" s="60">
        <v>65</v>
      </c>
      <c r="E96" s="87">
        <v>0.7</v>
      </c>
      <c r="F96" s="87">
        <v>0.3</v>
      </c>
      <c r="G96" s="87">
        <v>0</v>
      </c>
      <c r="H96" s="87">
        <v>0</v>
      </c>
      <c r="I96" s="53">
        <f t="shared" si="3"/>
        <v>16.625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>
        <v>74</v>
      </c>
      <c r="B97" s="60">
        <v>533</v>
      </c>
      <c r="C97" s="60">
        <v>10</v>
      </c>
      <c r="D97" s="60">
        <v>37</v>
      </c>
      <c r="E97" s="87">
        <v>0.7</v>
      </c>
      <c r="F97" s="87">
        <v>0.3</v>
      </c>
      <c r="G97" s="87">
        <v>0</v>
      </c>
      <c r="H97" s="87">
        <v>0</v>
      </c>
      <c r="I97" s="53">
        <f t="shared" si="3"/>
        <v>12.875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>
        <v>82</v>
      </c>
      <c r="B98" s="60">
        <v>567</v>
      </c>
      <c r="C98" s="60">
        <v>11</v>
      </c>
      <c r="D98" s="60">
        <v>26</v>
      </c>
      <c r="E98" s="87">
        <v>0.7</v>
      </c>
      <c r="F98" s="87">
        <v>0.3</v>
      </c>
      <c r="G98" s="87">
        <v>0</v>
      </c>
      <c r="H98" s="87">
        <v>0</v>
      </c>
      <c r="I98" s="53">
        <f t="shared" si="3"/>
        <v>8.875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>
        <v>90</v>
      </c>
      <c r="B99" s="60">
        <v>596.20000000000005</v>
      </c>
      <c r="C99" s="60">
        <v>12</v>
      </c>
      <c r="D99" s="60">
        <v>596.20000000000005</v>
      </c>
      <c r="E99" s="87">
        <v>0.7</v>
      </c>
      <c r="F99" s="87">
        <v>0.3</v>
      </c>
      <c r="G99" s="87">
        <v>0</v>
      </c>
      <c r="H99" s="87">
        <v>0</v>
      </c>
      <c r="I99" s="53">
        <f t="shared" si="3"/>
        <v>6.9000000000000057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Pin de Salzmann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22</v>
      </c>
      <c r="B114" s="60">
        <v>123</v>
      </c>
      <c r="C114" s="50">
        <v>1</v>
      </c>
      <c r="D114" s="60">
        <v>16</v>
      </c>
      <c r="E114" s="51">
        <v>0.1</v>
      </c>
      <c r="F114" s="51">
        <v>0.8</v>
      </c>
      <c r="G114" s="51">
        <v>0</v>
      </c>
      <c r="H114" s="51">
        <v>0.1</v>
      </c>
      <c r="I114" s="53">
        <f>IFERROR(B114/A114,"")</f>
        <v>5.5909090909090908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25</v>
      </c>
      <c r="B115" s="60">
        <v>144</v>
      </c>
      <c r="C115" s="50">
        <v>2</v>
      </c>
      <c r="D115" s="60">
        <v>17</v>
      </c>
      <c r="E115" s="51">
        <v>0.1</v>
      </c>
      <c r="F115" s="51">
        <v>0.8</v>
      </c>
      <c r="G115" s="51">
        <v>0</v>
      </c>
      <c r="H115" s="51">
        <v>0.1</v>
      </c>
      <c r="I115" s="53">
        <f t="shared" ref="I115:I133" si="4">IF(A115&lt;&gt;0,(B115-(B114-D114))/(A115-A114),"")</f>
        <v>12.333333333333334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30</v>
      </c>
      <c r="B116" s="60">
        <v>194</v>
      </c>
      <c r="C116" s="50">
        <v>3</v>
      </c>
      <c r="D116" s="60">
        <v>34</v>
      </c>
      <c r="E116" s="51">
        <v>0.3</v>
      </c>
      <c r="F116" s="51">
        <v>0.5</v>
      </c>
      <c r="G116" s="51">
        <v>0</v>
      </c>
      <c r="H116" s="51">
        <v>0.2</v>
      </c>
      <c r="I116" s="53">
        <f t="shared" si="4"/>
        <v>13.4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35</v>
      </c>
      <c r="B117" s="60">
        <v>233</v>
      </c>
      <c r="C117" s="50">
        <v>4</v>
      </c>
      <c r="D117" s="60">
        <v>41</v>
      </c>
      <c r="E117" s="51">
        <v>0.3</v>
      </c>
      <c r="F117" s="51">
        <v>0.5</v>
      </c>
      <c r="G117" s="51">
        <v>0</v>
      </c>
      <c r="H117" s="51">
        <v>0.20000000000000004</v>
      </c>
      <c r="I117" s="53">
        <f t="shared" si="4"/>
        <v>14.6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40</v>
      </c>
      <c r="B118" s="60">
        <v>264</v>
      </c>
      <c r="C118" s="50">
        <v>5</v>
      </c>
      <c r="D118" s="60">
        <v>41</v>
      </c>
      <c r="E118" s="51">
        <v>0.3</v>
      </c>
      <c r="F118" s="51">
        <v>0.5</v>
      </c>
      <c r="G118" s="51">
        <v>0</v>
      </c>
      <c r="H118" s="51">
        <v>0.20000000000000004</v>
      </c>
      <c r="I118" s="53">
        <f t="shared" si="4"/>
        <v>14.4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45</v>
      </c>
      <c r="B119" s="60">
        <v>318</v>
      </c>
      <c r="C119" s="50">
        <v>6</v>
      </c>
      <c r="D119" s="60">
        <v>53</v>
      </c>
      <c r="E119" s="51">
        <v>0.3</v>
      </c>
      <c r="F119" s="51">
        <v>0.5</v>
      </c>
      <c r="G119" s="51">
        <v>0</v>
      </c>
      <c r="H119" s="51">
        <v>0.20000000000000004</v>
      </c>
      <c r="I119" s="53">
        <f t="shared" si="4"/>
        <v>19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50</v>
      </c>
      <c r="B120" s="60">
        <v>352</v>
      </c>
      <c r="C120" s="60">
        <v>7</v>
      </c>
      <c r="D120" s="60">
        <v>53</v>
      </c>
      <c r="E120" s="87">
        <v>0.69999999999999984</v>
      </c>
      <c r="F120" s="87">
        <v>0.3</v>
      </c>
      <c r="G120" s="87">
        <v>0</v>
      </c>
      <c r="H120" s="87">
        <v>0</v>
      </c>
      <c r="I120" s="53">
        <f t="shared" si="4"/>
        <v>17.399999999999999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58</v>
      </c>
      <c r="B121" s="60">
        <v>440</v>
      </c>
      <c r="C121" s="60">
        <v>8</v>
      </c>
      <c r="D121" s="60">
        <v>78</v>
      </c>
      <c r="E121" s="87">
        <v>0.7</v>
      </c>
      <c r="F121" s="87">
        <v>0.3</v>
      </c>
      <c r="G121" s="87">
        <v>0</v>
      </c>
      <c r="H121" s="87">
        <v>0</v>
      </c>
      <c r="I121" s="53">
        <f t="shared" si="4"/>
        <v>17.625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>
        <v>66</v>
      </c>
      <c r="B122" s="60">
        <v>495</v>
      </c>
      <c r="C122" s="60">
        <v>9</v>
      </c>
      <c r="D122" s="60">
        <v>65</v>
      </c>
      <c r="E122" s="87">
        <v>0.7</v>
      </c>
      <c r="F122" s="87">
        <v>0.3</v>
      </c>
      <c r="G122" s="87">
        <v>0</v>
      </c>
      <c r="H122" s="87">
        <v>0</v>
      </c>
      <c r="I122" s="53">
        <f t="shared" si="4"/>
        <v>16.625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>
        <v>74</v>
      </c>
      <c r="B123" s="60">
        <v>533</v>
      </c>
      <c r="C123" s="60">
        <v>10</v>
      </c>
      <c r="D123" s="60">
        <v>37</v>
      </c>
      <c r="E123" s="87">
        <v>0.7</v>
      </c>
      <c r="F123" s="87">
        <v>0.3</v>
      </c>
      <c r="G123" s="87">
        <v>0</v>
      </c>
      <c r="H123" s="87">
        <v>0</v>
      </c>
      <c r="I123" s="53">
        <f t="shared" si="4"/>
        <v>12.875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>
        <v>82</v>
      </c>
      <c r="B124" s="60">
        <v>567</v>
      </c>
      <c r="C124" s="60">
        <v>11</v>
      </c>
      <c r="D124" s="60">
        <v>26</v>
      </c>
      <c r="E124" s="87">
        <v>0.7</v>
      </c>
      <c r="F124" s="87">
        <v>0.3</v>
      </c>
      <c r="G124" s="87">
        <v>0</v>
      </c>
      <c r="H124" s="87">
        <v>0</v>
      </c>
      <c r="I124" s="53">
        <f t="shared" si="4"/>
        <v>8.875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>
        <v>90</v>
      </c>
      <c r="B125" s="60">
        <v>596.20000000000005</v>
      </c>
      <c r="C125" s="60">
        <v>12</v>
      </c>
      <c r="D125" s="60">
        <v>596.20000000000005</v>
      </c>
      <c r="E125" s="87">
        <v>0.7</v>
      </c>
      <c r="F125" s="87">
        <v>0.3</v>
      </c>
      <c r="G125" s="87">
        <v>0</v>
      </c>
      <c r="H125" s="87">
        <v>0</v>
      </c>
      <c r="I125" s="53">
        <f t="shared" si="4"/>
        <v>6.9000000000000057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Pin taeda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22</v>
      </c>
      <c r="B140" s="60">
        <v>123</v>
      </c>
      <c r="C140" s="50">
        <v>1</v>
      </c>
      <c r="D140" s="60">
        <v>16</v>
      </c>
      <c r="E140" s="51">
        <v>0.1</v>
      </c>
      <c r="F140" s="51">
        <v>0.8</v>
      </c>
      <c r="G140" s="51">
        <v>0</v>
      </c>
      <c r="H140" s="51">
        <v>0.1</v>
      </c>
      <c r="I140" s="57">
        <f>IFERROR(B140/A140,"")</f>
        <v>5.5909090909090908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25</v>
      </c>
      <c r="B141" s="60">
        <v>144</v>
      </c>
      <c r="C141" s="50">
        <v>2</v>
      </c>
      <c r="D141" s="60">
        <v>17</v>
      </c>
      <c r="E141" s="51">
        <v>0.1</v>
      </c>
      <c r="F141" s="51">
        <v>0.8</v>
      </c>
      <c r="G141" s="51">
        <v>0</v>
      </c>
      <c r="H141" s="51">
        <v>0.1</v>
      </c>
      <c r="I141" s="57">
        <f t="shared" ref="I141:I159" si="5">IF(A141&lt;&gt;0,(B141-(B140-D140))/(A141-A140),"")</f>
        <v>12.333333333333334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30</v>
      </c>
      <c r="B142" s="60">
        <v>194</v>
      </c>
      <c r="C142" s="50">
        <v>3</v>
      </c>
      <c r="D142" s="60">
        <v>34</v>
      </c>
      <c r="E142" s="51">
        <v>0.3</v>
      </c>
      <c r="F142" s="51">
        <v>0.5</v>
      </c>
      <c r="G142" s="51">
        <v>0</v>
      </c>
      <c r="H142" s="51">
        <v>0.2</v>
      </c>
      <c r="I142" s="57">
        <f t="shared" si="5"/>
        <v>13.4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35</v>
      </c>
      <c r="B143" s="60">
        <v>233</v>
      </c>
      <c r="C143" s="50">
        <v>4</v>
      </c>
      <c r="D143" s="60">
        <v>41</v>
      </c>
      <c r="E143" s="51">
        <v>0.3</v>
      </c>
      <c r="F143" s="51">
        <v>0.5</v>
      </c>
      <c r="G143" s="51">
        <v>0</v>
      </c>
      <c r="H143" s="51">
        <v>0.20000000000000004</v>
      </c>
      <c r="I143" s="57">
        <f t="shared" si="5"/>
        <v>14.6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40</v>
      </c>
      <c r="B144" s="60">
        <v>264</v>
      </c>
      <c r="C144" s="50">
        <v>5</v>
      </c>
      <c r="D144" s="60">
        <v>41</v>
      </c>
      <c r="E144" s="51">
        <v>0.3</v>
      </c>
      <c r="F144" s="51">
        <v>0.5</v>
      </c>
      <c r="G144" s="51">
        <v>0</v>
      </c>
      <c r="H144" s="51">
        <v>0.20000000000000004</v>
      </c>
      <c r="I144" s="57">
        <f t="shared" si="5"/>
        <v>14.4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45</v>
      </c>
      <c r="B145" s="60">
        <v>318</v>
      </c>
      <c r="C145" s="50">
        <v>6</v>
      </c>
      <c r="D145" s="60">
        <v>53</v>
      </c>
      <c r="E145" s="51">
        <v>0.3</v>
      </c>
      <c r="F145" s="51">
        <v>0.5</v>
      </c>
      <c r="G145" s="51">
        <v>0</v>
      </c>
      <c r="H145" s="51">
        <v>0.20000000000000004</v>
      </c>
      <c r="I145" s="57">
        <f t="shared" si="5"/>
        <v>19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50</v>
      </c>
      <c r="B146" s="60">
        <v>352</v>
      </c>
      <c r="C146" s="50">
        <v>7</v>
      </c>
      <c r="D146" s="60">
        <v>53</v>
      </c>
      <c r="E146" s="51">
        <v>0.69999999999999984</v>
      </c>
      <c r="F146" s="51">
        <v>0.3</v>
      </c>
      <c r="G146" s="51">
        <v>0</v>
      </c>
      <c r="H146" s="51">
        <v>0</v>
      </c>
      <c r="I146" s="57">
        <f t="shared" si="5"/>
        <v>17.399999999999999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>
        <v>58</v>
      </c>
      <c r="B147" s="60">
        <v>440</v>
      </c>
      <c r="C147" s="50">
        <v>8</v>
      </c>
      <c r="D147" s="60">
        <v>78</v>
      </c>
      <c r="E147" s="51">
        <v>0.7</v>
      </c>
      <c r="F147" s="51">
        <v>0.3</v>
      </c>
      <c r="G147" s="51">
        <v>0</v>
      </c>
      <c r="H147" s="51">
        <v>0</v>
      </c>
      <c r="I147" s="57">
        <f>IF(A147&lt;&gt;0,(B147-(B146-D146))/(A147-A146),"")</f>
        <v>17.625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>
        <v>66</v>
      </c>
      <c r="B148" s="60">
        <v>495</v>
      </c>
      <c r="C148" s="50">
        <v>9</v>
      </c>
      <c r="D148" s="60">
        <v>65</v>
      </c>
      <c r="E148" s="51">
        <v>0.7</v>
      </c>
      <c r="F148" s="51">
        <v>0.3</v>
      </c>
      <c r="G148" s="51">
        <v>0</v>
      </c>
      <c r="H148" s="51">
        <v>0</v>
      </c>
      <c r="I148" s="57">
        <f t="shared" si="5"/>
        <v>16.625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>
        <v>74</v>
      </c>
      <c r="B149" s="60">
        <v>533</v>
      </c>
      <c r="C149" s="50">
        <v>10</v>
      </c>
      <c r="D149" s="60">
        <v>37</v>
      </c>
      <c r="E149" s="51">
        <v>0.7</v>
      </c>
      <c r="F149" s="51">
        <v>0.3</v>
      </c>
      <c r="G149" s="51">
        <v>0</v>
      </c>
      <c r="H149" s="51">
        <v>0</v>
      </c>
      <c r="I149" s="57">
        <f t="shared" si="5"/>
        <v>12.875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>
        <v>82</v>
      </c>
      <c r="B150" s="60">
        <v>567</v>
      </c>
      <c r="C150" s="50">
        <v>11</v>
      </c>
      <c r="D150" s="60">
        <v>26</v>
      </c>
      <c r="E150" s="51">
        <v>0.7</v>
      </c>
      <c r="F150" s="51">
        <v>0.3</v>
      </c>
      <c r="G150" s="51">
        <v>0</v>
      </c>
      <c r="H150" s="51">
        <v>0</v>
      </c>
      <c r="I150" s="57">
        <f t="shared" si="5"/>
        <v>8.875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>
        <v>90</v>
      </c>
      <c r="B151" s="60">
        <v>596.20000000000005</v>
      </c>
      <c r="C151" s="50">
        <v>12</v>
      </c>
      <c r="D151" s="60">
        <v>596.20000000000005</v>
      </c>
      <c r="E151" s="51">
        <v>0.7</v>
      </c>
      <c r="F151" s="51">
        <v>0.3</v>
      </c>
      <c r="G151" s="51">
        <v>0</v>
      </c>
      <c r="H151" s="51">
        <v>0</v>
      </c>
      <c r="I151" s="57">
        <f t="shared" si="5"/>
        <v>6.9000000000000057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>Pin laricio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>
        <v>22</v>
      </c>
      <c r="B166" s="60">
        <v>123</v>
      </c>
      <c r="C166" s="60">
        <v>1</v>
      </c>
      <c r="D166" s="60">
        <v>16</v>
      </c>
      <c r="E166" s="51">
        <v>0.1</v>
      </c>
      <c r="F166" s="51">
        <v>0.8</v>
      </c>
      <c r="G166" s="51">
        <v>0</v>
      </c>
      <c r="H166" s="51">
        <v>0.1</v>
      </c>
      <c r="I166" s="49">
        <f>IFERROR(B166/A166,"")</f>
        <v>5.5909090909090908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>
        <v>25</v>
      </c>
      <c r="B167" s="60">
        <v>144</v>
      </c>
      <c r="C167" s="60">
        <v>2</v>
      </c>
      <c r="D167" s="60">
        <v>17</v>
      </c>
      <c r="E167" s="51">
        <v>0.1</v>
      </c>
      <c r="F167" s="51">
        <v>0.8</v>
      </c>
      <c r="G167" s="51">
        <v>0</v>
      </c>
      <c r="H167" s="51">
        <v>0.1</v>
      </c>
      <c r="I167" s="49">
        <f t="shared" ref="I167:I185" si="6">IF(A167&lt;&gt;0,(B167-(B166-D166))/(A167-A166),"")</f>
        <v>12.333333333333334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>
        <v>30</v>
      </c>
      <c r="B168" s="60">
        <v>194</v>
      </c>
      <c r="C168" s="60">
        <v>3</v>
      </c>
      <c r="D168" s="60">
        <v>34</v>
      </c>
      <c r="E168" s="51">
        <v>0.3</v>
      </c>
      <c r="F168" s="51">
        <v>0.5</v>
      </c>
      <c r="G168" s="51">
        <v>0</v>
      </c>
      <c r="H168" s="51">
        <v>0.2</v>
      </c>
      <c r="I168" s="49">
        <f t="shared" si="6"/>
        <v>13.4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>
        <v>35</v>
      </c>
      <c r="B169" s="60">
        <v>233</v>
      </c>
      <c r="C169" s="60">
        <v>4</v>
      </c>
      <c r="D169" s="60">
        <v>41</v>
      </c>
      <c r="E169" s="51">
        <v>0.3</v>
      </c>
      <c r="F169" s="51">
        <v>0.5</v>
      </c>
      <c r="G169" s="51">
        <v>0</v>
      </c>
      <c r="H169" s="51">
        <v>0.20000000000000004</v>
      </c>
      <c r="I169" s="49">
        <f t="shared" si="6"/>
        <v>14.6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>
        <v>40</v>
      </c>
      <c r="B170" s="60">
        <v>264</v>
      </c>
      <c r="C170" s="60">
        <v>5</v>
      </c>
      <c r="D170" s="60">
        <v>41</v>
      </c>
      <c r="E170" s="51">
        <v>0.3</v>
      </c>
      <c r="F170" s="51">
        <v>0.5</v>
      </c>
      <c r="G170" s="51">
        <v>0</v>
      </c>
      <c r="H170" s="51">
        <v>0.20000000000000004</v>
      </c>
      <c r="I170" s="49">
        <f t="shared" si="6"/>
        <v>14.4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>
        <v>45</v>
      </c>
      <c r="B171" s="60">
        <v>318</v>
      </c>
      <c r="C171" s="60">
        <v>6</v>
      </c>
      <c r="D171" s="60">
        <v>53</v>
      </c>
      <c r="E171" s="51">
        <v>0.3</v>
      </c>
      <c r="F171" s="51">
        <v>0.5</v>
      </c>
      <c r="G171" s="51">
        <v>0</v>
      </c>
      <c r="H171" s="51">
        <v>0.20000000000000004</v>
      </c>
      <c r="I171" s="49">
        <f t="shared" si="6"/>
        <v>19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>
        <v>50</v>
      </c>
      <c r="B172" s="60">
        <v>352</v>
      </c>
      <c r="C172" s="60">
        <v>7</v>
      </c>
      <c r="D172" s="60">
        <v>53</v>
      </c>
      <c r="E172" s="51">
        <v>0.69999999999999984</v>
      </c>
      <c r="F172" s="51">
        <v>0.3</v>
      </c>
      <c r="G172" s="51">
        <v>0</v>
      </c>
      <c r="H172" s="51">
        <v>0</v>
      </c>
      <c r="I172" s="49">
        <f t="shared" si="6"/>
        <v>17.399999999999999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>
        <v>58</v>
      </c>
      <c r="B173" s="50">
        <v>440</v>
      </c>
      <c r="C173" s="50">
        <v>8</v>
      </c>
      <c r="D173" s="50">
        <v>78</v>
      </c>
      <c r="E173" s="51">
        <v>0.7</v>
      </c>
      <c r="F173" s="51">
        <v>0.3</v>
      </c>
      <c r="G173" s="51">
        <v>0</v>
      </c>
      <c r="H173" s="51">
        <v>0</v>
      </c>
      <c r="I173" s="49">
        <f t="shared" si="6"/>
        <v>17.625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>
        <v>66</v>
      </c>
      <c r="B174" s="50">
        <v>495</v>
      </c>
      <c r="C174" s="50">
        <v>9</v>
      </c>
      <c r="D174" s="50">
        <v>65</v>
      </c>
      <c r="E174" s="51">
        <v>0.7</v>
      </c>
      <c r="F174" s="51">
        <v>0.3</v>
      </c>
      <c r="G174" s="51">
        <v>0</v>
      </c>
      <c r="H174" s="51">
        <v>0</v>
      </c>
      <c r="I174" s="49">
        <f t="shared" si="6"/>
        <v>16.625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>
        <v>74</v>
      </c>
      <c r="B175" s="50">
        <v>533</v>
      </c>
      <c r="C175" s="50">
        <v>10</v>
      </c>
      <c r="D175" s="50">
        <v>37</v>
      </c>
      <c r="E175" s="51">
        <v>0.7</v>
      </c>
      <c r="F175" s="51">
        <v>0.3</v>
      </c>
      <c r="G175" s="51">
        <v>0</v>
      </c>
      <c r="H175" s="51">
        <v>0</v>
      </c>
      <c r="I175" s="49">
        <f t="shared" si="6"/>
        <v>12.875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>
        <v>82</v>
      </c>
      <c r="B176" s="50">
        <v>567</v>
      </c>
      <c r="C176" s="50">
        <v>11</v>
      </c>
      <c r="D176" s="50">
        <v>26</v>
      </c>
      <c r="E176" s="51">
        <v>0.7</v>
      </c>
      <c r="F176" s="51">
        <v>0.3</v>
      </c>
      <c r="G176" s="51">
        <v>0</v>
      </c>
      <c r="H176" s="51">
        <v>0</v>
      </c>
      <c r="I176" s="49">
        <f t="shared" si="6"/>
        <v>8.875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>
        <v>90</v>
      </c>
      <c r="B177" s="50">
        <v>596.20000000000005</v>
      </c>
      <c r="C177" s="50">
        <v>12</v>
      </c>
      <c r="D177" s="50">
        <v>596.20000000000005</v>
      </c>
      <c r="E177" s="51">
        <v>0.7</v>
      </c>
      <c r="F177" s="51">
        <v>0.3</v>
      </c>
      <c r="G177" s="51">
        <v>0</v>
      </c>
      <c r="H177" s="51">
        <v>0</v>
      </c>
      <c r="I177" s="49">
        <f t="shared" si="6"/>
        <v>6.9000000000000057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0.8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0.2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0.8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0.8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Cèdre de l'Atlas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Séquoia toujours vert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Pin laricio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Pin de Salzmann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Pin taeda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Pin laricio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189.8770435341392</v>
      </c>
      <c r="T3" s="59">
        <f>IF('Données projet'!E9&gt;30,$R$33-$H$33,LOOKUP('Données projet'!$E$9,$A$3:$A$203,R3:R203)-LOOKUP('Données projet'!$E$9,$A$3:$A$203,$H$3:$H$203))</f>
        <v>230.18380961122767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207.77463758757142</v>
      </c>
      <c r="AO3" s="59">
        <f>IF('Données projet'!E10&gt;30,$AM$33-$H$33,LOOKUP('Données projet'!$E$10,$A$3:$A$203,AM3:AM203)-LOOKUP('Données projet'!$E$10,$A$3:$A$203,$H$3:$H$203))</f>
        <v>180.50802165484066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393.01180019332998</v>
      </c>
      <c r="BJ3" s="59">
        <f>IF('Données projet'!E11&gt;30,$BH$33-$H$33,LOOKUP('Données projet'!$E$11,$A$3:$A$203,BH3:BH203)-LOOKUP('Données projet'!$E$11,$A$3:$A$203,$H$3:$H$203))</f>
        <v>283.82782416294748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393.01180019332998</v>
      </c>
      <c r="CE3" s="59">
        <f>IF('Données projet'!E12&gt;30,$CC$33-$H$33,LOOKUP('Données projet'!$E$12,$A$3:$A$203,CC3:CC203)-LOOKUP('Données projet'!$E$12,$A$3:$A$203,$H$3:$H$203))</f>
        <v>283.82782416294748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393.01180019332998</v>
      </c>
      <c r="CZ3" s="59">
        <f>IF('Données projet'!E13&gt;30,$CX$33-$H$33,LOOKUP('Données projet'!$E$13,$A$3:$A$203,CX3:CX203)-LOOKUP('Données projet'!$E$13,$A$3:$A$203,$H$3:$H$203))</f>
        <v>283.82782416294748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393.01180019332998</v>
      </c>
      <c r="DU3" s="59">
        <f>IF('Données projet'!E14&gt;30,$DS$33-$H$33,LOOKUP('Données projet'!$E$14,$A$3:$A$203,DS3:DS203)-LOOKUP('Données projet'!$E$14,$A$3:$A$203,$H$3:$H$203))</f>
        <v>283.82782416294748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0.11544</v>
      </c>
      <c r="D4" s="11">
        <f>IFERROR(EXP(-1.0587+0.8836*LN(C4)+0.284),0)</f>
        <v>6.8399055940606454E-2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0.28382170039953286</v>
      </c>
      <c r="H4" s="67">
        <f t="shared" ref="H4:H67" si="1">(B4+E4+F4)*44/12+(C4+D4)*0.475*44/12</f>
        <v>256.9868530224299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7.9</v>
      </c>
      <c r="N4" s="13">
        <f>IF('Données projet'!$A$36&gt;35,N3+M4-V3,IF(A4&lt;'Données projet'!$A$36,$K$205^A4,IF(A4='Données projet'!$A$36,'Données projet'!$B$36,N3+M4-V3)))</f>
        <v>1.2880503926580862</v>
      </c>
      <c r="O4" s="13">
        <f>N4*VLOOKUP('Données projet'!$B$9,Paramètres!$A$1:$I$89,3,0)*VLOOKUP('Données projet'!$B$9,Paramètres!$A$1:$I$89,5,0)</f>
        <v>0.60280758376398436</v>
      </c>
      <c r="P4" s="13">
        <f>EXP(-1.0587+0.8836*LN(O4)+0.284)</f>
        <v>0.29465781953181042</v>
      </c>
      <c r="Q4" s="20">
        <f t="shared" ref="Q4:Q34" si="2">(O4+P4)*0.475*44/12</f>
        <v>1.5630855774068424</v>
      </c>
      <c r="R4" s="59">
        <f t="shared" si="0"/>
        <v>259.45197446629572</v>
      </c>
      <c r="S4" s="59">
        <f ca="1">AVERAGE(OFFSET($R$3,0,0,'Données projet'!$E$9+1,1))-AVERAGE(OFFSET($H$3,0,0,'Données projet'!$E$9+1,1))</f>
        <v>189.8770435341392</v>
      </c>
      <c r="T4" s="59">
        <f>$T$3</f>
        <v>230.18380961122767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3.7676430000000005</v>
      </c>
      <c r="AI4" s="13">
        <f>IF('Données projet'!$A$62&gt;35,AI3+AH4-AQ3,IF(A4&lt;'Données projet'!$A$62,$AF$205^A4,IF(A4='Données projet'!$A$62,'Données projet'!$B$62,AI3+AH4-AQ3)))</f>
        <v>1.241237783243907</v>
      </c>
      <c r="AJ4" s="13">
        <f>AI4*VLOOKUP('Données projet'!$B$10,Paramètres!$A$1:$I$89,3,0)*VLOOKUP('Données projet'!$B$10,Paramètres!$A$1:$I$89,5,0)</f>
        <v>0.548627100193807</v>
      </c>
      <c r="AK4" s="13">
        <f>EXP(-1.0587+0.8836*LN(AJ4)+0.284)</f>
        <v>0.27112992167195837</v>
      </c>
      <c r="AL4" s="20">
        <f t="shared" ref="AL4:AL67" si="4">(AJ4+AK4)*0.475*44/12</f>
        <v>1.4277434797495412</v>
      </c>
      <c r="AM4" s="59">
        <f t="shared" ref="AM4:AM67" si="5">AL4+(AD4+AE4)*44/12</f>
        <v>259.31663236863841</v>
      </c>
      <c r="AN4" s="59">
        <f ca="1">AVERAGE(OFFSET($AM$3,0,0,'Données projet'!$E$10+1,1))-AVERAGE(OFFSET($H$3,0,0,'Données projet'!$E$10+1,1))</f>
        <v>207.77463758757142</v>
      </c>
      <c r="AO4" s="59">
        <f>$AO$3</f>
        <v>180.50802165484066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5.5909090909090908</v>
      </c>
      <c r="BD4" s="12">
        <f>IF('Données projet'!$A$88&gt;35,BD3+BC4-BL3,IF(A4&lt;'Données projet'!$A$88,$BA$205^A4,IF(A4='Données projet'!$A$88,'Données projet'!$B$88,BD3+BC4-BL3)))</f>
        <v>1.244502252163008</v>
      </c>
      <c r="BE4" s="13">
        <f>BD4*VLOOKUP('Données projet'!$B$11,Paramètres!$A$1:$I$89,3,0)*VLOOKUP('Données projet'!$B$11,Paramètres!$A$1:$I$89,5,0)</f>
        <v>0.74421234679347892</v>
      </c>
      <c r="BF4" s="13">
        <f>EXP(-1.0587+0.8836*LN(BE4)+0.284)</f>
        <v>0.3549632728022305</v>
      </c>
      <c r="BG4" s="20">
        <f t="shared" ref="BG4:BG67" si="7">(BE4+BF4)*0.475*44/12</f>
        <v>1.9143975374625271</v>
      </c>
      <c r="BH4" s="59">
        <f t="shared" ref="BH4:BH67" si="8">BG4+(AY4+AZ4)*44/12</f>
        <v>259.80328642635141</v>
      </c>
      <c r="BI4" s="59">
        <f ca="1">AVERAGE(OFFSET($BH$3,0,0,'Données projet'!$E$11+1,1))-AVERAGE(OFFSET($H$3,0,0,'Données projet'!$E$11+1,1))</f>
        <v>393.01180019332998</v>
      </c>
      <c r="BJ4" s="59">
        <f>$BJ$3</f>
        <v>283.82782416294748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5.5909090909090908</v>
      </c>
      <c r="BY4" s="12">
        <f>IF('Données projet'!$A$114&gt;35,BY3+BX4-CG3,IF(A4&lt;'Données projet'!$A$114,$BV$205^A4,IF(A4='Données projet'!$A$114,'Données projet'!$B$114,BY3+BX4-CG3)))</f>
        <v>1.244502252163008</v>
      </c>
      <c r="BZ4" s="13">
        <f>BY4*VLOOKUP('Données projet'!$B$12,Paramètres!$A$1:$I$89,3,0)*VLOOKUP('Données projet'!$B$12,Paramètres!$A$1:$I$89,5,0)</f>
        <v>0.74421234679347892</v>
      </c>
      <c r="CA4" s="13">
        <f>EXP(-1.0587+0.8836*LN(BZ4)+0.284)</f>
        <v>0.3549632728022305</v>
      </c>
      <c r="CB4" s="20">
        <f t="shared" ref="CB4:CB67" si="10">(BZ4+CA4)*0.475*44/12</f>
        <v>1.9143975374625271</v>
      </c>
      <c r="CC4" s="59">
        <f t="shared" ref="CC4:CC67" si="11">CB4+(BT4+BU4)*44/12</f>
        <v>259.80328642635141</v>
      </c>
      <c r="CD4" s="59">
        <f ca="1">AVERAGE(OFFSET($CC$3,0,0,'Données projet'!$E$12+1,1))-AVERAGE(OFFSET($H$3,0,0,'Données projet'!$E$12+1,1))</f>
        <v>393.01180019332998</v>
      </c>
      <c r="CE4" s="59">
        <f>$CE$3</f>
        <v>283.82782416294748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5.5909090909090908</v>
      </c>
      <c r="CT4" s="12">
        <f>IF('Données projet'!$A$140&gt;35,CT3+CS4-DB3,IF(A4&lt;'Données projet'!$A$140,$CQ$205^A4,IF(A4='Données projet'!$A$140,'Données projet'!$B$140,CT3+CS4-DB3)))</f>
        <v>1.244502252163008</v>
      </c>
      <c r="CU4" s="17">
        <f>CT4*VLOOKUP('Données projet'!$B$13,Paramètres!$A$1:$I$89,3,0)*VLOOKUP('Données projet'!$B$13,Paramètres!$A$1:$I$89,5,0)</f>
        <v>0.74421234679347892</v>
      </c>
      <c r="CV4" s="13">
        <f>EXP(-1.0587+0.8836*LN(CU4)+0.284)</f>
        <v>0.3549632728022305</v>
      </c>
      <c r="CW4" s="20">
        <f t="shared" ref="CW4:CW67" si="13">(CU4+CV4)*0.475*44/12</f>
        <v>1.9143975374625271</v>
      </c>
      <c r="CX4" s="59">
        <f t="shared" ref="CX4:CX67" si="14">CW4+(CO4+CP4)*44/12</f>
        <v>259.80328642635141</v>
      </c>
      <c r="CY4" s="59">
        <f ca="1">AVERAGE(OFFSET($CX$3,0,0,'Données projet'!$E$13+1,1))-AVERAGE(OFFSET($H$3,0,0,'Données projet'!$E$13+1,1))</f>
        <v>393.01180019332998</v>
      </c>
      <c r="CZ4" s="59">
        <f>$CZ$3</f>
        <v>283.82782416294748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5.5909090909090908</v>
      </c>
      <c r="DO4" s="12">
        <f>IF('Données projet'!$A$166&gt;35,DO3+DN4-DW3,IF(A4&lt;'Données projet'!$A$166,$DL$205^A4,IF(A4='Données projet'!$A$166,'Données projet'!$B$166,DO3+DN4-DW3)))</f>
        <v>1.244502252163008</v>
      </c>
      <c r="DP4" s="17">
        <f>DO4*VLOOKUP('Données projet'!$B$14,Paramètres!$A$1:$I$89,3,0)*VLOOKUP('Données projet'!$B$14,Paramètres!$A$1:$I$89,5,0)</f>
        <v>0.74421234679347892</v>
      </c>
      <c r="DQ4" s="13">
        <f>EXP(-1.0587+0.8836*LN(DP4)+0.284)</f>
        <v>0.3549632728022305</v>
      </c>
      <c r="DR4" s="20">
        <f t="shared" ref="DR4:DR67" si="16">(DP4+DQ4)*0.475*44/12</f>
        <v>1.9143975374625271</v>
      </c>
      <c r="DS4" s="59">
        <f t="shared" ref="DS4:DS67" si="17">DR4+(DJ4+DK4)*44/12</f>
        <v>259.80328642635141</v>
      </c>
      <c r="DT4" s="59">
        <f ca="1">AVERAGE(OFFSET($DS$3,0,0,'Données projet'!$E$14+1,1))-AVERAGE(OFFSET($H$3,0,0,'Données projet'!$E$14+1,1))</f>
        <v>393.01180019332998</v>
      </c>
      <c r="DU4" s="59">
        <f>$DU$3</f>
        <v>283.82782416294748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0.23088</v>
      </c>
      <c r="D5" s="11">
        <f t="shared" ref="D5:D68" si="32">IFERROR(EXP(-1.0587+0.8836*LN(C5)+0.284),0)</f>
        <v>0.1261944373693295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0.551272815587737</v>
      </c>
      <c r="H5" s="67">
        <f t="shared" si="1"/>
        <v>257.28857131175158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7.9</v>
      </c>
      <c r="N5" s="13">
        <f>IF('Données projet'!$A$36&gt;35,N4+M5-V4,IF(A5&lt;'Données projet'!$A$36,$K$205^A5,IF(A5='Données projet'!$A$36,'Données projet'!$B$36,N4+M5-V4)))</f>
        <v>1.6590738140266501</v>
      </c>
      <c r="O5" s="13">
        <f>N5*VLOOKUP('Données projet'!$B$9,Paramètres!$A$1:$I$89,3,0)*VLOOKUP('Données projet'!$B$9,Paramètres!$A$1:$I$89,5,0)</f>
        <v>0.77644654496447219</v>
      </c>
      <c r="P5" s="13">
        <f t="shared" ref="P5:P68" si="33">EXP(-1.0587+0.8836*LN(O5)+0.284)</f>
        <v>0.36851455096495994</v>
      </c>
      <c r="Q5" s="20">
        <f t="shared" si="2"/>
        <v>1.9941405754104276</v>
      </c>
      <c r="R5" s="59">
        <f t="shared" si="0"/>
        <v>261.10525168652157</v>
      </c>
      <c r="S5" s="59">
        <f ca="1">AVERAGE(OFFSET($R$3,0,0,'Données projet'!$E$9+1,1))-AVERAGE(OFFSET($H$3,0,0,'Données projet'!$E$9+1,1))</f>
        <v>189.8770435341392</v>
      </c>
      <c r="T5" s="59">
        <f t="shared" ref="T5:T68" si="34">$T$3</f>
        <v>230.18380961122767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3.7676430000000005</v>
      </c>
      <c r="AI5" s="13">
        <f>IF('Données projet'!$A$62&gt;35,AI4+AH5-AQ4,IF(A5&lt;'Données projet'!$A$62,$AF$205^A5,IF(A5='Données projet'!$A$62,'Données projet'!$B$62,AI4+AH5-AQ4)))</f>
        <v>1.5406712345522482</v>
      </c>
      <c r="AJ5" s="13">
        <f>AI5*VLOOKUP('Données projet'!$B$10,Paramètres!$A$1:$I$89,3,0)*VLOOKUP('Données projet'!$B$10,Paramètres!$A$1:$I$89,5,0)</f>
        <v>0.68097668567209368</v>
      </c>
      <c r="AK5" s="13">
        <f t="shared" ref="AK5:AK68" si="35">EXP(-1.0587+0.8836*LN(AJ5)+0.284)</f>
        <v>0.32817667847301246</v>
      </c>
      <c r="AL5" s="20">
        <f t="shared" si="4"/>
        <v>1.7576087758860595</v>
      </c>
      <c r="AM5" s="59">
        <f t="shared" si="5"/>
        <v>260.86871988699721</v>
      </c>
      <c r="AN5" s="59">
        <f ca="1">AVERAGE(OFFSET($AM$3,0,0,'Données projet'!$E$10+1,1))-AVERAGE(OFFSET($H$3,0,0,'Données projet'!$E$10+1,1))</f>
        <v>207.77463758757142</v>
      </c>
      <c r="AO5" s="59">
        <f t="shared" ref="AO5:AO68" si="36">$AO$3</f>
        <v>180.50802165484066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5.5909090909090908</v>
      </c>
      <c r="BD5" s="12">
        <f>IF('Données projet'!$A$88&gt;35,BD4+BC5-BL4,IF(A5&lt;'Données projet'!$A$88,$BA$205^A5,IF(A5='Données projet'!$A$88,'Données projet'!$B$88,BD4+BC5-BL4)))</f>
        <v>1.5487858556387992</v>
      </c>
      <c r="BE5" s="13">
        <f>BD5*VLOOKUP('Données projet'!$B$11,Paramètres!$A$1:$I$89,3,0)*VLOOKUP('Données projet'!$B$11,Paramètres!$A$1:$I$89,5,0)</f>
        <v>0.92617394167200195</v>
      </c>
      <c r="BF5" s="13">
        <f t="shared" ref="BF5:BF68" si="37">EXP(-1.0587+0.8836*LN(BE5)+0.284)</f>
        <v>0.43064718121421069</v>
      </c>
      <c r="BG5" s="20">
        <f t="shared" si="7"/>
        <v>2.3631301223601535</v>
      </c>
      <c r="BH5" s="59">
        <f t="shared" si="8"/>
        <v>261.47424123347128</v>
      </c>
      <c r="BI5" s="59">
        <f ca="1">AVERAGE(OFFSET($BH$3,0,0,'Données projet'!$E$11+1,1))-AVERAGE(OFFSET($H$3,0,0,'Données projet'!$E$11+1,1))</f>
        <v>393.01180019332998</v>
      </c>
      <c r="BJ5" s="59">
        <f t="shared" ref="BJ5:BJ68" si="38">$BJ$3</f>
        <v>283.82782416294748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5.5909090909090908</v>
      </c>
      <c r="BY5" s="12">
        <f>IF('Données projet'!$A$114&gt;35,BY4+BX5-CG4,IF(A5&lt;'Données projet'!$A$114,$BV$205^A5,IF(A5='Données projet'!$A$114,'Données projet'!$B$114,BY4+BX5-CG4)))</f>
        <v>1.5487858556387992</v>
      </c>
      <c r="BZ5" s="13">
        <f>BY5*VLOOKUP('Données projet'!$B$12,Paramètres!$A$1:$I$89,3,0)*VLOOKUP('Données projet'!$B$12,Paramètres!$A$1:$I$89,5,0)</f>
        <v>0.92617394167200195</v>
      </c>
      <c r="CA5" s="13">
        <f t="shared" ref="CA5:CA68" si="39">EXP(-1.0587+0.8836*LN(BZ5)+0.284)</f>
        <v>0.43064718121421069</v>
      </c>
      <c r="CB5" s="20">
        <f t="shared" si="10"/>
        <v>2.3631301223601535</v>
      </c>
      <c r="CC5" s="59">
        <f t="shared" si="11"/>
        <v>261.47424123347128</v>
      </c>
      <c r="CD5" s="59">
        <f ca="1">AVERAGE(OFFSET($CC$3,0,0,'Données projet'!$E$12+1,1))-AVERAGE(OFFSET($H$3,0,0,'Données projet'!$E$12+1,1))</f>
        <v>393.01180019332998</v>
      </c>
      <c r="CE5" s="59">
        <f t="shared" ref="CE5:CE68" si="40">$CE$3</f>
        <v>283.82782416294748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5.5909090909090908</v>
      </c>
      <c r="CT5" s="12">
        <f>IF('Données projet'!$A$140&gt;35,CT4+CS5-DB4,IF(A5&lt;'Données projet'!$A$140,$CQ$205^A5,IF(A5='Données projet'!$A$140,'Données projet'!$B$140,CT4+CS5-DB4)))</f>
        <v>1.5487858556387992</v>
      </c>
      <c r="CU5" s="17">
        <f>CT5*VLOOKUP('Données projet'!$B$13,Paramètres!$A$1:$I$89,3,0)*VLOOKUP('Données projet'!$B$13,Paramètres!$A$1:$I$89,5,0)</f>
        <v>0.92617394167200195</v>
      </c>
      <c r="CV5" s="13">
        <f t="shared" ref="CV5:CV68" si="41">EXP(-1.0587+0.8836*LN(CU5)+0.284)</f>
        <v>0.43064718121421069</v>
      </c>
      <c r="CW5" s="20">
        <f t="shared" si="13"/>
        <v>2.3631301223601535</v>
      </c>
      <c r="CX5" s="59">
        <f t="shared" si="14"/>
        <v>261.47424123347128</v>
      </c>
      <c r="CY5" s="59">
        <f ca="1">AVERAGE(OFFSET($CX$3,0,0,'Données projet'!$E$13+1,1))-AVERAGE(OFFSET($H$3,0,0,'Données projet'!$E$13+1,1))</f>
        <v>393.01180019332998</v>
      </c>
      <c r="CZ5" s="59">
        <f t="shared" ref="CZ5:CZ68" si="42">$CZ$3</f>
        <v>283.82782416294748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5.5909090909090908</v>
      </c>
      <c r="DO5" s="12">
        <f>IF('Données projet'!$A$166&gt;35,DO4+DN5-DW4,IF(A5&lt;'Données projet'!$A$166,$DL$205^A5,IF(A5='Données projet'!$A$166,'Données projet'!$B$166,DO4+DN5-DW4)))</f>
        <v>1.5487858556387992</v>
      </c>
      <c r="DP5" s="17">
        <f>DO5*VLOOKUP('Données projet'!$B$14,Paramètres!$A$1:$I$89,3,0)*VLOOKUP('Données projet'!$B$14,Paramètres!$A$1:$I$89,5,0)</f>
        <v>0.92617394167200195</v>
      </c>
      <c r="DQ5" s="13">
        <f t="shared" ref="DQ5:DQ68" si="43">EXP(-1.0587+0.8836*LN(DP5)+0.284)</f>
        <v>0.43064718121421069</v>
      </c>
      <c r="DR5" s="20">
        <f t="shared" si="16"/>
        <v>2.3631301223601535</v>
      </c>
      <c r="DS5" s="59">
        <f t="shared" si="17"/>
        <v>261.47424123347128</v>
      </c>
      <c r="DT5" s="59">
        <f ca="1">AVERAGE(OFFSET($DS$3,0,0,'Données projet'!$E$14+1,1))-AVERAGE(OFFSET($H$3,0,0,'Données projet'!$E$14+1,1))</f>
        <v>393.01180019332998</v>
      </c>
      <c r="DU5" s="59">
        <f t="shared" ref="DU5:DU68" si="44">$DU$3</f>
        <v>283.82782416294748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0.34632000000000002</v>
      </c>
      <c r="D6" s="11">
        <f t="shared" si="32"/>
        <v>0.18056536420187794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0.81343705350465367</v>
      </c>
      <c r="H6" s="67">
        <f t="shared" si="1"/>
        <v>257.5843253426516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7.9</v>
      </c>
      <c r="N6" s="13">
        <f>IF('Données projet'!$A$36&gt;35,N5+M6-V5,IF(A6&lt;'Données projet'!$A$36,$K$205^A6,IF(A6='Données projet'!$A$36,'Données projet'!$B$36,N5+M6-V5)))</f>
        <v>2.1369706776057753</v>
      </c>
      <c r="O6" s="13">
        <f>N6*VLOOKUP('Données projet'!$B$9,Paramètres!$A$1:$I$89,3,0)*VLOOKUP('Données projet'!$B$9,Paramètres!$A$1:$I$89,5,0)</f>
        <v>1.0001022771195029</v>
      </c>
      <c r="P6" s="13">
        <f t="shared" si="33"/>
        <v>0.46088365986243646</v>
      </c>
      <c r="Q6" s="20">
        <f t="shared" si="2"/>
        <v>2.5445505069102112</v>
      </c>
      <c r="R6" s="59">
        <f t="shared" si="0"/>
        <v>262.8778838402435</v>
      </c>
      <c r="S6" s="59">
        <f ca="1">AVERAGE(OFFSET($R$3,0,0,'Données projet'!$E$9+1,1))-AVERAGE(OFFSET($H$3,0,0,'Données projet'!$E$9+1,1))</f>
        <v>189.8770435341392</v>
      </c>
      <c r="T6" s="59">
        <f t="shared" si="34"/>
        <v>230.18380961122767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3.7676430000000005</v>
      </c>
      <c r="AI6" s="13">
        <f>IF('Données projet'!$A$62&gt;35,AI5+AH6-AQ5,IF(A6&lt;'Données projet'!$A$62,$AF$205^A6,IF(A6='Données projet'!$A$62,'Données projet'!$B$62,AI5+AH6-AQ5)))</f>
        <v>1.912339347883286</v>
      </c>
      <c r="AJ6" s="13">
        <f>AI6*VLOOKUP('Données projet'!$B$10,Paramètres!$A$1:$I$89,3,0)*VLOOKUP('Données projet'!$B$10,Paramètres!$A$1:$I$89,5,0)</f>
        <v>0.84525399176441252</v>
      </c>
      <c r="AK6" s="13">
        <f t="shared" si="35"/>
        <v>0.39722628778643548</v>
      </c>
      <c r="AL6" s="20">
        <f t="shared" si="4"/>
        <v>2.1639864868843932</v>
      </c>
      <c r="AM6" s="59">
        <f t="shared" si="5"/>
        <v>262.49731982021768</v>
      </c>
      <c r="AN6" s="59">
        <f ca="1">AVERAGE(OFFSET($AM$3,0,0,'Données projet'!$E$10+1,1))-AVERAGE(OFFSET($H$3,0,0,'Données projet'!$E$10+1,1))</f>
        <v>207.77463758757142</v>
      </c>
      <c r="AO6" s="59">
        <f t="shared" si="36"/>
        <v>180.50802165484066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5.5909090909090908</v>
      </c>
      <c r="BD6" s="12">
        <f>IF('Données projet'!$A$88&gt;35,BD5+BC6-BL5,IF(A6&lt;'Données projet'!$A$88,$BA$205^A6,IF(A6='Données projet'!$A$88,'Données projet'!$B$88,BD5+BC6-BL5)))</f>
        <v>1.927467485460697</v>
      </c>
      <c r="BE6" s="13">
        <f>BD6*VLOOKUP('Données projet'!$B$11,Paramètres!$A$1:$I$89,3,0)*VLOOKUP('Données projet'!$B$11,Paramètres!$A$1:$I$89,5,0)</f>
        <v>1.152625556305497</v>
      </c>
      <c r="BF6" s="13">
        <f t="shared" si="37"/>
        <v>0.52246812247269758</v>
      </c>
      <c r="BG6" s="20">
        <f t="shared" si="7"/>
        <v>2.9174548238720219</v>
      </c>
      <c r="BH6" s="59">
        <f t="shared" si="8"/>
        <v>263.25078815720536</v>
      </c>
      <c r="BI6" s="59">
        <f ca="1">AVERAGE(OFFSET($BH$3,0,0,'Données projet'!$E$11+1,1))-AVERAGE(OFFSET($H$3,0,0,'Données projet'!$E$11+1,1))</f>
        <v>393.01180019332998</v>
      </c>
      <c r="BJ6" s="59">
        <f t="shared" si="38"/>
        <v>283.82782416294748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5.5909090909090908</v>
      </c>
      <c r="BY6" s="12">
        <f>IF('Données projet'!$A$114&gt;35,BY5+BX6-CG5,IF(A6&lt;'Données projet'!$A$114,$BV$205^A6,IF(A6='Données projet'!$A$114,'Données projet'!$B$114,BY5+BX6-CG5)))</f>
        <v>1.927467485460697</v>
      </c>
      <c r="BZ6" s="13">
        <f>BY6*VLOOKUP('Données projet'!$B$12,Paramètres!$A$1:$I$89,3,0)*VLOOKUP('Données projet'!$B$12,Paramètres!$A$1:$I$89,5,0)</f>
        <v>1.152625556305497</v>
      </c>
      <c r="CA6" s="13">
        <f t="shared" si="39"/>
        <v>0.52246812247269758</v>
      </c>
      <c r="CB6" s="20">
        <f t="shared" si="10"/>
        <v>2.9174548238720219</v>
      </c>
      <c r="CC6" s="59">
        <f t="shared" si="11"/>
        <v>263.25078815720536</v>
      </c>
      <c r="CD6" s="59">
        <f ca="1">AVERAGE(OFFSET($CC$3,0,0,'Données projet'!$E$12+1,1))-AVERAGE(OFFSET($H$3,0,0,'Données projet'!$E$12+1,1))</f>
        <v>393.01180019332998</v>
      </c>
      <c r="CE6" s="59">
        <f t="shared" si="40"/>
        <v>283.82782416294748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5.5909090909090908</v>
      </c>
      <c r="CT6" s="12">
        <f>IF('Données projet'!$A$140&gt;35,CT5+CS6-DB5,IF(A6&lt;'Données projet'!$A$140,$CQ$205^A6,IF(A6='Données projet'!$A$140,'Données projet'!$B$140,CT5+CS6-DB5)))</f>
        <v>1.927467485460697</v>
      </c>
      <c r="CU6" s="17">
        <f>CT6*VLOOKUP('Données projet'!$B$13,Paramètres!$A$1:$I$89,3,0)*VLOOKUP('Données projet'!$B$13,Paramètres!$A$1:$I$89,5,0)</f>
        <v>1.152625556305497</v>
      </c>
      <c r="CV6" s="13">
        <f t="shared" si="41"/>
        <v>0.52246812247269758</v>
      </c>
      <c r="CW6" s="20">
        <f t="shared" si="13"/>
        <v>2.9174548238720219</v>
      </c>
      <c r="CX6" s="59">
        <f t="shared" si="14"/>
        <v>263.25078815720536</v>
      </c>
      <c r="CY6" s="59">
        <f ca="1">AVERAGE(OFFSET($CX$3,0,0,'Données projet'!$E$13+1,1))-AVERAGE(OFFSET($H$3,0,0,'Données projet'!$E$13+1,1))</f>
        <v>393.01180019332998</v>
      </c>
      <c r="CZ6" s="59">
        <f t="shared" si="42"/>
        <v>283.82782416294748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5.5909090909090908</v>
      </c>
      <c r="DO6" s="12">
        <f>IF('Données projet'!$A$166&gt;35,DO5+DN6-DW5,IF(A6&lt;'Données projet'!$A$166,$DL$205^A6,IF(A6='Données projet'!$A$166,'Données projet'!$B$166,DO5+DN6-DW5)))</f>
        <v>1.927467485460697</v>
      </c>
      <c r="DP6" s="17">
        <f>DO6*VLOOKUP('Données projet'!$B$14,Paramètres!$A$1:$I$89,3,0)*VLOOKUP('Données projet'!$B$14,Paramètres!$A$1:$I$89,5,0)</f>
        <v>1.152625556305497</v>
      </c>
      <c r="DQ6" s="13">
        <f t="shared" si="43"/>
        <v>0.52246812247269758</v>
      </c>
      <c r="DR6" s="20">
        <f t="shared" si="16"/>
        <v>2.9174548238720219</v>
      </c>
      <c r="DS6" s="59">
        <f t="shared" si="17"/>
        <v>263.25078815720536</v>
      </c>
      <c r="DT6" s="59">
        <f ca="1">AVERAGE(OFFSET($DS$3,0,0,'Données projet'!$E$14+1,1))-AVERAGE(OFFSET($H$3,0,0,'Données projet'!$E$14+1,1))</f>
        <v>393.01180019332998</v>
      </c>
      <c r="DU6" s="59">
        <f t="shared" si="44"/>
        <v>283.82782416294748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0.46176</v>
      </c>
      <c r="D7" s="11">
        <f t="shared" si="32"/>
        <v>0.23282537754307536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1.0723423372594847</v>
      </c>
      <c r="H7" s="67">
        <f t="shared" si="1"/>
        <v>257.87640286588754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7.9</v>
      </c>
      <c r="N7" s="13">
        <f>IF('Données projet'!$A$36&gt;35,N6+M7-V6,IF(A7&lt;'Données projet'!$A$36,$K$205^A7,IF(A7='Données projet'!$A$36,'Données projet'!$B$36,N6+M7-V6)))</f>
        <v>2.7525259203889356</v>
      </c>
      <c r="O7" s="13">
        <f>N7*VLOOKUP('Données projet'!$B$9,Paramètres!$A$1:$I$89,3,0)*VLOOKUP('Données projet'!$B$9,Paramètres!$A$1:$I$89,5,0)</f>
        <v>1.2881821307420218</v>
      </c>
      <c r="P7" s="13">
        <f t="shared" si="33"/>
        <v>0.57640532069082717</v>
      </c>
      <c r="Q7" s="20">
        <f t="shared" si="2"/>
        <v>3.2474898112455457</v>
      </c>
      <c r="R7" s="59">
        <f t="shared" si="0"/>
        <v>264.80304536680109</v>
      </c>
      <c r="S7" s="59">
        <f ca="1">AVERAGE(OFFSET($R$3,0,0,'Données projet'!$E$9+1,1))-AVERAGE(OFFSET($H$3,0,0,'Données projet'!$E$9+1,1))</f>
        <v>189.8770435341392</v>
      </c>
      <c r="T7" s="59">
        <f t="shared" si="34"/>
        <v>230.18380961122767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3.7676430000000005</v>
      </c>
      <c r="AI7" s="13">
        <f>IF('Données projet'!$A$62&gt;35,AI6+AH7-AQ6,IF(A7&lt;'Données projet'!$A$62,$AF$205^A7,IF(A7='Données projet'!$A$62,'Données projet'!$B$62,AI6+AH7-AQ6)))</f>
        <v>2.3736678529767485</v>
      </c>
      <c r="AJ7" s="13">
        <f>AI7*VLOOKUP('Données projet'!$B$10,Paramètres!$A$1:$I$89,3,0)*VLOOKUP('Données projet'!$B$10,Paramètres!$A$1:$I$89,5,0)</f>
        <v>1.049161191015723</v>
      </c>
      <c r="AK7" s="13">
        <f t="shared" si="35"/>
        <v>0.48080419499269134</v>
      </c>
      <c r="AL7" s="20">
        <f t="shared" si="4"/>
        <v>2.664689713964655</v>
      </c>
      <c r="AM7" s="59">
        <f t="shared" si="5"/>
        <v>264.22024526952021</v>
      </c>
      <c r="AN7" s="59">
        <f ca="1">AVERAGE(OFFSET($AM$3,0,0,'Données projet'!$E$10+1,1))-AVERAGE(OFFSET($H$3,0,0,'Données projet'!$E$10+1,1))</f>
        <v>207.77463758757142</v>
      </c>
      <c r="AO7" s="59">
        <f t="shared" si="36"/>
        <v>180.50802165484066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5.5909090909090908</v>
      </c>
      <c r="BD7" s="12">
        <f>IF('Données projet'!$A$88&gt;35,BD6+BC7-BL6,IF(A7&lt;'Données projet'!$A$88,$BA$205^A7,IF(A7='Données projet'!$A$88,'Données projet'!$B$88,BD6+BC7-BL6)))</f>
        <v>2.3987376266268075</v>
      </c>
      <c r="BE7" s="13">
        <f>BD7*VLOOKUP('Données projet'!$B$11,Paramètres!$A$1:$I$89,3,0)*VLOOKUP('Données projet'!$B$11,Paramètres!$A$1:$I$89,5,0)</f>
        <v>1.4344451007228309</v>
      </c>
      <c r="BF7" s="13">
        <f t="shared" si="37"/>
        <v>0.63386677286612625</v>
      </c>
      <c r="BG7" s="20">
        <f t="shared" si="7"/>
        <v>3.6023098465007668</v>
      </c>
      <c r="BH7" s="59">
        <f t="shared" si="8"/>
        <v>265.1578654020563</v>
      </c>
      <c r="BI7" s="59">
        <f ca="1">AVERAGE(OFFSET($BH$3,0,0,'Données projet'!$E$11+1,1))-AVERAGE(OFFSET($H$3,0,0,'Données projet'!$E$11+1,1))</f>
        <v>393.01180019332998</v>
      </c>
      <c r="BJ7" s="59">
        <f t="shared" si="38"/>
        <v>283.82782416294748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5.5909090909090908</v>
      </c>
      <c r="BY7" s="12">
        <f>IF('Données projet'!$A$114&gt;35,BY6+BX7-CG6,IF(A7&lt;'Données projet'!$A$114,$BV$205^A7,IF(A7='Données projet'!$A$114,'Données projet'!$B$114,BY6+BX7-CG6)))</f>
        <v>2.3987376266268075</v>
      </c>
      <c r="BZ7" s="13">
        <f>BY7*VLOOKUP('Données projet'!$B$12,Paramètres!$A$1:$I$89,3,0)*VLOOKUP('Données projet'!$B$12,Paramètres!$A$1:$I$89,5,0)</f>
        <v>1.4344451007228309</v>
      </c>
      <c r="CA7" s="13">
        <f t="shared" si="39"/>
        <v>0.63386677286612625</v>
      </c>
      <c r="CB7" s="20">
        <f t="shared" si="10"/>
        <v>3.6023098465007668</v>
      </c>
      <c r="CC7" s="59">
        <f t="shared" si="11"/>
        <v>265.1578654020563</v>
      </c>
      <c r="CD7" s="59">
        <f ca="1">AVERAGE(OFFSET($CC$3,0,0,'Données projet'!$E$12+1,1))-AVERAGE(OFFSET($H$3,0,0,'Données projet'!$E$12+1,1))</f>
        <v>393.01180019332998</v>
      </c>
      <c r="CE7" s="59">
        <f t="shared" si="40"/>
        <v>283.82782416294748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5.5909090909090908</v>
      </c>
      <c r="CT7" s="12">
        <f>IF('Données projet'!$A$140&gt;35,CT6+CS7-DB6,IF(A7&lt;'Données projet'!$A$140,$CQ$205^A7,IF(A7='Données projet'!$A$140,'Données projet'!$B$140,CT6+CS7-DB6)))</f>
        <v>2.3987376266268075</v>
      </c>
      <c r="CU7" s="17">
        <f>CT7*VLOOKUP('Données projet'!$B$13,Paramètres!$A$1:$I$89,3,0)*VLOOKUP('Données projet'!$B$13,Paramètres!$A$1:$I$89,5,0)</f>
        <v>1.4344451007228309</v>
      </c>
      <c r="CV7" s="13">
        <f t="shared" si="41"/>
        <v>0.63386677286612625</v>
      </c>
      <c r="CW7" s="20">
        <f t="shared" si="13"/>
        <v>3.6023098465007668</v>
      </c>
      <c r="CX7" s="59">
        <f t="shared" si="14"/>
        <v>265.1578654020563</v>
      </c>
      <c r="CY7" s="59">
        <f ca="1">AVERAGE(OFFSET($CX$3,0,0,'Données projet'!$E$13+1,1))-AVERAGE(OFFSET($H$3,0,0,'Données projet'!$E$13+1,1))</f>
        <v>393.01180019332998</v>
      </c>
      <c r="CZ7" s="59">
        <f t="shared" si="42"/>
        <v>283.82782416294748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5.5909090909090908</v>
      </c>
      <c r="DO7" s="12">
        <f>IF('Données projet'!$A$166&gt;35,DO6+DN7-DW6,IF(A7&lt;'Données projet'!$A$166,$DL$205^A7,IF(A7='Données projet'!$A$166,'Données projet'!$B$166,DO6+DN7-DW6)))</f>
        <v>2.3987376266268075</v>
      </c>
      <c r="DP7" s="17">
        <f>DO7*VLOOKUP('Données projet'!$B$14,Paramètres!$A$1:$I$89,3,0)*VLOOKUP('Données projet'!$B$14,Paramètres!$A$1:$I$89,5,0)</f>
        <v>1.4344451007228309</v>
      </c>
      <c r="DQ7" s="13">
        <f t="shared" si="43"/>
        <v>0.63386677286612625</v>
      </c>
      <c r="DR7" s="20">
        <f t="shared" si="16"/>
        <v>3.6023098465007668</v>
      </c>
      <c r="DS7" s="59">
        <f t="shared" si="17"/>
        <v>265.1578654020563</v>
      </c>
      <c r="DT7" s="59">
        <f ca="1">AVERAGE(OFFSET($DS$3,0,0,'Données projet'!$E$14+1,1))-AVERAGE(OFFSET($H$3,0,0,'Données projet'!$E$14+1,1))</f>
        <v>393.01180019332998</v>
      </c>
      <c r="DU7" s="59">
        <f t="shared" si="44"/>
        <v>283.82782416294748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0.57720000000000005</v>
      </c>
      <c r="D8" s="11">
        <f t="shared" si="32"/>
        <v>0.28356981728235242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1.3289077880850353</v>
      </c>
      <c r="H8" s="67">
        <f t="shared" si="1"/>
        <v>258.16584076510014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7.9</v>
      </c>
      <c r="N8" s="13">
        <f>IF('Données projet'!$A$36&gt;35,N7+M8-V7,IF(A8&lt;'Données projet'!$A$36,$K$205^A8,IF(A8='Données projet'!$A$36,'Données projet'!$B$36,N7+M8-V7)))</f>
        <v>3.5453920925585285</v>
      </c>
      <c r="O8" s="13">
        <f>N8*VLOOKUP('Données projet'!$B$9,Paramètres!$A$1:$I$89,3,0)*VLOOKUP('Données projet'!$B$9,Paramètres!$A$1:$I$89,5,0)</f>
        <v>1.6592434993173915</v>
      </c>
      <c r="P8" s="13">
        <f t="shared" si="33"/>
        <v>0.72088277944126433</v>
      </c>
      <c r="Q8" s="20">
        <f t="shared" si="2"/>
        <v>4.1453866021713255</v>
      </c>
      <c r="R8" s="59">
        <f t="shared" si="0"/>
        <v>266.92316437994907</v>
      </c>
      <c r="S8" s="59">
        <f ca="1">AVERAGE(OFFSET($R$3,0,0,'Données projet'!$E$9+1,1))-AVERAGE(OFFSET($H$3,0,0,'Données projet'!$E$9+1,1))</f>
        <v>189.8770435341392</v>
      </c>
      <c r="T8" s="59">
        <f t="shared" si="34"/>
        <v>230.18380961122767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3.7676430000000005</v>
      </c>
      <c r="AI8" s="13">
        <f>IF('Données projet'!$A$62&gt;35,AI7+AH8-AQ7,IF(A8&lt;'Données projet'!$A$62,$AF$205^A8,IF(A8='Données projet'!$A$62,'Données projet'!$B$62,AI7+AH8-AQ7)))</f>
        <v>2.9462862239861836</v>
      </c>
      <c r="AJ8" s="13">
        <f>AI8*VLOOKUP('Données projet'!$B$10,Paramètres!$A$1:$I$89,3,0)*VLOOKUP('Données projet'!$B$10,Paramètres!$A$1:$I$89,5,0)</f>
        <v>1.3022585110018934</v>
      </c>
      <c r="AK8" s="13">
        <f t="shared" si="35"/>
        <v>0.58196720869303964</v>
      </c>
      <c r="AL8" s="20">
        <f t="shared" si="4"/>
        <v>3.2816931284686746</v>
      </c>
      <c r="AM8" s="59">
        <f t="shared" si="5"/>
        <v>266.05947090624647</v>
      </c>
      <c r="AN8" s="59">
        <f ca="1">AVERAGE(OFFSET($AM$3,0,0,'Données projet'!$E$10+1,1))-AVERAGE(OFFSET($H$3,0,0,'Données projet'!$E$10+1,1))</f>
        <v>207.77463758757142</v>
      </c>
      <c r="AO8" s="59">
        <f t="shared" si="36"/>
        <v>180.50802165484066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5.5909090909090908</v>
      </c>
      <c r="BD8" s="12">
        <f>IF('Données projet'!$A$88&gt;35,BD7+BC8-BL7,IF(A8&lt;'Données projet'!$A$88,$BA$205^A8,IF(A8='Données projet'!$A$88,'Données projet'!$B$88,BD7+BC8-BL7)))</f>
        <v>2.9852343786852105</v>
      </c>
      <c r="BE8" s="13">
        <f>BD8*VLOOKUP('Données projet'!$B$11,Paramètres!$A$1:$I$89,3,0)*VLOOKUP('Données projet'!$B$11,Paramètres!$A$1:$I$89,5,0)</f>
        <v>1.785170158453756</v>
      </c>
      <c r="BF8" s="13">
        <f t="shared" si="37"/>
        <v>0.7690174164926461</v>
      </c>
      <c r="BG8" s="20">
        <f t="shared" si="7"/>
        <v>4.4485433596983173</v>
      </c>
      <c r="BH8" s="59">
        <f t="shared" si="8"/>
        <v>267.22632113747608</v>
      </c>
      <c r="BI8" s="59">
        <f ca="1">AVERAGE(OFFSET($BH$3,0,0,'Données projet'!$E$11+1,1))-AVERAGE(OFFSET($H$3,0,0,'Données projet'!$E$11+1,1))</f>
        <v>393.01180019332998</v>
      </c>
      <c r="BJ8" s="59">
        <f t="shared" si="38"/>
        <v>283.82782416294748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5.5909090909090908</v>
      </c>
      <c r="BY8" s="12">
        <f>IF('Données projet'!$A$114&gt;35,BY7+BX8-CG7,IF(A8&lt;'Données projet'!$A$114,$BV$205^A8,IF(A8='Données projet'!$A$114,'Données projet'!$B$114,BY7+BX8-CG7)))</f>
        <v>2.9852343786852105</v>
      </c>
      <c r="BZ8" s="13">
        <f>BY8*VLOOKUP('Données projet'!$B$12,Paramètres!$A$1:$I$89,3,0)*VLOOKUP('Données projet'!$B$12,Paramètres!$A$1:$I$89,5,0)</f>
        <v>1.785170158453756</v>
      </c>
      <c r="CA8" s="13">
        <f t="shared" si="39"/>
        <v>0.7690174164926461</v>
      </c>
      <c r="CB8" s="20">
        <f t="shared" si="10"/>
        <v>4.4485433596983173</v>
      </c>
      <c r="CC8" s="59">
        <f t="shared" si="11"/>
        <v>267.22632113747608</v>
      </c>
      <c r="CD8" s="59">
        <f ca="1">AVERAGE(OFFSET($CC$3,0,0,'Données projet'!$E$12+1,1))-AVERAGE(OFFSET($H$3,0,0,'Données projet'!$E$12+1,1))</f>
        <v>393.01180019332998</v>
      </c>
      <c r="CE8" s="59">
        <f t="shared" si="40"/>
        <v>283.82782416294748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5.5909090909090908</v>
      </c>
      <c r="CT8" s="12">
        <f>IF('Données projet'!$A$140&gt;35,CT7+CS8-DB7,IF(A8&lt;'Données projet'!$A$140,$CQ$205^A8,IF(A8='Données projet'!$A$140,'Données projet'!$B$140,CT7+CS8-DB7)))</f>
        <v>2.9852343786852105</v>
      </c>
      <c r="CU8" s="17">
        <f>CT8*VLOOKUP('Données projet'!$B$13,Paramètres!$A$1:$I$89,3,0)*VLOOKUP('Données projet'!$B$13,Paramètres!$A$1:$I$89,5,0)</f>
        <v>1.785170158453756</v>
      </c>
      <c r="CV8" s="13">
        <f t="shared" si="41"/>
        <v>0.7690174164926461</v>
      </c>
      <c r="CW8" s="20">
        <f t="shared" si="13"/>
        <v>4.4485433596983173</v>
      </c>
      <c r="CX8" s="59">
        <f t="shared" si="14"/>
        <v>267.22632113747608</v>
      </c>
      <c r="CY8" s="59">
        <f ca="1">AVERAGE(OFFSET($CX$3,0,0,'Données projet'!$E$13+1,1))-AVERAGE(OFFSET($H$3,0,0,'Données projet'!$E$13+1,1))</f>
        <v>393.01180019332998</v>
      </c>
      <c r="CZ8" s="59">
        <f t="shared" si="42"/>
        <v>283.82782416294748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5.5909090909090908</v>
      </c>
      <c r="DO8" s="12">
        <f>IF('Données projet'!$A$166&gt;35,DO7+DN8-DW7,IF(A8&lt;'Données projet'!$A$166,$DL$205^A8,IF(A8='Données projet'!$A$166,'Données projet'!$B$166,DO7+DN8-DW7)))</f>
        <v>2.9852343786852105</v>
      </c>
      <c r="DP8" s="17">
        <f>DO8*VLOOKUP('Données projet'!$B$14,Paramètres!$A$1:$I$89,3,0)*VLOOKUP('Données projet'!$B$14,Paramètres!$A$1:$I$89,5,0)</f>
        <v>1.785170158453756</v>
      </c>
      <c r="DQ8" s="13">
        <f t="shared" si="43"/>
        <v>0.7690174164926461</v>
      </c>
      <c r="DR8" s="20">
        <f t="shared" si="16"/>
        <v>4.4485433596983173</v>
      </c>
      <c r="DS8" s="59">
        <f t="shared" si="17"/>
        <v>267.22632113747608</v>
      </c>
      <c r="DT8" s="59">
        <f ca="1">AVERAGE(OFFSET($DS$3,0,0,'Données projet'!$E$14+1,1))-AVERAGE(OFFSET($H$3,0,0,'Données projet'!$E$14+1,1))</f>
        <v>393.01180019332998</v>
      </c>
      <c r="DU8" s="59">
        <f t="shared" si="44"/>
        <v>283.82782416294748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0.69264000000000003</v>
      </c>
      <c r="D9" s="11">
        <f t="shared" si="32"/>
        <v>0.33313829014877516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1.5836577111068808</v>
      </c>
      <c r="H9" s="67">
        <f t="shared" si="1"/>
        <v>258.45323052200911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7.9</v>
      </c>
      <c r="N9" s="13">
        <f>IF('Données projet'!$A$36&gt;35,N8+M9-V8,IF(A9&lt;'Données projet'!$A$36,$K$205^A9,IF(A9='Données projet'!$A$36,'Données projet'!$B$36,N8+M9-V8)))</f>
        <v>4.566643676946887</v>
      </c>
      <c r="O9" s="13">
        <f>N9*VLOOKUP('Données projet'!$B$9,Paramètres!$A$1:$I$89,3,0)*VLOOKUP('Données projet'!$B$9,Paramètres!$A$1:$I$89,5,0)</f>
        <v>2.1371892408111433</v>
      </c>
      <c r="P9" s="13">
        <f t="shared" si="33"/>
        <v>0.9015738804633705</v>
      </c>
      <c r="Q9" s="20">
        <f t="shared" si="2"/>
        <v>5.292512436219778</v>
      </c>
      <c r="R9" s="59">
        <f t="shared" si="0"/>
        <v>269.29251243621979</v>
      </c>
      <c r="S9" s="59">
        <f ca="1">AVERAGE(OFFSET($R$3,0,0,'Données projet'!$E$9+1,1))-AVERAGE(OFFSET($H$3,0,0,'Données projet'!$E$9+1,1))</f>
        <v>189.8770435341392</v>
      </c>
      <c r="T9" s="59">
        <f t="shared" si="34"/>
        <v>230.18380961122767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3.7676430000000005</v>
      </c>
      <c r="AI9" s="13">
        <f>IF('Données projet'!$A$62&gt;35,AI8+AH9-AQ8,IF(A9&lt;'Données projet'!$A$62,$AF$205^A9,IF(A9='Données projet'!$A$62,'Données projet'!$B$62,AI8+AH9-AQ8)))</f>
        <v>3.6570417814626714</v>
      </c>
      <c r="AJ9" s="13">
        <f>AI9*VLOOKUP('Données projet'!$B$10,Paramètres!$A$1:$I$89,3,0)*VLOOKUP('Données projet'!$B$10,Paramètres!$A$1:$I$89,5,0)</f>
        <v>1.616412467406501</v>
      </c>
      <c r="AK9" s="13">
        <f t="shared" si="35"/>
        <v>0.70441530153270859</v>
      </c>
      <c r="AL9" s="20">
        <f t="shared" si="4"/>
        <v>4.0421083642357898</v>
      </c>
      <c r="AM9" s="59">
        <f t="shared" si="5"/>
        <v>268.04210836423579</v>
      </c>
      <c r="AN9" s="59">
        <f ca="1">AVERAGE(OFFSET($AM$3,0,0,'Données projet'!$E$10+1,1))-AVERAGE(OFFSET($H$3,0,0,'Données projet'!$E$10+1,1))</f>
        <v>207.77463758757142</v>
      </c>
      <c r="AO9" s="59">
        <f t="shared" si="36"/>
        <v>180.50802165484066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5.5909090909090908</v>
      </c>
      <c r="BD9" s="12">
        <f>IF('Données projet'!$A$88&gt;35,BD8+BC9-BL8,IF(A9&lt;'Données projet'!$A$88,$BA$205^A9,IF(A9='Données projet'!$A$88,'Données projet'!$B$88,BD8+BC9-BL8)))</f>
        <v>3.7151309075081826</v>
      </c>
      <c r="BE9" s="13">
        <f>BD9*VLOOKUP('Données projet'!$B$11,Paramètres!$A$1:$I$89,3,0)*VLOOKUP('Données projet'!$B$11,Paramètres!$A$1:$I$89,5,0)</f>
        <v>2.2216482826898933</v>
      </c>
      <c r="BF9" s="13">
        <f t="shared" si="37"/>
        <v>0.93298436230530435</v>
      </c>
      <c r="BG9" s="20">
        <f t="shared" si="7"/>
        <v>5.4943185233666361</v>
      </c>
      <c r="BH9" s="59">
        <f t="shared" si="8"/>
        <v>269.49431852336664</v>
      </c>
      <c r="BI9" s="59">
        <f ca="1">AVERAGE(OFFSET($BH$3,0,0,'Données projet'!$E$11+1,1))-AVERAGE(OFFSET($H$3,0,0,'Données projet'!$E$11+1,1))</f>
        <v>393.01180019332998</v>
      </c>
      <c r="BJ9" s="59">
        <f t="shared" si="38"/>
        <v>283.82782416294748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5.5909090909090908</v>
      </c>
      <c r="BY9" s="12">
        <f>IF('Données projet'!$A$114&gt;35,BY8+BX9-CG8,IF(A9&lt;'Données projet'!$A$114,$BV$205^A9,IF(A9='Données projet'!$A$114,'Données projet'!$B$114,BY8+BX9-CG8)))</f>
        <v>3.7151309075081826</v>
      </c>
      <c r="BZ9" s="13">
        <f>BY9*VLOOKUP('Données projet'!$B$12,Paramètres!$A$1:$I$89,3,0)*VLOOKUP('Données projet'!$B$12,Paramètres!$A$1:$I$89,5,0)</f>
        <v>2.2216482826898933</v>
      </c>
      <c r="CA9" s="13">
        <f t="shared" si="39"/>
        <v>0.93298436230530435</v>
      </c>
      <c r="CB9" s="20">
        <f t="shared" si="10"/>
        <v>5.4943185233666361</v>
      </c>
      <c r="CC9" s="59">
        <f t="shared" si="11"/>
        <v>269.49431852336664</v>
      </c>
      <c r="CD9" s="59">
        <f ca="1">AVERAGE(OFFSET($CC$3,0,0,'Données projet'!$E$12+1,1))-AVERAGE(OFFSET($H$3,0,0,'Données projet'!$E$12+1,1))</f>
        <v>393.01180019332998</v>
      </c>
      <c r="CE9" s="59">
        <f t="shared" si="40"/>
        <v>283.82782416294748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5.5909090909090908</v>
      </c>
      <c r="CT9" s="12">
        <f>IF('Données projet'!$A$140&gt;35,CT8+CS9-DB8,IF(A9&lt;'Données projet'!$A$140,$CQ$205^A9,IF(A9='Données projet'!$A$140,'Données projet'!$B$140,CT8+CS9-DB8)))</f>
        <v>3.7151309075081826</v>
      </c>
      <c r="CU9" s="17">
        <f>CT9*VLOOKUP('Données projet'!$B$13,Paramètres!$A$1:$I$89,3,0)*VLOOKUP('Données projet'!$B$13,Paramètres!$A$1:$I$89,5,0)</f>
        <v>2.2216482826898933</v>
      </c>
      <c r="CV9" s="13">
        <f t="shared" si="41"/>
        <v>0.93298436230530435</v>
      </c>
      <c r="CW9" s="20">
        <f t="shared" si="13"/>
        <v>5.4943185233666361</v>
      </c>
      <c r="CX9" s="59">
        <f t="shared" si="14"/>
        <v>269.49431852336664</v>
      </c>
      <c r="CY9" s="59">
        <f ca="1">AVERAGE(OFFSET($CX$3,0,0,'Données projet'!$E$13+1,1))-AVERAGE(OFFSET($H$3,0,0,'Données projet'!$E$13+1,1))</f>
        <v>393.01180019332998</v>
      </c>
      <c r="CZ9" s="59">
        <f t="shared" si="42"/>
        <v>283.82782416294748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5.5909090909090908</v>
      </c>
      <c r="DO9" s="12">
        <f>IF('Données projet'!$A$166&gt;35,DO8+DN9-DW8,IF(A9&lt;'Données projet'!$A$166,$DL$205^A9,IF(A9='Données projet'!$A$166,'Données projet'!$B$166,DO8+DN9-DW8)))</f>
        <v>3.7151309075081826</v>
      </c>
      <c r="DP9" s="17">
        <f>DO9*VLOOKUP('Données projet'!$B$14,Paramètres!$A$1:$I$89,3,0)*VLOOKUP('Données projet'!$B$14,Paramètres!$A$1:$I$89,5,0)</f>
        <v>2.2216482826898933</v>
      </c>
      <c r="DQ9" s="13">
        <f t="shared" si="43"/>
        <v>0.93298436230530435</v>
      </c>
      <c r="DR9" s="20">
        <f t="shared" si="16"/>
        <v>5.4943185233666361</v>
      </c>
      <c r="DS9" s="59">
        <f t="shared" si="17"/>
        <v>269.49431852336664</v>
      </c>
      <c r="DT9" s="59">
        <f ca="1">AVERAGE(OFFSET($DS$3,0,0,'Données projet'!$E$14+1,1))-AVERAGE(OFFSET($H$3,0,0,'Données projet'!$E$14+1,1))</f>
        <v>393.01180019332998</v>
      </c>
      <c r="DU9" s="59">
        <f t="shared" si="44"/>
        <v>283.82782416294748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0.80808000000000002</v>
      </c>
      <c r="D10" s="11">
        <f t="shared" si="32"/>
        <v>0.38174972746948682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1.8369301055669272</v>
      </c>
      <c r="H10" s="67">
        <f t="shared" si="1"/>
        <v>258.73895344200935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7.9</v>
      </c>
      <c r="N10" s="13">
        <f>IF('Données projet'!$A$36&gt;35,N9+M10-V9,IF(A10&lt;'Données projet'!$A$36,$K$205^A10,IF(A10='Données projet'!$A$36,'Données projet'!$B$36,N9+M10-V9)))</f>
        <v>5.8820671812210037</v>
      </c>
      <c r="O10" s="13">
        <f>N10*VLOOKUP('Données projet'!$B$9,Paramètres!$A$1:$I$89,3,0)*VLOOKUP('Données projet'!$B$9,Paramètres!$A$1:$I$89,5,0)</f>
        <v>2.7528074408114294</v>
      </c>
      <c r="P10" s="13">
        <f t="shared" si="33"/>
        <v>1.1275556652411438</v>
      </c>
      <c r="Q10" s="20">
        <f t="shared" si="2"/>
        <v>6.7582990763748976</v>
      </c>
      <c r="R10" s="59">
        <f t="shared" si="0"/>
        <v>271.98052129859713</v>
      </c>
      <c r="S10" s="59">
        <f ca="1">AVERAGE(OFFSET($R$3,0,0,'Données projet'!$E$9+1,1))-AVERAGE(OFFSET($H$3,0,0,'Données projet'!$E$9+1,1))</f>
        <v>189.8770435341392</v>
      </c>
      <c r="T10" s="59">
        <f t="shared" si="34"/>
        <v>230.18380961122767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3.7676430000000005</v>
      </c>
      <c r="AI10" s="13">
        <f>IF('Données projet'!$A$62&gt;35,AI9+AH10-AQ9,IF(A10&lt;'Données projet'!$A$62,$AF$205^A10,IF(A10='Données projet'!$A$62,'Données projet'!$B$62,AI9+AH10-AQ9)))</f>
        <v>4.5392584340530746</v>
      </c>
      <c r="AJ10" s="13">
        <f>AI10*VLOOKUP('Données projet'!$B$10,Paramètres!$A$1:$I$89,3,0)*VLOOKUP('Données projet'!$B$10,Paramètres!$A$1:$I$89,5,0)</f>
        <v>2.0063522278514592</v>
      </c>
      <c r="AK10" s="13">
        <f t="shared" si="35"/>
        <v>0.85262693433839065</v>
      </c>
      <c r="AL10" s="20">
        <f t="shared" si="4"/>
        <v>4.9793887074806547</v>
      </c>
      <c r="AM10" s="59">
        <f t="shared" si="5"/>
        <v>270.20161092970289</v>
      </c>
      <c r="AN10" s="59">
        <f ca="1">AVERAGE(OFFSET($AM$3,0,0,'Données projet'!$E$10+1,1))-AVERAGE(OFFSET($H$3,0,0,'Données projet'!$E$10+1,1))</f>
        <v>207.77463758757142</v>
      </c>
      <c r="AO10" s="59">
        <f t="shared" si="36"/>
        <v>180.50802165484066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5.5909090909090908</v>
      </c>
      <c r="BD10" s="12">
        <f>IF('Données projet'!$A$88&gt;35,BD9+BC10-BL9,IF(A10&lt;'Données projet'!$A$88,$BA$205^A10,IF(A10='Données projet'!$A$88,'Données projet'!$B$88,BD9+BC10-BL9)))</f>
        <v>4.6234887814743333</v>
      </c>
      <c r="BE10" s="13">
        <f>BD10*VLOOKUP('Données projet'!$B$11,Paramètres!$A$1:$I$89,3,0)*VLOOKUP('Données projet'!$B$11,Paramètres!$A$1:$I$89,5,0)</f>
        <v>2.7648462913216516</v>
      </c>
      <c r="BF10" s="13">
        <f t="shared" si="37"/>
        <v>1.1319117118000401</v>
      </c>
      <c r="BG10" s="20">
        <f t="shared" si="7"/>
        <v>6.7868535221036126</v>
      </c>
      <c r="BH10" s="59">
        <f t="shared" si="8"/>
        <v>272.00907574432586</v>
      </c>
      <c r="BI10" s="59">
        <f ca="1">AVERAGE(OFFSET($BH$3,0,0,'Données projet'!$E$11+1,1))-AVERAGE(OFFSET($H$3,0,0,'Données projet'!$E$11+1,1))</f>
        <v>393.01180019332998</v>
      </c>
      <c r="BJ10" s="59">
        <f t="shared" si="38"/>
        <v>283.82782416294748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5.5909090909090908</v>
      </c>
      <c r="BY10" s="12">
        <f>IF('Données projet'!$A$114&gt;35,BY9+BX10-CG9,IF(A10&lt;'Données projet'!$A$114,$BV$205^A10,IF(A10='Données projet'!$A$114,'Données projet'!$B$114,BY9+BX10-CG9)))</f>
        <v>4.6234887814743333</v>
      </c>
      <c r="BZ10" s="13">
        <f>BY10*VLOOKUP('Données projet'!$B$12,Paramètres!$A$1:$I$89,3,0)*VLOOKUP('Données projet'!$B$12,Paramètres!$A$1:$I$89,5,0)</f>
        <v>2.7648462913216516</v>
      </c>
      <c r="CA10" s="13">
        <f t="shared" si="39"/>
        <v>1.1319117118000401</v>
      </c>
      <c r="CB10" s="20">
        <f t="shared" si="10"/>
        <v>6.7868535221036126</v>
      </c>
      <c r="CC10" s="59">
        <f t="shared" si="11"/>
        <v>272.00907574432586</v>
      </c>
      <c r="CD10" s="59">
        <f ca="1">AVERAGE(OFFSET($CC$3,0,0,'Données projet'!$E$12+1,1))-AVERAGE(OFFSET($H$3,0,0,'Données projet'!$E$12+1,1))</f>
        <v>393.01180019332998</v>
      </c>
      <c r="CE10" s="59">
        <f t="shared" si="40"/>
        <v>283.82782416294748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5.5909090909090908</v>
      </c>
      <c r="CT10" s="12">
        <f>IF('Données projet'!$A$140&gt;35,CT9+CS10-DB9,IF(A10&lt;'Données projet'!$A$140,$CQ$205^A10,IF(A10='Données projet'!$A$140,'Données projet'!$B$140,CT9+CS10-DB9)))</f>
        <v>4.6234887814743333</v>
      </c>
      <c r="CU10" s="17">
        <f>CT10*VLOOKUP('Données projet'!$B$13,Paramètres!$A$1:$I$89,3,0)*VLOOKUP('Données projet'!$B$13,Paramètres!$A$1:$I$89,5,0)</f>
        <v>2.7648462913216516</v>
      </c>
      <c r="CV10" s="13">
        <f t="shared" si="41"/>
        <v>1.1319117118000401</v>
      </c>
      <c r="CW10" s="20">
        <f t="shared" si="13"/>
        <v>6.7868535221036126</v>
      </c>
      <c r="CX10" s="59">
        <f t="shared" si="14"/>
        <v>272.00907574432586</v>
      </c>
      <c r="CY10" s="59">
        <f ca="1">AVERAGE(OFFSET($CX$3,0,0,'Données projet'!$E$13+1,1))-AVERAGE(OFFSET($H$3,0,0,'Données projet'!$E$13+1,1))</f>
        <v>393.01180019332998</v>
      </c>
      <c r="CZ10" s="59">
        <f t="shared" si="42"/>
        <v>283.82782416294748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5.5909090909090908</v>
      </c>
      <c r="DO10" s="12">
        <f>IF('Données projet'!$A$166&gt;35,DO9+DN10-DW9,IF(A10&lt;'Données projet'!$A$166,$DL$205^A10,IF(A10='Données projet'!$A$166,'Données projet'!$B$166,DO9+DN10-DW9)))</f>
        <v>4.6234887814743333</v>
      </c>
      <c r="DP10" s="17">
        <f>DO10*VLOOKUP('Données projet'!$B$14,Paramètres!$A$1:$I$89,3,0)*VLOOKUP('Données projet'!$B$14,Paramètres!$A$1:$I$89,5,0)</f>
        <v>2.7648462913216516</v>
      </c>
      <c r="DQ10" s="13">
        <f t="shared" si="43"/>
        <v>1.1319117118000401</v>
      </c>
      <c r="DR10" s="20">
        <f t="shared" si="16"/>
        <v>6.7868535221036126</v>
      </c>
      <c r="DS10" s="59">
        <f t="shared" si="17"/>
        <v>272.00907574432586</v>
      </c>
      <c r="DT10" s="59">
        <f ca="1">AVERAGE(OFFSET($DS$3,0,0,'Données projet'!$E$14+1,1))-AVERAGE(OFFSET($H$3,0,0,'Données projet'!$E$14+1,1))</f>
        <v>393.01180019332998</v>
      </c>
      <c r="DU10" s="59">
        <f t="shared" si="44"/>
        <v>283.82782416294748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0.92352000000000001</v>
      </c>
      <c r="D11" s="11">
        <f t="shared" si="32"/>
        <v>0.42955662355724622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2.088960401281363</v>
      </c>
      <c r="H11" s="67">
        <f t="shared" si="1"/>
        <v>259.02327511936221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7.9</v>
      </c>
      <c r="N11" s="13">
        <f>IF('Données projet'!$A$36&gt;35,N10+M11-V10,IF(A11&lt;'Données projet'!$A$36,$K$205^A11,IF(A11='Données projet'!$A$36,'Données projet'!$B$36,N10+M11-V10)))</f>
        <v>7.5763989424129567</v>
      </c>
      <c r="O11" s="13">
        <f>N11*VLOOKUP('Données projet'!$B$9,Paramètres!$A$1:$I$89,3,0)*VLOOKUP('Données projet'!$B$9,Paramètres!$A$1:$I$89,5,0)</f>
        <v>3.5457547050492639</v>
      </c>
      <c r="P11" s="13">
        <f t="shared" si="33"/>
        <v>1.4101803587787649</v>
      </c>
      <c r="Q11" s="20">
        <f t="shared" si="2"/>
        <v>8.631586902833817</v>
      </c>
      <c r="R11" s="59">
        <f t="shared" si="0"/>
        <v>275.07603134727827</v>
      </c>
      <c r="S11" s="59">
        <f ca="1">AVERAGE(OFFSET($R$3,0,0,'Données projet'!$E$9+1,1))-AVERAGE(OFFSET($H$3,0,0,'Données projet'!$E$9+1,1))</f>
        <v>189.8770435341392</v>
      </c>
      <c r="T11" s="59">
        <f t="shared" si="34"/>
        <v>230.18380961122767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3.7676430000000005</v>
      </c>
      <c r="AI11" s="13">
        <f>IF('Données projet'!$A$62&gt;35,AI10+AH11-AQ10,IF(A11&lt;'Données projet'!$A$62,$AF$205^A11,IF(A11='Données projet'!$A$62,'Données projet'!$B$62,AI10+AH11-AQ10)))</f>
        <v>5.634299076255247</v>
      </c>
      <c r="AJ11" s="13">
        <f>AI11*VLOOKUP('Données projet'!$B$10,Paramètres!$A$1:$I$89,3,0)*VLOOKUP('Données projet'!$B$10,Paramètres!$A$1:$I$89,5,0)</f>
        <v>2.4903601917048195</v>
      </c>
      <c r="AK11" s="13">
        <f t="shared" si="35"/>
        <v>1.0320228529640003</v>
      </c>
      <c r="AL11" s="20">
        <f t="shared" si="4"/>
        <v>6.1348171361315273</v>
      </c>
      <c r="AM11" s="59">
        <f t="shared" si="5"/>
        <v>272.57926158057597</v>
      </c>
      <c r="AN11" s="59">
        <f ca="1">AVERAGE(OFFSET($AM$3,0,0,'Données projet'!$E$10+1,1))-AVERAGE(OFFSET($H$3,0,0,'Données projet'!$E$10+1,1))</f>
        <v>207.77463758757142</v>
      </c>
      <c r="AO11" s="59">
        <f t="shared" si="36"/>
        <v>180.50802165484066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5.5909090909090908</v>
      </c>
      <c r="BD11" s="12">
        <f>IF('Données projet'!$A$88&gt;35,BD10+BC11-BL10,IF(A11&lt;'Données projet'!$A$88,$BA$205^A11,IF(A11='Données projet'!$A$88,'Données projet'!$B$88,BD10+BC11-BL10)))</f>
        <v>5.7539422013952093</v>
      </c>
      <c r="BE11" s="13">
        <f>BD11*VLOOKUP('Données projet'!$B$11,Paramètres!$A$1:$I$89,3,0)*VLOOKUP('Données projet'!$B$11,Paramètres!$A$1:$I$89,5,0)</f>
        <v>3.4408574364343356</v>
      </c>
      <c r="BF11" s="13">
        <f t="shared" si="37"/>
        <v>1.3732535882427113</v>
      </c>
      <c r="BG11" s="20">
        <f t="shared" si="7"/>
        <v>8.3845767013125236</v>
      </c>
      <c r="BH11" s="59">
        <f t="shared" si="8"/>
        <v>274.829021145757</v>
      </c>
      <c r="BI11" s="59">
        <f ca="1">AVERAGE(OFFSET($BH$3,0,0,'Données projet'!$E$11+1,1))-AVERAGE(OFFSET($H$3,0,0,'Données projet'!$E$11+1,1))</f>
        <v>393.01180019332998</v>
      </c>
      <c r="BJ11" s="59">
        <f t="shared" si="38"/>
        <v>283.82782416294748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5.5909090909090908</v>
      </c>
      <c r="BY11" s="12">
        <f>IF('Données projet'!$A$114&gt;35,BY10+BX11-CG10,IF(A11&lt;'Données projet'!$A$114,$BV$205^A11,IF(A11='Données projet'!$A$114,'Données projet'!$B$114,BY10+BX11-CG10)))</f>
        <v>5.7539422013952093</v>
      </c>
      <c r="BZ11" s="13">
        <f>BY11*VLOOKUP('Données projet'!$B$12,Paramètres!$A$1:$I$89,3,0)*VLOOKUP('Données projet'!$B$12,Paramètres!$A$1:$I$89,5,0)</f>
        <v>3.4408574364343356</v>
      </c>
      <c r="CA11" s="13">
        <f t="shared" si="39"/>
        <v>1.3732535882427113</v>
      </c>
      <c r="CB11" s="20">
        <f t="shared" si="10"/>
        <v>8.3845767013125236</v>
      </c>
      <c r="CC11" s="59">
        <f t="shared" si="11"/>
        <v>274.829021145757</v>
      </c>
      <c r="CD11" s="59">
        <f ca="1">AVERAGE(OFFSET($CC$3,0,0,'Données projet'!$E$12+1,1))-AVERAGE(OFFSET($H$3,0,0,'Données projet'!$E$12+1,1))</f>
        <v>393.01180019332998</v>
      </c>
      <c r="CE11" s="59">
        <f t="shared" si="40"/>
        <v>283.82782416294748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5.5909090909090908</v>
      </c>
      <c r="CT11" s="12">
        <f>IF('Données projet'!$A$140&gt;35,CT10+CS11-DB10,IF(A11&lt;'Données projet'!$A$140,$CQ$205^A11,IF(A11='Données projet'!$A$140,'Données projet'!$B$140,CT10+CS11-DB10)))</f>
        <v>5.7539422013952093</v>
      </c>
      <c r="CU11" s="17">
        <f>CT11*VLOOKUP('Données projet'!$B$13,Paramètres!$A$1:$I$89,3,0)*VLOOKUP('Données projet'!$B$13,Paramètres!$A$1:$I$89,5,0)</f>
        <v>3.4408574364343356</v>
      </c>
      <c r="CV11" s="13">
        <f t="shared" si="41"/>
        <v>1.3732535882427113</v>
      </c>
      <c r="CW11" s="20">
        <f t="shared" si="13"/>
        <v>8.3845767013125236</v>
      </c>
      <c r="CX11" s="59">
        <f t="shared" si="14"/>
        <v>274.829021145757</v>
      </c>
      <c r="CY11" s="59">
        <f ca="1">AVERAGE(OFFSET($CX$3,0,0,'Données projet'!$E$13+1,1))-AVERAGE(OFFSET($H$3,0,0,'Données projet'!$E$13+1,1))</f>
        <v>393.01180019332998</v>
      </c>
      <c r="CZ11" s="59">
        <f t="shared" si="42"/>
        <v>283.82782416294748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5.5909090909090908</v>
      </c>
      <c r="DO11" s="12">
        <f>IF('Données projet'!$A$166&gt;35,DO10+DN11-DW10,IF(A11&lt;'Données projet'!$A$166,$DL$205^A11,IF(A11='Données projet'!$A$166,'Données projet'!$B$166,DO10+DN11-DW10)))</f>
        <v>5.7539422013952093</v>
      </c>
      <c r="DP11" s="17">
        <f>DO11*VLOOKUP('Données projet'!$B$14,Paramètres!$A$1:$I$89,3,0)*VLOOKUP('Données projet'!$B$14,Paramètres!$A$1:$I$89,5,0)</f>
        <v>3.4408574364343356</v>
      </c>
      <c r="DQ11" s="13">
        <f t="shared" si="43"/>
        <v>1.3732535882427113</v>
      </c>
      <c r="DR11" s="20">
        <f t="shared" si="16"/>
        <v>8.3845767013125236</v>
      </c>
      <c r="DS11" s="59">
        <f t="shared" si="17"/>
        <v>274.829021145757</v>
      </c>
      <c r="DT11" s="59">
        <f ca="1">AVERAGE(OFFSET($DS$3,0,0,'Données projet'!$E$14+1,1))-AVERAGE(OFFSET($H$3,0,0,'Données projet'!$E$14+1,1))</f>
        <v>393.01180019332998</v>
      </c>
      <c r="DU11" s="59">
        <f t="shared" si="44"/>
        <v>283.82782416294748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1.0389600000000001</v>
      </c>
      <c r="D12" s="11">
        <f t="shared" si="32"/>
        <v>0.4766710636718145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2.3399216421599949</v>
      </c>
      <c r="H12" s="67">
        <f t="shared" si="1"/>
        <v>259.30639076922841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7.9</v>
      </c>
      <c r="N12" s="13">
        <f>IF('Données projet'!$A$36&gt;35,N11+M12-V11,IF(A12&lt;'Données projet'!$A$36,$K$205^A12,IF(A12='Données projet'!$A$36,'Données projet'!$B$36,N11+M12-V11)))</f>
        <v>9.7587836327093171</v>
      </c>
      <c r="O12" s="13">
        <f>N12*VLOOKUP('Données projet'!$B$9,Paramètres!$A$1:$I$89,3,0)*VLOOKUP('Données projet'!$B$9,Paramètres!$A$1:$I$89,5,0)</f>
        <v>4.5671107401079603</v>
      </c>
      <c r="P12" s="13">
        <f t="shared" si="33"/>
        <v>1.763645650133036</v>
      </c>
      <c r="Q12" s="20">
        <f t="shared" si="2"/>
        <v>11.026067379669733</v>
      </c>
      <c r="R12" s="59">
        <f t="shared" si="0"/>
        <v>278.6927340463364</v>
      </c>
      <c r="S12" s="59">
        <f ca="1">AVERAGE(OFFSET($R$3,0,0,'Données projet'!$E$9+1,1))-AVERAGE(OFFSET($H$3,0,0,'Données projet'!$E$9+1,1))</f>
        <v>189.8770435341392</v>
      </c>
      <c r="T12" s="59">
        <f t="shared" si="34"/>
        <v>230.18380961122767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3.7676430000000005</v>
      </c>
      <c r="AI12" s="13">
        <f>IF('Données projet'!$A$62&gt;35,AI11+AH12-AQ11,IF(A12&lt;'Données projet'!$A$62,$AF$205^A12,IF(A12='Données projet'!$A$62,'Données projet'!$B$62,AI11+AH12-AQ11)))</f>
        <v>6.9935048955442554</v>
      </c>
      <c r="AJ12" s="13">
        <f>AI12*VLOOKUP('Données projet'!$B$10,Paramètres!$A$1:$I$89,3,0)*VLOOKUP('Données projet'!$B$10,Paramètres!$A$1:$I$89,5,0)</f>
        <v>3.0911291638305616</v>
      </c>
      <c r="AK12" s="13">
        <f t="shared" si="35"/>
        <v>1.2491643486097628</v>
      </c>
      <c r="AL12" s="20">
        <f t="shared" si="4"/>
        <v>7.5593445341668968</v>
      </c>
      <c r="AM12" s="59">
        <f t="shared" si="5"/>
        <v>275.22601120083357</v>
      </c>
      <c r="AN12" s="59">
        <f ca="1">AVERAGE(OFFSET($AM$3,0,0,'Données projet'!$E$10+1,1))-AVERAGE(OFFSET($H$3,0,0,'Données projet'!$E$10+1,1))</f>
        <v>207.77463758757142</v>
      </c>
      <c r="AO12" s="59">
        <f t="shared" si="36"/>
        <v>180.50802165484066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5.5909090909090908</v>
      </c>
      <c r="BD12" s="12">
        <f>IF('Données projet'!$A$88&gt;35,BD11+BC12-BL11,IF(A12&lt;'Données projet'!$A$88,$BA$205^A12,IF(A12='Données projet'!$A$88,'Données projet'!$B$88,BD11+BC12-BL11)))</f>
        <v>7.1607940284521145</v>
      </c>
      <c r="BE12" s="13">
        <f>BD12*VLOOKUP('Données projet'!$B$11,Paramètres!$A$1:$I$89,3,0)*VLOOKUP('Données projet'!$B$11,Paramètres!$A$1:$I$89,5,0)</f>
        <v>4.2821548290143649</v>
      </c>
      <c r="BF12" s="13">
        <f t="shared" si="37"/>
        <v>1.6660534544894132</v>
      </c>
      <c r="BG12" s="20">
        <f t="shared" si="7"/>
        <v>10.359796093769079</v>
      </c>
      <c r="BH12" s="59">
        <f t="shared" si="8"/>
        <v>278.02646276043578</v>
      </c>
      <c r="BI12" s="59">
        <f ca="1">AVERAGE(OFFSET($BH$3,0,0,'Données projet'!$E$11+1,1))-AVERAGE(OFFSET($H$3,0,0,'Données projet'!$E$11+1,1))</f>
        <v>393.01180019332998</v>
      </c>
      <c r="BJ12" s="59">
        <f t="shared" si="38"/>
        <v>283.82782416294748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5.5909090909090908</v>
      </c>
      <c r="BY12" s="12">
        <f>IF('Données projet'!$A$114&gt;35,BY11+BX12-CG11,IF(A12&lt;'Données projet'!$A$114,$BV$205^A12,IF(A12='Données projet'!$A$114,'Données projet'!$B$114,BY11+BX12-CG11)))</f>
        <v>7.1607940284521145</v>
      </c>
      <c r="BZ12" s="13">
        <f>BY12*VLOOKUP('Données projet'!$B$12,Paramètres!$A$1:$I$89,3,0)*VLOOKUP('Données projet'!$B$12,Paramètres!$A$1:$I$89,5,0)</f>
        <v>4.2821548290143649</v>
      </c>
      <c r="CA12" s="13">
        <f t="shared" si="39"/>
        <v>1.6660534544894132</v>
      </c>
      <c r="CB12" s="20">
        <f t="shared" si="10"/>
        <v>10.359796093769079</v>
      </c>
      <c r="CC12" s="59">
        <f t="shared" si="11"/>
        <v>278.02646276043578</v>
      </c>
      <c r="CD12" s="59">
        <f ca="1">AVERAGE(OFFSET($CC$3,0,0,'Données projet'!$E$12+1,1))-AVERAGE(OFFSET($H$3,0,0,'Données projet'!$E$12+1,1))</f>
        <v>393.01180019332998</v>
      </c>
      <c r="CE12" s="59">
        <f t="shared" si="40"/>
        <v>283.82782416294748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5.5909090909090908</v>
      </c>
      <c r="CT12" s="12">
        <f>IF('Données projet'!$A$140&gt;35,CT11+CS12-DB11,IF(A12&lt;'Données projet'!$A$140,$CQ$205^A12,IF(A12='Données projet'!$A$140,'Données projet'!$B$140,CT11+CS12-DB11)))</f>
        <v>7.1607940284521145</v>
      </c>
      <c r="CU12" s="17">
        <f>CT12*VLOOKUP('Données projet'!$B$13,Paramètres!$A$1:$I$89,3,0)*VLOOKUP('Données projet'!$B$13,Paramètres!$A$1:$I$89,5,0)</f>
        <v>4.2821548290143649</v>
      </c>
      <c r="CV12" s="13">
        <f t="shared" si="41"/>
        <v>1.6660534544894132</v>
      </c>
      <c r="CW12" s="20">
        <f t="shared" si="13"/>
        <v>10.359796093769079</v>
      </c>
      <c r="CX12" s="59">
        <f t="shared" si="14"/>
        <v>278.02646276043578</v>
      </c>
      <c r="CY12" s="59">
        <f ca="1">AVERAGE(OFFSET($CX$3,0,0,'Données projet'!$E$13+1,1))-AVERAGE(OFFSET($H$3,0,0,'Données projet'!$E$13+1,1))</f>
        <v>393.01180019332998</v>
      </c>
      <c r="CZ12" s="59">
        <f t="shared" si="42"/>
        <v>283.82782416294748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5.5909090909090908</v>
      </c>
      <c r="DO12" s="12">
        <f>IF('Données projet'!$A$166&gt;35,DO11+DN12-DW11,IF(A12&lt;'Données projet'!$A$166,$DL$205^A12,IF(A12='Données projet'!$A$166,'Données projet'!$B$166,DO11+DN12-DW11)))</f>
        <v>7.1607940284521145</v>
      </c>
      <c r="DP12" s="17">
        <f>DO12*VLOOKUP('Données projet'!$B$14,Paramètres!$A$1:$I$89,3,0)*VLOOKUP('Données projet'!$B$14,Paramètres!$A$1:$I$89,5,0)</f>
        <v>4.2821548290143649</v>
      </c>
      <c r="DQ12" s="13">
        <f t="shared" si="43"/>
        <v>1.6660534544894132</v>
      </c>
      <c r="DR12" s="20">
        <f t="shared" si="16"/>
        <v>10.359796093769079</v>
      </c>
      <c r="DS12" s="59">
        <f t="shared" si="17"/>
        <v>278.02646276043578</v>
      </c>
      <c r="DT12" s="59">
        <f ca="1">AVERAGE(OFFSET($DS$3,0,0,'Données projet'!$E$14+1,1))-AVERAGE(OFFSET($H$3,0,0,'Données projet'!$E$14+1,1))</f>
        <v>393.01180019332998</v>
      </c>
      <c r="DU12" s="59">
        <f t="shared" si="44"/>
        <v>283.82782416294748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1.1544000000000001</v>
      </c>
      <c r="D13" s="11">
        <f t="shared" si="32"/>
        <v>0.52317876401603369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2.5899461619896669</v>
      </c>
      <c r="H13" s="67">
        <f t="shared" si="1"/>
        <v>259.58844968066126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7.9</v>
      </c>
      <c r="N13" s="13">
        <f>IF('Données projet'!$A$36&gt;35,N12+M13-V12,IF(A13&lt;'Données projet'!$A$36,$K$205^A13,IF(A13='Données projet'!$A$36,'Données projet'!$B$36,N12+M13-V12)))</f>
        <v>12.569805089976542</v>
      </c>
      <c r="O13" s="13">
        <f>N13*VLOOKUP('Données projet'!$B$9,Paramètres!$A$1:$I$89,3,0)*VLOOKUP('Données projet'!$B$9,Paramètres!$A$1:$I$89,5,0)</f>
        <v>5.8826687821090227</v>
      </c>
      <c r="P13" s="13">
        <f t="shared" si="33"/>
        <v>2.2057079152108381</v>
      </c>
      <c r="Q13" s="20">
        <f t="shared" si="2"/>
        <v>14.087256081165423</v>
      </c>
      <c r="R13" s="59">
        <f t="shared" si="0"/>
        <v>282.97614497005429</v>
      </c>
      <c r="S13" s="59">
        <f ca="1">AVERAGE(OFFSET($R$3,0,0,'Données projet'!$E$9+1,1))-AVERAGE(OFFSET($H$3,0,0,'Données projet'!$E$9+1,1))</f>
        <v>189.8770435341392</v>
      </c>
      <c r="T13" s="59">
        <f t="shared" si="34"/>
        <v>230.18380961122767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3.7676430000000005</v>
      </c>
      <c r="AI13" s="13">
        <f>IF('Données projet'!$A$62&gt;35,AI12+AH13-AQ12,IF(A13&lt;'Données projet'!$A$62,$AF$205^A13,IF(A13='Données projet'!$A$62,'Données projet'!$B$62,AI12+AH13-AQ12)))</f>
        <v>8.6806025136507632</v>
      </c>
      <c r="AJ13" s="13">
        <f>AI13*VLOOKUP('Données projet'!$B$10,Paramètres!$A$1:$I$89,3,0)*VLOOKUP('Données projet'!$B$10,Paramètres!$A$1:$I$89,5,0)</f>
        <v>3.8368263110336378</v>
      </c>
      <c r="AK13" s="13">
        <f t="shared" si="35"/>
        <v>1.5119932328592374</v>
      </c>
      <c r="AL13" s="20">
        <f t="shared" si="4"/>
        <v>9.3158607056134244</v>
      </c>
      <c r="AM13" s="59">
        <f t="shared" si="5"/>
        <v>278.20474959450229</v>
      </c>
      <c r="AN13" s="59">
        <f ca="1">AVERAGE(OFFSET($AM$3,0,0,'Données projet'!$E$10+1,1))-AVERAGE(OFFSET($H$3,0,0,'Données projet'!$E$10+1,1))</f>
        <v>207.77463758757142</v>
      </c>
      <c r="AO13" s="59">
        <f t="shared" si="36"/>
        <v>180.50802165484066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5.5909090909090908</v>
      </c>
      <c r="BD13" s="12">
        <f>IF('Données projet'!$A$88&gt;35,BD12+BC13-BL12,IF(A13&lt;'Données projet'!$A$88,$BA$205^A13,IF(A13='Données projet'!$A$88,'Données projet'!$B$88,BD12+BC13-BL12)))</f>
        <v>8.9116242956840761</v>
      </c>
      <c r="BE13" s="13">
        <f>BD13*VLOOKUP('Données projet'!$B$11,Paramètres!$A$1:$I$89,3,0)*VLOOKUP('Données projet'!$B$11,Paramètres!$A$1:$I$89,5,0)</f>
        <v>5.3291513288190782</v>
      </c>
      <c r="BF13" s="13">
        <f t="shared" si="37"/>
        <v>2.0212829858817885</v>
      </c>
      <c r="BG13" s="20">
        <f t="shared" si="7"/>
        <v>12.802006431437341</v>
      </c>
      <c r="BH13" s="59">
        <f t="shared" si="8"/>
        <v>281.69089532032621</v>
      </c>
      <c r="BI13" s="59">
        <f ca="1">AVERAGE(OFFSET($BH$3,0,0,'Données projet'!$E$11+1,1))-AVERAGE(OFFSET($H$3,0,0,'Données projet'!$E$11+1,1))</f>
        <v>393.01180019332998</v>
      </c>
      <c r="BJ13" s="59">
        <f t="shared" si="38"/>
        <v>283.82782416294748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5.5909090909090908</v>
      </c>
      <c r="BY13" s="12">
        <f>IF('Données projet'!$A$114&gt;35,BY12+BX13-CG12,IF(A13&lt;'Données projet'!$A$114,$BV$205^A13,IF(A13='Données projet'!$A$114,'Données projet'!$B$114,BY12+BX13-CG12)))</f>
        <v>8.9116242956840761</v>
      </c>
      <c r="BZ13" s="13">
        <f>BY13*VLOOKUP('Données projet'!$B$12,Paramètres!$A$1:$I$89,3,0)*VLOOKUP('Données projet'!$B$12,Paramètres!$A$1:$I$89,5,0)</f>
        <v>5.3291513288190782</v>
      </c>
      <c r="CA13" s="13">
        <f t="shared" si="39"/>
        <v>2.0212829858817885</v>
      </c>
      <c r="CB13" s="20">
        <f t="shared" si="10"/>
        <v>12.802006431437341</v>
      </c>
      <c r="CC13" s="59">
        <f t="shared" si="11"/>
        <v>281.69089532032621</v>
      </c>
      <c r="CD13" s="59">
        <f ca="1">AVERAGE(OFFSET($CC$3,0,0,'Données projet'!$E$12+1,1))-AVERAGE(OFFSET($H$3,0,0,'Données projet'!$E$12+1,1))</f>
        <v>393.01180019332998</v>
      </c>
      <c r="CE13" s="59">
        <f t="shared" si="40"/>
        <v>283.82782416294748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5.5909090909090908</v>
      </c>
      <c r="CT13" s="12">
        <f>IF('Données projet'!$A$140&gt;35,CT12+CS13-DB12,IF(A13&lt;'Données projet'!$A$140,$CQ$205^A13,IF(A13='Données projet'!$A$140,'Données projet'!$B$140,CT12+CS13-DB12)))</f>
        <v>8.9116242956840761</v>
      </c>
      <c r="CU13" s="17">
        <f>CT13*VLOOKUP('Données projet'!$B$13,Paramètres!$A$1:$I$89,3,0)*VLOOKUP('Données projet'!$B$13,Paramètres!$A$1:$I$89,5,0)</f>
        <v>5.3291513288190782</v>
      </c>
      <c r="CV13" s="13">
        <f t="shared" si="41"/>
        <v>2.0212829858817885</v>
      </c>
      <c r="CW13" s="20">
        <f t="shared" si="13"/>
        <v>12.802006431437341</v>
      </c>
      <c r="CX13" s="59">
        <f t="shared" si="14"/>
        <v>281.69089532032621</v>
      </c>
      <c r="CY13" s="59">
        <f ca="1">AVERAGE(OFFSET($CX$3,0,0,'Données projet'!$E$13+1,1))-AVERAGE(OFFSET($H$3,0,0,'Données projet'!$E$13+1,1))</f>
        <v>393.01180019332998</v>
      </c>
      <c r="CZ13" s="59">
        <f t="shared" si="42"/>
        <v>283.82782416294748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5.5909090909090908</v>
      </c>
      <c r="DO13" s="12">
        <f>IF('Données projet'!$A$166&gt;35,DO12+DN13-DW12,IF(A13&lt;'Données projet'!$A$166,$DL$205^A13,IF(A13='Données projet'!$A$166,'Données projet'!$B$166,DO12+DN13-DW12)))</f>
        <v>8.9116242956840761</v>
      </c>
      <c r="DP13" s="17">
        <f>DO13*VLOOKUP('Données projet'!$B$14,Paramètres!$A$1:$I$89,3,0)*VLOOKUP('Données projet'!$B$14,Paramètres!$A$1:$I$89,5,0)</f>
        <v>5.3291513288190782</v>
      </c>
      <c r="DQ13" s="13">
        <f t="shared" si="43"/>
        <v>2.0212829858817885</v>
      </c>
      <c r="DR13" s="20">
        <f t="shared" si="16"/>
        <v>12.802006431437341</v>
      </c>
      <c r="DS13" s="59">
        <f t="shared" si="17"/>
        <v>281.69089532032621</v>
      </c>
      <c r="DT13" s="59">
        <f ca="1">AVERAGE(OFFSET($DS$3,0,0,'Données projet'!$E$14+1,1))-AVERAGE(OFFSET($H$3,0,0,'Données projet'!$E$14+1,1))</f>
        <v>393.01180019332998</v>
      </c>
      <c r="DU13" s="59">
        <f t="shared" si="44"/>
        <v>283.82782416294748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1.2698400000000001</v>
      </c>
      <c r="D14" s="11">
        <f t="shared" si="32"/>
        <v>0.56914730551866399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2.8391382962393412</v>
      </c>
      <c r="H14" s="67">
        <f t="shared" si="1"/>
        <v>259.86956955711167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7.9</v>
      </c>
      <c r="N14" s="13">
        <f>IF('Données projet'!$A$36&gt;35,N13+M14-V13,IF(A14&lt;'Données projet'!$A$36,$K$205^A14,IF(A14='Données projet'!$A$36,'Données projet'!$B$36,N13+M14-V13)))</f>
        <v>16.190542381779895</v>
      </c>
      <c r="O14" s="13">
        <f>N14*VLOOKUP('Données projet'!$B$9,Paramètres!$A$1:$I$89,3,0)*VLOOKUP('Données projet'!$B$9,Paramètres!$A$1:$I$89,5,0)</f>
        <v>7.5771738346729904</v>
      </c>
      <c r="P14" s="13">
        <f t="shared" si="33"/>
        <v>2.7585742106736397</v>
      </c>
      <c r="Q14" s="20">
        <f t="shared" si="2"/>
        <v>18.001427845645381</v>
      </c>
      <c r="R14" s="59">
        <f t="shared" si="0"/>
        <v>288.11253895675651</v>
      </c>
      <c r="S14" s="59">
        <f ca="1">AVERAGE(OFFSET($R$3,0,0,'Données projet'!$E$9+1,1))-AVERAGE(OFFSET($H$3,0,0,'Données projet'!$E$9+1,1))</f>
        <v>189.8770435341392</v>
      </c>
      <c r="T14" s="59">
        <f t="shared" si="34"/>
        <v>230.18380961122767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3.7676430000000005</v>
      </c>
      <c r="AI14" s="13">
        <f>IF('Données projet'!$A$62&gt;35,AI13+AH14-AQ13,IF(A14&lt;'Données projet'!$A$62,$AF$205^A14,IF(A14='Données projet'!$A$62,'Données projet'!$B$62,AI13+AH14-AQ13)))</f>
        <v>10.774691821265359</v>
      </c>
      <c r="AJ14" s="13">
        <f>AI14*VLOOKUP('Données projet'!$B$10,Paramètres!$A$1:$I$89,3,0)*VLOOKUP('Données projet'!$B$10,Paramètres!$A$1:$I$89,5,0)</f>
        <v>4.7624137849992891</v>
      </c>
      <c r="AK14" s="13">
        <f t="shared" si="35"/>
        <v>1.8301223043680626</v>
      </c>
      <c r="AL14" s="20">
        <f t="shared" si="4"/>
        <v>11.482000355648138</v>
      </c>
      <c r="AM14" s="59">
        <f t="shared" si="5"/>
        <v>281.5931114667593</v>
      </c>
      <c r="AN14" s="59">
        <f ca="1">AVERAGE(OFFSET($AM$3,0,0,'Données projet'!$E$10+1,1))-AVERAGE(OFFSET($H$3,0,0,'Données projet'!$E$10+1,1))</f>
        <v>207.77463758757142</v>
      </c>
      <c r="AO14" s="59">
        <f t="shared" si="36"/>
        <v>180.50802165484066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5.5909090909090908</v>
      </c>
      <c r="BD14" s="12">
        <f>IF('Données projet'!$A$88&gt;35,BD13+BC14-BL13,IF(A14&lt;'Données projet'!$A$88,$BA$205^A14,IF(A14='Données projet'!$A$88,'Données projet'!$B$88,BD13+BC14-BL13)))</f>
        <v>11.090536506409412</v>
      </c>
      <c r="BE14" s="13">
        <f>BD14*VLOOKUP('Données projet'!$B$11,Paramètres!$A$1:$I$89,3,0)*VLOOKUP('Données projet'!$B$11,Paramètres!$A$1:$I$89,5,0)</f>
        <v>6.6321408308328289</v>
      </c>
      <c r="BF14" s="13">
        <f t="shared" si="37"/>
        <v>2.4522531963221348</v>
      </c>
      <c r="BG14" s="20">
        <f t="shared" si="7"/>
        <v>15.821986263961561</v>
      </c>
      <c r="BH14" s="59">
        <f t="shared" si="8"/>
        <v>285.93309737507269</v>
      </c>
      <c r="BI14" s="59">
        <f ca="1">AVERAGE(OFFSET($BH$3,0,0,'Données projet'!$E$11+1,1))-AVERAGE(OFFSET($H$3,0,0,'Données projet'!$E$11+1,1))</f>
        <v>393.01180019332998</v>
      </c>
      <c r="BJ14" s="59">
        <f t="shared" si="38"/>
        <v>283.82782416294748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5.5909090909090908</v>
      </c>
      <c r="BY14" s="12">
        <f>IF('Données projet'!$A$114&gt;35,BY13+BX14-CG13,IF(A14&lt;'Données projet'!$A$114,$BV$205^A14,IF(A14='Données projet'!$A$114,'Données projet'!$B$114,BY13+BX14-CG13)))</f>
        <v>11.090536506409412</v>
      </c>
      <c r="BZ14" s="13">
        <f>BY14*VLOOKUP('Données projet'!$B$12,Paramètres!$A$1:$I$89,3,0)*VLOOKUP('Données projet'!$B$12,Paramètres!$A$1:$I$89,5,0)</f>
        <v>6.6321408308328289</v>
      </c>
      <c r="CA14" s="13">
        <f t="shared" si="39"/>
        <v>2.4522531963221348</v>
      </c>
      <c r="CB14" s="20">
        <f t="shared" si="10"/>
        <v>15.821986263961561</v>
      </c>
      <c r="CC14" s="59">
        <f t="shared" si="11"/>
        <v>285.93309737507269</v>
      </c>
      <c r="CD14" s="59">
        <f ca="1">AVERAGE(OFFSET($CC$3,0,0,'Données projet'!$E$12+1,1))-AVERAGE(OFFSET($H$3,0,0,'Données projet'!$E$12+1,1))</f>
        <v>393.01180019332998</v>
      </c>
      <c r="CE14" s="59">
        <f t="shared" si="40"/>
        <v>283.82782416294748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5.5909090909090908</v>
      </c>
      <c r="CT14" s="12">
        <f>IF('Données projet'!$A$140&gt;35,CT13+CS14-DB13,IF(A14&lt;'Données projet'!$A$140,$CQ$205^A14,IF(A14='Données projet'!$A$140,'Données projet'!$B$140,CT13+CS14-DB13)))</f>
        <v>11.090536506409412</v>
      </c>
      <c r="CU14" s="17">
        <f>CT14*VLOOKUP('Données projet'!$B$13,Paramètres!$A$1:$I$89,3,0)*VLOOKUP('Données projet'!$B$13,Paramètres!$A$1:$I$89,5,0)</f>
        <v>6.6321408308328289</v>
      </c>
      <c r="CV14" s="13">
        <f t="shared" si="41"/>
        <v>2.4522531963221348</v>
      </c>
      <c r="CW14" s="20">
        <f t="shared" si="13"/>
        <v>15.821986263961561</v>
      </c>
      <c r="CX14" s="59">
        <f t="shared" si="14"/>
        <v>285.93309737507269</v>
      </c>
      <c r="CY14" s="59">
        <f ca="1">AVERAGE(OFFSET($CX$3,0,0,'Données projet'!$E$13+1,1))-AVERAGE(OFFSET($H$3,0,0,'Données projet'!$E$13+1,1))</f>
        <v>393.01180019332998</v>
      </c>
      <c r="CZ14" s="59">
        <f t="shared" si="42"/>
        <v>283.82782416294748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5.5909090909090908</v>
      </c>
      <c r="DO14" s="12">
        <f>IF('Données projet'!$A$166&gt;35,DO13+DN14-DW13,IF(A14&lt;'Données projet'!$A$166,$DL$205^A14,IF(A14='Données projet'!$A$166,'Données projet'!$B$166,DO13+DN14-DW13)))</f>
        <v>11.090536506409412</v>
      </c>
      <c r="DP14" s="17">
        <f>DO14*VLOOKUP('Données projet'!$B$14,Paramètres!$A$1:$I$89,3,0)*VLOOKUP('Données projet'!$B$14,Paramètres!$A$1:$I$89,5,0)</f>
        <v>6.6321408308328289</v>
      </c>
      <c r="DQ14" s="13">
        <f t="shared" si="43"/>
        <v>2.4522531963221348</v>
      </c>
      <c r="DR14" s="20">
        <f t="shared" si="16"/>
        <v>15.821986263961561</v>
      </c>
      <c r="DS14" s="59">
        <f t="shared" si="17"/>
        <v>285.93309737507269</v>
      </c>
      <c r="DT14" s="59">
        <f ca="1">AVERAGE(OFFSET($DS$3,0,0,'Données projet'!$E$14+1,1))-AVERAGE(OFFSET($H$3,0,0,'Données projet'!$E$14+1,1))</f>
        <v>393.01180019332998</v>
      </c>
      <c r="DU14" s="59">
        <f t="shared" si="44"/>
        <v>283.82782416294748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1.3852800000000001</v>
      </c>
      <c r="D15" s="11">
        <f t="shared" si="32"/>
        <v>0.61463127689964392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3.0875823222310292</v>
      </c>
      <c r="H15" s="67">
        <f t="shared" si="1"/>
        <v>260.14984547393357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7.9</v>
      </c>
      <c r="N15" s="13">
        <f>IF('Données projet'!$A$36&gt;35,N14+M15-V14,IF(A15&lt;'Données projet'!$A$36,$K$205^A15,IF(A15='Données projet'!$A$36,'Données projet'!$B$36,N14+M15-V14)))</f>
        <v>20.854234472198982</v>
      </c>
      <c r="O15" s="13">
        <f>N15*VLOOKUP('Données projet'!$B$9,Paramètres!$A$1:$I$89,3,0)*VLOOKUP('Données projet'!$B$9,Paramètres!$A$1:$I$89,5,0)</f>
        <v>9.7597817329891239</v>
      </c>
      <c r="P15" s="13">
        <f t="shared" si="33"/>
        <v>3.4500178483814818</v>
      </c>
      <c r="Q15" s="20">
        <f t="shared" si="2"/>
        <v>23.00706760422047</v>
      </c>
      <c r="R15" s="59">
        <f t="shared" si="0"/>
        <v>294.3404009375538</v>
      </c>
      <c r="S15" s="59">
        <f ca="1">AVERAGE(OFFSET($R$3,0,0,'Données projet'!$E$9+1,1))-AVERAGE(OFFSET($H$3,0,0,'Données projet'!$E$9+1,1))</f>
        <v>189.8770435341392</v>
      </c>
      <c r="T15" s="59">
        <f t="shared" si="34"/>
        <v>230.18380961122767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3.7676430000000005</v>
      </c>
      <c r="AI15" s="13">
        <f>IF('Données projet'!$A$62&gt;35,AI14+AH15-AQ14,IF(A15&lt;'Données projet'!$A$62,$AF$205^A15,IF(A15='Données projet'!$A$62,'Données projet'!$B$62,AI14+AH15-AQ14)))</f>
        <v>13.37395459136367</v>
      </c>
      <c r="AJ15" s="13">
        <f>AI15*VLOOKUP('Données projet'!$B$10,Paramètres!$A$1:$I$89,3,0)*VLOOKUP('Données projet'!$B$10,Paramètres!$A$1:$I$89,5,0)</f>
        <v>5.9112879293827429</v>
      </c>
      <c r="AK15" s="13">
        <f t="shared" si="35"/>
        <v>2.2151869308381245</v>
      </c>
      <c r="AL15" s="20">
        <f t="shared" si="4"/>
        <v>14.153610381551344</v>
      </c>
      <c r="AM15" s="59">
        <f t="shared" si="5"/>
        <v>285.48694371488466</v>
      </c>
      <c r="AN15" s="59">
        <f ca="1">AVERAGE(OFFSET($AM$3,0,0,'Données projet'!$E$10+1,1))-AVERAGE(OFFSET($H$3,0,0,'Données projet'!$E$10+1,1))</f>
        <v>207.77463758757142</v>
      </c>
      <c r="AO15" s="59">
        <f t="shared" si="36"/>
        <v>180.50802165484066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5.5909090909090908</v>
      </c>
      <c r="BD15" s="12">
        <f>IF('Données projet'!$A$88&gt;35,BD14+BC15-BL14,IF(A15&lt;'Données projet'!$A$88,$BA$205^A15,IF(A15='Données projet'!$A$88,'Données projet'!$B$88,BD14+BC15-BL14)))</f>
        <v>13.802197659922571</v>
      </c>
      <c r="BE15" s="13">
        <f>BD15*VLOOKUP('Données projet'!$B$11,Paramètres!$A$1:$I$89,3,0)*VLOOKUP('Données projet'!$B$11,Paramètres!$A$1:$I$89,5,0)</f>
        <v>8.2537142006336985</v>
      </c>
      <c r="BF15" s="13">
        <f t="shared" si="37"/>
        <v>2.9751132230743558</v>
      </c>
      <c r="BG15" s="20">
        <f t="shared" si="7"/>
        <v>19.556874429624859</v>
      </c>
      <c r="BH15" s="59">
        <f t="shared" si="8"/>
        <v>290.8902077629582</v>
      </c>
      <c r="BI15" s="59">
        <f ca="1">AVERAGE(OFFSET($BH$3,0,0,'Données projet'!$E$11+1,1))-AVERAGE(OFFSET($H$3,0,0,'Données projet'!$E$11+1,1))</f>
        <v>393.01180019332998</v>
      </c>
      <c r="BJ15" s="59">
        <f t="shared" si="38"/>
        <v>283.82782416294748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5.5909090909090908</v>
      </c>
      <c r="BY15" s="12">
        <f>IF('Données projet'!$A$114&gt;35,BY14+BX15-CG14,IF(A15&lt;'Données projet'!$A$114,$BV$205^A15,IF(A15='Données projet'!$A$114,'Données projet'!$B$114,BY14+BX15-CG14)))</f>
        <v>13.802197659922571</v>
      </c>
      <c r="BZ15" s="13">
        <f>BY15*VLOOKUP('Données projet'!$B$12,Paramètres!$A$1:$I$89,3,0)*VLOOKUP('Données projet'!$B$12,Paramètres!$A$1:$I$89,5,0)</f>
        <v>8.2537142006336985</v>
      </c>
      <c r="CA15" s="13">
        <f t="shared" si="39"/>
        <v>2.9751132230743558</v>
      </c>
      <c r="CB15" s="20">
        <f t="shared" si="10"/>
        <v>19.556874429624859</v>
      </c>
      <c r="CC15" s="59">
        <f t="shared" si="11"/>
        <v>290.8902077629582</v>
      </c>
      <c r="CD15" s="59">
        <f ca="1">AVERAGE(OFFSET($CC$3,0,0,'Données projet'!$E$12+1,1))-AVERAGE(OFFSET($H$3,0,0,'Données projet'!$E$12+1,1))</f>
        <v>393.01180019332998</v>
      </c>
      <c r="CE15" s="59">
        <f t="shared" si="40"/>
        <v>283.82782416294748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5.5909090909090908</v>
      </c>
      <c r="CT15" s="12">
        <f>IF('Données projet'!$A$140&gt;35,CT14+CS15-DB14,IF(A15&lt;'Données projet'!$A$140,$CQ$205^A15,IF(A15='Données projet'!$A$140,'Données projet'!$B$140,CT14+CS15-DB14)))</f>
        <v>13.802197659922571</v>
      </c>
      <c r="CU15" s="17">
        <f>CT15*VLOOKUP('Données projet'!$B$13,Paramètres!$A$1:$I$89,3,0)*VLOOKUP('Données projet'!$B$13,Paramètres!$A$1:$I$89,5,0)</f>
        <v>8.2537142006336985</v>
      </c>
      <c r="CV15" s="13">
        <f t="shared" si="41"/>
        <v>2.9751132230743558</v>
      </c>
      <c r="CW15" s="20">
        <f t="shared" si="13"/>
        <v>19.556874429624859</v>
      </c>
      <c r="CX15" s="59">
        <f t="shared" si="14"/>
        <v>290.8902077629582</v>
      </c>
      <c r="CY15" s="59">
        <f ca="1">AVERAGE(OFFSET($CX$3,0,0,'Données projet'!$E$13+1,1))-AVERAGE(OFFSET($H$3,0,0,'Données projet'!$E$13+1,1))</f>
        <v>393.01180019332998</v>
      </c>
      <c r="CZ15" s="59">
        <f t="shared" si="42"/>
        <v>283.82782416294748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5.5909090909090908</v>
      </c>
      <c r="DO15" s="12">
        <f>IF('Données projet'!$A$166&gt;35,DO14+DN15-DW14,IF(A15&lt;'Données projet'!$A$166,$DL$205^A15,IF(A15='Données projet'!$A$166,'Données projet'!$B$166,DO14+DN15-DW14)))</f>
        <v>13.802197659922571</v>
      </c>
      <c r="DP15" s="17">
        <f>DO15*VLOOKUP('Données projet'!$B$14,Paramètres!$A$1:$I$89,3,0)*VLOOKUP('Données projet'!$B$14,Paramètres!$A$1:$I$89,5,0)</f>
        <v>8.2537142006336985</v>
      </c>
      <c r="DQ15" s="13">
        <f t="shared" si="43"/>
        <v>2.9751132230743558</v>
      </c>
      <c r="DR15" s="20">
        <f t="shared" si="16"/>
        <v>19.556874429624859</v>
      </c>
      <c r="DS15" s="59">
        <f t="shared" si="17"/>
        <v>290.8902077629582</v>
      </c>
      <c r="DT15" s="59">
        <f ca="1">AVERAGE(OFFSET($DS$3,0,0,'Données projet'!$E$14+1,1))-AVERAGE(OFFSET($H$3,0,0,'Données projet'!$E$14+1,1))</f>
        <v>393.01180019332998</v>
      </c>
      <c r="DU15" s="59">
        <f t="shared" si="44"/>
        <v>283.82782416294748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1.5007200000000001</v>
      </c>
      <c r="D16" s="11">
        <f t="shared" si="32"/>
        <v>0.65967564994573313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3.3353476700916587</v>
      </c>
      <c r="H16" s="67">
        <f t="shared" si="1"/>
        <v>260.42935575698885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7.9</v>
      </c>
      <c r="N16" s="13">
        <f>IF('Données projet'!$A$36&gt;35,N15+M16-V15,IF(A16&lt;'Données projet'!$A$36,$K$205^A16,IF(A16='Données projet'!$A$36,'Données projet'!$B$36,N15+M16-V15)))</f>
        <v>26.861304900499697</v>
      </c>
      <c r="O16" s="13">
        <f>N16*VLOOKUP('Données projet'!$B$9,Paramètres!$A$1:$I$89,3,0)*VLOOKUP('Données projet'!$B$9,Paramètres!$A$1:$I$89,5,0)</f>
        <v>12.571090693433858</v>
      </c>
      <c r="P16" s="13">
        <f t="shared" si="33"/>
        <v>4.3147735914069099</v>
      </c>
      <c r="Q16" s="20">
        <f t="shared" si="2"/>
        <v>29.409546962764335</v>
      </c>
      <c r="R16" s="59">
        <f t="shared" si="0"/>
        <v>301.9651025183199</v>
      </c>
      <c r="S16" s="59">
        <f ca="1">AVERAGE(OFFSET($R$3,0,0,'Données projet'!$E$9+1,1))-AVERAGE(OFFSET($H$3,0,0,'Données projet'!$E$9+1,1))</f>
        <v>189.8770435341392</v>
      </c>
      <c r="T16" s="59">
        <f t="shared" si="34"/>
        <v>230.18380961122767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3.7676430000000005</v>
      </c>
      <c r="AI16" s="13">
        <f>IF('Données projet'!$A$62&gt;35,AI15+AH16-AQ15,IF(A16&lt;'Données projet'!$A$62,$AF$205^A16,IF(A16='Données projet'!$A$62,'Données projet'!$B$62,AI15+AH16-AQ15)))</f>
        <v>16.600257750188913</v>
      </c>
      <c r="AJ16" s="13">
        <f>AI16*VLOOKUP('Données projet'!$B$10,Paramètres!$A$1:$I$89,3,0)*VLOOKUP('Données projet'!$B$10,Paramètres!$A$1:$I$89,5,0)</f>
        <v>7.3373139255834996</v>
      </c>
      <c r="AK16" s="13">
        <f t="shared" si="35"/>
        <v>2.6812706051634203</v>
      </c>
      <c r="AL16" s="20">
        <f t="shared" si="4"/>
        <v>17.449034724384219</v>
      </c>
      <c r="AM16" s="59">
        <f t="shared" si="5"/>
        <v>290.00459027993975</v>
      </c>
      <c r="AN16" s="59">
        <f ca="1">AVERAGE(OFFSET($AM$3,0,0,'Données projet'!$E$10+1,1))-AVERAGE(OFFSET($H$3,0,0,'Données projet'!$E$10+1,1))</f>
        <v>207.77463758757142</v>
      </c>
      <c r="AO16" s="59">
        <f t="shared" si="36"/>
        <v>180.50802165484066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5.5909090909090908</v>
      </c>
      <c r="BD16" s="12">
        <f>IF('Données projet'!$A$88&gt;35,BD15+BC16-BL15,IF(A16&lt;'Données projet'!$A$88,$BA$205^A16,IF(A16='Données projet'!$A$88,'Données projet'!$B$88,BD15+BC16-BL15)))</f>
        <v>17.17686607257264</v>
      </c>
      <c r="BE16" s="13">
        <f>BD16*VLOOKUP('Données projet'!$B$11,Paramètres!$A$1:$I$89,3,0)*VLOOKUP('Données projet'!$B$11,Paramètres!$A$1:$I$89,5,0)</f>
        <v>10.27176591139844</v>
      </c>
      <c r="BF16" s="13">
        <f t="shared" si="37"/>
        <v>3.609455460548272</v>
      </c>
      <c r="BG16" s="20">
        <f t="shared" si="7"/>
        <v>24.176460556140523</v>
      </c>
      <c r="BH16" s="59">
        <f t="shared" si="8"/>
        <v>296.73201611169605</v>
      </c>
      <c r="BI16" s="59">
        <f ca="1">AVERAGE(OFFSET($BH$3,0,0,'Données projet'!$E$11+1,1))-AVERAGE(OFFSET($H$3,0,0,'Données projet'!$E$11+1,1))</f>
        <v>393.01180019332998</v>
      </c>
      <c r="BJ16" s="59">
        <f t="shared" si="38"/>
        <v>283.82782416294748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5.5909090909090908</v>
      </c>
      <c r="BY16" s="12">
        <f>IF('Données projet'!$A$114&gt;35,BY15+BX16-CG15,IF(A16&lt;'Données projet'!$A$114,$BV$205^A16,IF(A16='Données projet'!$A$114,'Données projet'!$B$114,BY15+BX16-CG15)))</f>
        <v>17.17686607257264</v>
      </c>
      <c r="BZ16" s="13">
        <f>BY16*VLOOKUP('Données projet'!$B$12,Paramètres!$A$1:$I$89,3,0)*VLOOKUP('Données projet'!$B$12,Paramètres!$A$1:$I$89,5,0)</f>
        <v>10.27176591139844</v>
      </c>
      <c r="CA16" s="13">
        <f t="shared" si="39"/>
        <v>3.609455460548272</v>
      </c>
      <c r="CB16" s="20">
        <f t="shared" si="10"/>
        <v>24.176460556140523</v>
      </c>
      <c r="CC16" s="59">
        <f t="shared" si="11"/>
        <v>296.73201611169605</v>
      </c>
      <c r="CD16" s="59">
        <f ca="1">AVERAGE(OFFSET($CC$3,0,0,'Données projet'!$E$12+1,1))-AVERAGE(OFFSET($H$3,0,0,'Données projet'!$E$12+1,1))</f>
        <v>393.01180019332998</v>
      </c>
      <c r="CE16" s="59">
        <f t="shared" si="40"/>
        <v>283.82782416294748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5.5909090909090908</v>
      </c>
      <c r="CT16" s="12">
        <f>IF('Données projet'!$A$140&gt;35,CT15+CS16-DB15,IF(A16&lt;'Données projet'!$A$140,$CQ$205^A16,IF(A16='Données projet'!$A$140,'Données projet'!$B$140,CT15+CS16-DB15)))</f>
        <v>17.17686607257264</v>
      </c>
      <c r="CU16" s="17">
        <f>CT16*VLOOKUP('Données projet'!$B$13,Paramètres!$A$1:$I$89,3,0)*VLOOKUP('Données projet'!$B$13,Paramètres!$A$1:$I$89,5,0)</f>
        <v>10.27176591139844</v>
      </c>
      <c r="CV16" s="13">
        <f t="shared" si="41"/>
        <v>3.609455460548272</v>
      </c>
      <c r="CW16" s="20">
        <f t="shared" si="13"/>
        <v>24.176460556140523</v>
      </c>
      <c r="CX16" s="59">
        <f t="shared" si="14"/>
        <v>296.73201611169605</v>
      </c>
      <c r="CY16" s="59">
        <f ca="1">AVERAGE(OFFSET($CX$3,0,0,'Données projet'!$E$13+1,1))-AVERAGE(OFFSET($H$3,0,0,'Données projet'!$E$13+1,1))</f>
        <v>393.01180019332998</v>
      </c>
      <c r="CZ16" s="59">
        <f t="shared" si="42"/>
        <v>283.82782416294748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5.5909090909090908</v>
      </c>
      <c r="DO16" s="12">
        <f>IF('Données projet'!$A$166&gt;35,DO15+DN16-DW15,IF(A16&lt;'Données projet'!$A$166,$DL$205^A16,IF(A16='Données projet'!$A$166,'Données projet'!$B$166,DO15+DN16-DW15)))</f>
        <v>17.17686607257264</v>
      </c>
      <c r="DP16" s="17">
        <f>DO16*VLOOKUP('Données projet'!$B$14,Paramètres!$A$1:$I$89,3,0)*VLOOKUP('Données projet'!$B$14,Paramètres!$A$1:$I$89,5,0)</f>
        <v>10.27176591139844</v>
      </c>
      <c r="DQ16" s="13">
        <f t="shared" si="43"/>
        <v>3.609455460548272</v>
      </c>
      <c r="DR16" s="20">
        <f t="shared" si="16"/>
        <v>24.176460556140523</v>
      </c>
      <c r="DS16" s="59">
        <f t="shared" si="17"/>
        <v>296.73201611169605</v>
      </c>
      <c r="DT16" s="59">
        <f ca="1">AVERAGE(OFFSET($DS$3,0,0,'Données projet'!$E$14+1,1))-AVERAGE(OFFSET($H$3,0,0,'Données projet'!$E$14+1,1))</f>
        <v>393.01180019332998</v>
      </c>
      <c r="DU16" s="59">
        <f t="shared" si="44"/>
        <v>283.82782416294748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1.61616</v>
      </c>
      <c r="D17" s="11">
        <f t="shared" si="32"/>
        <v>0.70431808467851809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3.5824924816089401</v>
      </c>
      <c r="H17" s="67">
        <f t="shared" si="1"/>
        <v>260.70816599748179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7.9</v>
      </c>
      <c r="N17" s="13">
        <f>IF('Données projet'!$A$36&gt;35,N16+M17-V16,IF(A17&lt;'Données projet'!$A$36,$K$205^A17,IF(A17='Données projet'!$A$36,'Données projet'!$B$36,N16+M17-V16)))</f>
        <v>34.598714324397214</v>
      </c>
      <c r="O17" s="13">
        <f>N17*VLOOKUP('Données projet'!$B$9,Paramètres!$A$1:$I$89,3,0)*VLOOKUP('Données projet'!$B$9,Paramètres!$A$1:$I$89,5,0)</f>
        <v>16.192198303817896</v>
      </c>
      <c r="P17" s="13">
        <f t="shared" si="33"/>
        <v>5.3962825594761723</v>
      </c>
      <c r="Q17" s="20">
        <f t="shared" si="2"/>
        <v>37.599937503570509</v>
      </c>
      <c r="R17" s="59">
        <f t="shared" si="0"/>
        <v>311.37771528134829</v>
      </c>
      <c r="S17" s="59">
        <f ca="1">AVERAGE(OFFSET($R$3,0,0,'Données projet'!$E$9+1,1))-AVERAGE(OFFSET($H$3,0,0,'Données projet'!$E$9+1,1))</f>
        <v>189.8770435341392</v>
      </c>
      <c r="T17" s="59">
        <f t="shared" si="34"/>
        <v>230.18380961122767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3.7676430000000005</v>
      </c>
      <c r="AI17" s="13">
        <f>IF('Données projet'!$A$62&gt;35,AI16+AH17-AQ16,IF(A17&lt;'Données projet'!$A$62,$AF$205^A17,IF(A17='Données projet'!$A$62,'Données projet'!$B$62,AI16+AH17-AQ16)))</f>
        <v>20.604867131121974</v>
      </c>
      <c r="AJ17" s="13">
        <f>AI17*VLOOKUP('Données projet'!$B$10,Paramètres!$A$1:$I$89,3,0)*VLOOKUP('Données projet'!$B$10,Paramètres!$A$1:$I$89,5,0)</f>
        <v>9.1073512719559133</v>
      </c>
      <c r="AK17" s="13">
        <f t="shared" si="35"/>
        <v>3.245420040191981</v>
      </c>
      <c r="AL17" s="20">
        <f t="shared" si="4"/>
        <v>21.514410035324246</v>
      </c>
      <c r="AM17" s="59">
        <f t="shared" si="5"/>
        <v>295.29218781310203</v>
      </c>
      <c r="AN17" s="59">
        <f ca="1">AVERAGE(OFFSET($AM$3,0,0,'Données projet'!$E$10+1,1))-AVERAGE(OFFSET($H$3,0,0,'Données projet'!$E$10+1,1))</f>
        <v>207.77463758757142</v>
      </c>
      <c r="AO17" s="59">
        <f t="shared" si="36"/>
        <v>180.50802165484066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5.5909090909090908</v>
      </c>
      <c r="BD17" s="12">
        <f>IF('Données projet'!$A$88&gt;35,BD16+BC17-BL16,IF(A17&lt;'Données projet'!$A$88,$BA$205^A17,IF(A17='Données projet'!$A$88,'Données projet'!$B$88,BD16+BC17-BL16)))</f>
        <v>21.376648512419013</v>
      </c>
      <c r="BE17" s="13">
        <f>BD17*VLOOKUP('Données projet'!$B$11,Paramètres!$A$1:$I$89,3,0)*VLOOKUP('Données projet'!$B$11,Paramètres!$A$1:$I$89,5,0)</f>
        <v>12.783235810426572</v>
      </c>
      <c r="BF17" s="13">
        <f t="shared" si="37"/>
        <v>4.3790497183898731</v>
      </c>
      <c r="BG17" s="20">
        <f t="shared" si="7"/>
        <v>29.890980629355308</v>
      </c>
      <c r="BH17" s="59">
        <f t="shared" si="8"/>
        <v>303.66875840713305</v>
      </c>
      <c r="BI17" s="59">
        <f ca="1">AVERAGE(OFFSET($BH$3,0,0,'Données projet'!$E$11+1,1))-AVERAGE(OFFSET($H$3,0,0,'Données projet'!$E$11+1,1))</f>
        <v>393.01180019332998</v>
      </c>
      <c r="BJ17" s="59">
        <f t="shared" si="38"/>
        <v>283.82782416294748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5.5909090909090908</v>
      </c>
      <c r="BY17" s="12">
        <f>IF('Données projet'!$A$114&gt;35,BY16+BX17-CG16,IF(A17&lt;'Données projet'!$A$114,$BV$205^A17,IF(A17='Données projet'!$A$114,'Données projet'!$B$114,BY16+BX17-CG16)))</f>
        <v>21.376648512419013</v>
      </c>
      <c r="BZ17" s="13">
        <f>BY17*VLOOKUP('Données projet'!$B$12,Paramètres!$A$1:$I$89,3,0)*VLOOKUP('Données projet'!$B$12,Paramètres!$A$1:$I$89,5,0)</f>
        <v>12.783235810426572</v>
      </c>
      <c r="CA17" s="13">
        <f t="shared" si="39"/>
        <v>4.3790497183898731</v>
      </c>
      <c r="CB17" s="20">
        <f t="shared" si="10"/>
        <v>29.890980629355308</v>
      </c>
      <c r="CC17" s="59">
        <f t="shared" si="11"/>
        <v>303.66875840713305</v>
      </c>
      <c r="CD17" s="59">
        <f ca="1">AVERAGE(OFFSET($CC$3,0,0,'Données projet'!$E$12+1,1))-AVERAGE(OFFSET($H$3,0,0,'Données projet'!$E$12+1,1))</f>
        <v>393.01180019332998</v>
      </c>
      <c r="CE17" s="59">
        <f t="shared" si="40"/>
        <v>283.82782416294748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5.5909090909090908</v>
      </c>
      <c r="CT17" s="12">
        <f>IF('Données projet'!$A$140&gt;35,CT16+CS17-DB16,IF(A17&lt;'Données projet'!$A$140,$CQ$205^A17,IF(A17='Données projet'!$A$140,'Données projet'!$B$140,CT16+CS17-DB16)))</f>
        <v>21.376648512419013</v>
      </c>
      <c r="CU17" s="17">
        <f>CT17*VLOOKUP('Données projet'!$B$13,Paramètres!$A$1:$I$89,3,0)*VLOOKUP('Données projet'!$B$13,Paramètres!$A$1:$I$89,5,0)</f>
        <v>12.783235810426572</v>
      </c>
      <c r="CV17" s="13">
        <f t="shared" si="41"/>
        <v>4.3790497183898731</v>
      </c>
      <c r="CW17" s="20">
        <f t="shared" si="13"/>
        <v>29.890980629355308</v>
      </c>
      <c r="CX17" s="59">
        <f t="shared" si="14"/>
        <v>303.66875840713305</v>
      </c>
      <c r="CY17" s="59">
        <f ca="1">AVERAGE(OFFSET($CX$3,0,0,'Données projet'!$E$13+1,1))-AVERAGE(OFFSET($H$3,0,0,'Données projet'!$E$13+1,1))</f>
        <v>393.01180019332998</v>
      </c>
      <c r="CZ17" s="59">
        <f t="shared" si="42"/>
        <v>283.82782416294748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5.5909090909090908</v>
      </c>
      <c r="DO17" s="12">
        <f>IF('Données projet'!$A$166&gt;35,DO16+DN17-DW16,IF(A17&lt;'Données projet'!$A$166,$DL$205^A17,IF(A17='Données projet'!$A$166,'Données projet'!$B$166,DO16+DN17-DW16)))</f>
        <v>21.376648512419013</v>
      </c>
      <c r="DP17" s="17">
        <f>DO17*VLOOKUP('Données projet'!$B$14,Paramètres!$A$1:$I$89,3,0)*VLOOKUP('Données projet'!$B$14,Paramètres!$A$1:$I$89,5,0)</f>
        <v>12.783235810426572</v>
      </c>
      <c r="DQ17" s="13">
        <f t="shared" si="43"/>
        <v>4.3790497183898731</v>
      </c>
      <c r="DR17" s="20">
        <f t="shared" si="16"/>
        <v>29.890980629355308</v>
      </c>
      <c r="DS17" s="59">
        <f t="shared" si="17"/>
        <v>303.66875840713305</v>
      </c>
      <c r="DT17" s="59">
        <f ca="1">AVERAGE(OFFSET($DS$3,0,0,'Données projet'!$E$14+1,1))-AVERAGE(OFFSET($H$3,0,0,'Données projet'!$E$14+1,1))</f>
        <v>393.01180019332998</v>
      </c>
      <c r="DU17" s="59">
        <f t="shared" si="44"/>
        <v>283.82782416294748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1.7316</v>
      </c>
      <c r="D18" s="11">
        <f t="shared" si="32"/>
        <v>0.74859055626015347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3.8290661219455</v>
      </c>
      <c r="H18" s="67">
        <f t="shared" si="1"/>
        <v>260.98633188548644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7.9</v>
      </c>
      <c r="N18" s="13">
        <f>IF('Données projet'!$A$36&gt;35,N17+M18-V17,IF(A18&lt;'Données projet'!$A$36,$K$205^A18,IF(A18='Données projet'!$A$36,'Données projet'!$B$36,N17+M18-V17)))</f>
        <v>44.564887571004775</v>
      </c>
      <c r="O18" s="13">
        <f>N18*VLOOKUP('Données projet'!$B$9,Paramètres!$A$1:$I$89,3,0)*VLOOKUP('Données projet'!$B$9,Paramètres!$A$1:$I$89,5,0)</f>
        <v>20.856367383230236</v>
      </c>
      <c r="P18" s="13">
        <f t="shared" si="33"/>
        <v>6.7488744993944465</v>
      </c>
      <c r="Q18" s="20">
        <f t="shared" si="2"/>
        <v>48.079129612237985</v>
      </c>
      <c r="R18" s="59">
        <f t="shared" si="0"/>
        <v>323.07912961223798</v>
      </c>
      <c r="S18" s="59">
        <f ca="1">AVERAGE(OFFSET($R$3,0,0,'Données projet'!$E$9+1,1))-AVERAGE(OFFSET($H$3,0,0,'Données projet'!$E$9+1,1))</f>
        <v>189.8770435341392</v>
      </c>
      <c r="T18" s="59">
        <f t="shared" si="34"/>
        <v>230.18380961122767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3.7676430000000005</v>
      </c>
      <c r="AI18" s="13">
        <f>IF('Données projet'!$A$62&gt;35,AI17+AH18-AQ17,IF(A18&lt;'Données projet'!$A$62,$AF$205^A18,IF(A18='Données projet'!$A$62,'Données projet'!$B$62,AI17+AH18-AQ17)))</f>
        <v>25.575539601869078</v>
      </c>
      <c r="AJ18" s="13">
        <f>AI18*VLOOKUP('Données projet'!$B$10,Paramètres!$A$1:$I$89,3,0)*VLOOKUP('Données projet'!$B$10,Paramètres!$A$1:$I$89,5,0)</f>
        <v>11.304388504026132</v>
      </c>
      <c r="AK18" s="13">
        <f t="shared" si="35"/>
        <v>3.9282686413659302</v>
      </c>
      <c r="AL18" s="20">
        <f t="shared" si="4"/>
        <v>26.530211194891177</v>
      </c>
      <c r="AM18" s="59">
        <f t="shared" si="5"/>
        <v>301.53021119489119</v>
      </c>
      <c r="AN18" s="59">
        <f ca="1">AVERAGE(OFFSET($AM$3,0,0,'Données projet'!$E$10+1,1))-AVERAGE(OFFSET($H$3,0,0,'Données projet'!$E$10+1,1))</f>
        <v>207.77463758757142</v>
      </c>
      <c r="AO18" s="59">
        <f t="shared" si="36"/>
        <v>180.50802165484066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5.5909090909090908</v>
      </c>
      <c r="BD18" s="12">
        <f>IF('Données projet'!$A$88&gt;35,BD17+BC18-BL17,IF(A18&lt;'Données projet'!$A$88,$BA$205^A18,IF(A18='Données projet'!$A$88,'Données projet'!$B$88,BD17+BC18-BL17)))</f>
        <v>26.603287217402478</v>
      </c>
      <c r="BE18" s="13">
        <f>BD18*VLOOKUP('Données projet'!$B$11,Paramètres!$A$1:$I$89,3,0)*VLOOKUP('Données projet'!$B$11,Paramètres!$A$1:$I$89,5,0)</f>
        <v>15.908765756006684</v>
      </c>
      <c r="BF18" s="13">
        <f t="shared" si="37"/>
        <v>5.312733913945455</v>
      </c>
      <c r="BG18" s="20">
        <f t="shared" si="7"/>
        <v>36.960778591833304</v>
      </c>
      <c r="BH18" s="59">
        <f t="shared" si="8"/>
        <v>311.96077859183333</v>
      </c>
      <c r="BI18" s="59">
        <f ca="1">AVERAGE(OFFSET($BH$3,0,0,'Données projet'!$E$11+1,1))-AVERAGE(OFFSET($H$3,0,0,'Données projet'!$E$11+1,1))</f>
        <v>393.01180019332998</v>
      </c>
      <c r="BJ18" s="59">
        <f t="shared" si="38"/>
        <v>283.82782416294748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5.5909090909090908</v>
      </c>
      <c r="BY18" s="12">
        <f>IF('Données projet'!$A$114&gt;35,BY17+BX18-CG17,IF(A18&lt;'Données projet'!$A$114,$BV$205^A18,IF(A18='Données projet'!$A$114,'Données projet'!$B$114,BY17+BX18-CG17)))</f>
        <v>26.603287217402478</v>
      </c>
      <c r="BZ18" s="13">
        <f>BY18*VLOOKUP('Données projet'!$B$12,Paramètres!$A$1:$I$89,3,0)*VLOOKUP('Données projet'!$B$12,Paramètres!$A$1:$I$89,5,0)</f>
        <v>15.908765756006684</v>
      </c>
      <c r="CA18" s="13">
        <f t="shared" si="39"/>
        <v>5.312733913945455</v>
      </c>
      <c r="CB18" s="20">
        <f t="shared" si="10"/>
        <v>36.960778591833304</v>
      </c>
      <c r="CC18" s="59">
        <f t="shared" si="11"/>
        <v>311.96077859183333</v>
      </c>
      <c r="CD18" s="59">
        <f ca="1">AVERAGE(OFFSET($CC$3,0,0,'Données projet'!$E$12+1,1))-AVERAGE(OFFSET($H$3,0,0,'Données projet'!$E$12+1,1))</f>
        <v>393.01180019332998</v>
      </c>
      <c r="CE18" s="59">
        <f t="shared" si="40"/>
        <v>283.82782416294748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5.5909090909090908</v>
      </c>
      <c r="CT18" s="12">
        <f>IF('Données projet'!$A$140&gt;35,CT17+CS18-DB17,IF(A18&lt;'Données projet'!$A$140,$CQ$205^A18,IF(A18='Données projet'!$A$140,'Données projet'!$B$140,CT17+CS18-DB17)))</f>
        <v>26.603287217402478</v>
      </c>
      <c r="CU18" s="17">
        <f>CT18*VLOOKUP('Données projet'!$B$13,Paramètres!$A$1:$I$89,3,0)*VLOOKUP('Données projet'!$B$13,Paramètres!$A$1:$I$89,5,0)</f>
        <v>15.908765756006684</v>
      </c>
      <c r="CV18" s="13">
        <f t="shared" si="41"/>
        <v>5.312733913945455</v>
      </c>
      <c r="CW18" s="20">
        <f t="shared" si="13"/>
        <v>36.960778591833304</v>
      </c>
      <c r="CX18" s="59">
        <f t="shared" si="14"/>
        <v>311.96077859183333</v>
      </c>
      <c r="CY18" s="59">
        <f ca="1">AVERAGE(OFFSET($CX$3,0,0,'Données projet'!$E$13+1,1))-AVERAGE(OFFSET($H$3,0,0,'Données projet'!$E$13+1,1))</f>
        <v>393.01180019332998</v>
      </c>
      <c r="CZ18" s="59">
        <f t="shared" si="42"/>
        <v>283.82782416294748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5.5909090909090908</v>
      </c>
      <c r="DO18" s="12">
        <f>IF('Données projet'!$A$166&gt;35,DO17+DN18-DW17,IF(A18&lt;'Données projet'!$A$166,$DL$205^A18,IF(A18='Données projet'!$A$166,'Données projet'!$B$166,DO17+DN18-DW17)))</f>
        <v>26.603287217402478</v>
      </c>
      <c r="DP18" s="17">
        <f>DO18*VLOOKUP('Données projet'!$B$14,Paramètres!$A$1:$I$89,3,0)*VLOOKUP('Données projet'!$B$14,Paramètres!$A$1:$I$89,5,0)</f>
        <v>15.908765756006684</v>
      </c>
      <c r="DQ18" s="13">
        <f t="shared" si="43"/>
        <v>5.312733913945455</v>
      </c>
      <c r="DR18" s="20">
        <f t="shared" si="16"/>
        <v>36.960778591833304</v>
      </c>
      <c r="DS18" s="59">
        <f t="shared" si="17"/>
        <v>311.96077859183333</v>
      </c>
      <c r="DT18" s="59">
        <f ca="1">AVERAGE(OFFSET($DS$3,0,0,'Données projet'!$E$14+1,1))-AVERAGE(OFFSET($H$3,0,0,'Données projet'!$E$14+1,1))</f>
        <v>393.01180019332998</v>
      </c>
      <c r="DU18" s="59">
        <f t="shared" si="44"/>
        <v>283.82782416294748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1.84704</v>
      </c>
      <c r="D19" s="11">
        <f t="shared" si="32"/>
        <v>0.79252053530016786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4.0751110018669268</v>
      </c>
      <c r="H19" s="67">
        <f t="shared" si="1"/>
        <v>261.2639012656478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7.9</v>
      </c>
      <c r="N19" s="13">
        <f>IF('Données projet'!$A$36&gt;35,N18+M19-V18,IF(A19&lt;'Données projet'!$A$36,$K$205^A19,IF(A19='Données projet'!$A$36,'Données projet'!$B$36,N18+M19-V18)))</f>
        <v>57.401820934596167</v>
      </c>
      <c r="O19" s="13">
        <f>N19*VLOOKUP('Données projet'!$B$9,Paramètres!$A$1:$I$89,3,0)*VLOOKUP('Données projet'!$B$9,Paramètres!$A$1:$I$89,5,0)</f>
        <v>26.864052197391008</v>
      </c>
      <c r="P19" s="13">
        <f t="shared" si="33"/>
        <v>8.4404970471001413</v>
      </c>
      <c r="Q19" s="20">
        <f t="shared" si="2"/>
        <v>61.488756600822086</v>
      </c>
      <c r="R19" s="59">
        <f t="shared" si="0"/>
        <v>337.71097882304434</v>
      </c>
      <c r="S19" s="59">
        <f ca="1">AVERAGE(OFFSET($R$3,0,0,'Données projet'!$E$9+1,1))-AVERAGE(OFFSET($H$3,0,0,'Données projet'!$E$9+1,1))</f>
        <v>189.8770435341392</v>
      </c>
      <c r="T19" s="59">
        <f t="shared" si="34"/>
        <v>230.18380961122767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3.7676430000000005</v>
      </c>
      <c r="AI19" s="13">
        <f>IF('Données projet'!$A$62&gt;35,AI18+AH19-AQ18,IF(A19&lt;'Données projet'!$A$62,$AF$205^A19,IF(A19='Données projet'!$A$62,'Données projet'!$B$62,AI18+AH19-AQ18)))</f>
        <v>31.745326080690727</v>
      </c>
      <c r="AJ19" s="13">
        <f>AI19*VLOOKUP('Données projet'!$B$10,Paramètres!$A$1:$I$89,3,0)*VLOOKUP('Données projet'!$B$10,Paramètres!$A$1:$I$89,5,0)</f>
        <v>14.031434127665301</v>
      </c>
      <c r="AK19" s="13">
        <f t="shared" si="35"/>
        <v>4.7547911603534994</v>
      </c>
      <c r="AL19" s="20">
        <f t="shared" si="4"/>
        <v>32.719342376632746</v>
      </c>
      <c r="AM19" s="59">
        <f t="shared" si="5"/>
        <v>308.941564598855</v>
      </c>
      <c r="AN19" s="59">
        <f ca="1">AVERAGE(OFFSET($AM$3,0,0,'Données projet'!$E$10+1,1))-AVERAGE(OFFSET($H$3,0,0,'Données projet'!$E$10+1,1))</f>
        <v>207.77463758757142</v>
      </c>
      <c r="AO19" s="59">
        <f t="shared" si="36"/>
        <v>180.50802165484066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5.5909090909090908</v>
      </c>
      <c r="BD19" s="12">
        <f>IF('Données projet'!$A$88&gt;35,BD18+BC19-BL18,IF(A19&lt;'Données projet'!$A$88,$BA$205^A19,IF(A19='Données projet'!$A$88,'Données projet'!$B$88,BD18+BC19-BL18)))</f>
        <v>33.107850856996748</v>
      </c>
      <c r="BE19" s="13">
        <f>BD19*VLOOKUP('Données projet'!$B$11,Paramètres!$A$1:$I$89,3,0)*VLOOKUP('Données projet'!$B$11,Paramètres!$A$1:$I$89,5,0)</f>
        <v>19.798494812484059</v>
      </c>
      <c r="BF19" s="13">
        <f t="shared" si="37"/>
        <v>6.4454946747588586</v>
      </c>
      <c r="BG19" s="20">
        <f t="shared" si="7"/>
        <v>45.70828169028141</v>
      </c>
      <c r="BH19" s="59">
        <f t="shared" si="8"/>
        <v>321.93050391250364</v>
      </c>
      <c r="BI19" s="59">
        <f ca="1">AVERAGE(OFFSET($BH$3,0,0,'Données projet'!$E$11+1,1))-AVERAGE(OFFSET($H$3,0,0,'Données projet'!$E$11+1,1))</f>
        <v>393.01180019332998</v>
      </c>
      <c r="BJ19" s="59">
        <f t="shared" si="38"/>
        <v>283.82782416294748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5.5909090909090908</v>
      </c>
      <c r="BY19" s="12">
        <f>IF('Données projet'!$A$114&gt;35,BY18+BX19-CG18,IF(A19&lt;'Données projet'!$A$114,$BV$205^A19,IF(A19='Données projet'!$A$114,'Données projet'!$B$114,BY18+BX19-CG18)))</f>
        <v>33.107850856996748</v>
      </c>
      <c r="BZ19" s="13">
        <f>BY19*VLOOKUP('Données projet'!$B$12,Paramètres!$A$1:$I$89,3,0)*VLOOKUP('Données projet'!$B$12,Paramètres!$A$1:$I$89,5,0)</f>
        <v>19.798494812484059</v>
      </c>
      <c r="CA19" s="13">
        <f t="shared" si="39"/>
        <v>6.4454946747588586</v>
      </c>
      <c r="CB19" s="20">
        <f t="shared" si="10"/>
        <v>45.70828169028141</v>
      </c>
      <c r="CC19" s="59">
        <f t="shared" si="11"/>
        <v>321.93050391250364</v>
      </c>
      <c r="CD19" s="59">
        <f ca="1">AVERAGE(OFFSET($CC$3,0,0,'Données projet'!$E$12+1,1))-AVERAGE(OFFSET($H$3,0,0,'Données projet'!$E$12+1,1))</f>
        <v>393.01180019332998</v>
      </c>
      <c r="CE19" s="59">
        <f t="shared" si="40"/>
        <v>283.82782416294748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5.5909090909090908</v>
      </c>
      <c r="CT19" s="12">
        <f>IF('Données projet'!$A$140&gt;35,CT18+CS19-DB18,IF(A19&lt;'Données projet'!$A$140,$CQ$205^A19,IF(A19='Données projet'!$A$140,'Données projet'!$B$140,CT18+CS19-DB18)))</f>
        <v>33.107850856996748</v>
      </c>
      <c r="CU19" s="17">
        <f>CT19*VLOOKUP('Données projet'!$B$13,Paramètres!$A$1:$I$89,3,0)*VLOOKUP('Données projet'!$B$13,Paramètres!$A$1:$I$89,5,0)</f>
        <v>19.798494812484059</v>
      </c>
      <c r="CV19" s="13">
        <f t="shared" si="41"/>
        <v>6.4454946747588586</v>
      </c>
      <c r="CW19" s="20">
        <f t="shared" si="13"/>
        <v>45.70828169028141</v>
      </c>
      <c r="CX19" s="59">
        <f t="shared" si="14"/>
        <v>321.93050391250364</v>
      </c>
      <c r="CY19" s="59">
        <f ca="1">AVERAGE(OFFSET($CX$3,0,0,'Données projet'!$E$13+1,1))-AVERAGE(OFFSET($H$3,0,0,'Données projet'!$E$13+1,1))</f>
        <v>393.01180019332998</v>
      </c>
      <c r="CZ19" s="59">
        <f t="shared" si="42"/>
        <v>283.82782416294748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5.5909090909090908</v>
      </c>
      <c r="DO19" s="12">
        <f>IF('Données projet'!$A$166&gt;35,DO18+DN19-DW18,IF(A19&lt;'Données projet'!$A$166,$DL$205^A19,IF(A19='Données projet'!$A$166,'Données projet'!$B$166,DO18+DN19-DW18)))</f>
        <v>33.107850856996748</v>
      </c>
      <c r="DP19" s="17">
        <f>DO19*VLOOKUP('Données projet'!$B$14,Paramètres!$A$1:$I$89,3,0)*VLOOKUP('Données projet'!$B$14,Paramètres!$A$1:$I$89,5,0)</f>
        <v>19.798494812484059</v>
      </c>
      <c r="DQ19" s="13">
        <f t="shared" si="43"/>
        <v>6.4454946747588586</v>
      </c>
      <c r="DR19" s="20">
        <f t="shared" si="16"/>
        <v>45.70828169028141</v>
      </c>
      <c r="DS19" s="59">
        <f t="shared" si="17"/>
        <v>321.93050391250364</v>
      </c>
      <c r="DT19" s="59">
        <f ca="1">AVERAGE(OFFSET($DS$3,0,0,'Données projet'!$E$14+1,1))-AVERAGE(OFFSET($H$3,0,0,'Données projet'!$E$14+1,1))</f>
        <v>393.01180019332998</v>
      </c>
      <c r="DU19" s="59">
        <f t="shared" si="44"/>
        <v>283.82782416294748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1.96248</v>
      </c>
      <c r="D20" s="11">
        <f t="shared" si="32"/>
        <v>0.83613186450141674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4.3206639311600821</v>
      </c>
      <c r="H20" s="67">
        <f t="shared" si="1"/>
        <v>261.54091566400666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7.9</v>
      </c>
      <c r="N20" s="13">
        <f>IF('Données projet'!$A$36&gt;35,N19+M20-V19,IF(A20&lt;'Données projet'!$A$36,$K$205^A20,IF(A20='Données projet'!$A$36,'Données projet'!$B$36,N19+M20-V19)))</f>
        <v>73.936437994095741</v>
      </c>
      <c r="O20" s="13">
        <f>N20*VLOOKUP('Données projet'!$B$9,Paramètres!$A$1:$I$89,3,0)*VLOOKUP('Données projet'!$B$9,Paramètres!$A$1:$I$89,5,0)</f>
        <v>34.602252981236802</v>
      </c>
      <c r="P20" s="13">
        <f t="shared" si="33"/>
        <v>10.556129086190376</v>
      </c>
      <c r="Q20" s="20">
        <f t="shared" si="2"/>
        <v>78.650848767435647</v>
      </c>
      <c r="R20" s="59">
        <f t="shared" si="0"/>
        <v>356.09529321188012</v>
      </c>
      <c r="S20" s="59">
        <f ca="1">AVERAGE(OFFSET($R$3,0,0,'Données projet'!$E$9+1,1))-AVERAGE(OFFSET($H$3,0,0,'Données projet'!$E$9+1,1))</f>
        <v>189.8770435341392</v>
      </c>
      <c r="T20" s="59">
        <f t="shared" si="34"/>
        <v>230.18380961122767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3.7676430000000005</v>
      </c>
      <c r="AI20" s="13">
        <f>IF('Données projet'!$A$62&gt;35,AI19+AH20-AQ19,IF(A20&lt;'Données projet'!$A$62,$AF$205^A20,IF(A20='Données projet'!$A$62,'Données projet'!$B$62,AI19+AH20-AQ19)))</f>
        <v>39.403498172751547</v>
      </c>
      <c r="AJ20" s="13">
        <f>AI20*VLOOKUP('Données projet'!$B$10,Paramètres!$A$1:$I$89,3,0)*VLOOKUP('Données projet'!$B$10,Paramètres!$A$1:$I$89,5,0)</f>
        <v>17.416346192356187</v>
      </c>
      <c r="AK20" s="13">
        <f t="shared" si="35"/>
        <v>5.7552171306478073</v>
      </c>
      <c r="AL20" s="20">
        <f t="shared" si="4"/>
        <v>40.357139454231955</v>
      </c>
      <c r="AM20" s="59">
        <f t="shared" si="5"/>
        <v>317.80158389867643</v>
      </c>
      <c r="AN20" s="59">
        <f ca="1">AVERAGE(OFFSET($AM$3,0,0,'Données projet'!$E$10+1,1))-AVERAGE(OFFSET($H$3,0,0,'Données projet'!$E$10+1,1))</f>
        <v>207.77463758757142</v>
      </c>
      <c r="AO20" s="59">
        <f t="shared" si="36"/>
        <v>180.50802165484066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5.5909090909090908</v>
      </c>
      <c r="BD20" s="12">
        <f>IF('Données projet'!$A$88&gt;35,BD19+BC20-BL19,IF(A20&lt;'Données projet'!$A$88,$BA$205^A20,IF(A20='Données projet'!$A$88,'Données projet'!$B$88,BD19+BC20-BL19)))</f>
        <v>41.202794955809431</v>
      </c>
      <c r="BE20" s="13">
        <f>BD20*VLOOKUP('Données projet'!$B$11,Paramètres!$A$1:$I$89,3,0)*VLOOKUP('Données projet'!$B$11,Paramètres!$A$1:$I$89,5,0)</f>
        <v>24.639271383574041</v>
      </c>
      <c r="BF20" s="13">
        <f t="shared" si="37"/>
        <v>7.8197783429910519</v>
      </c>
      <c r="BG20" s="20">
        <f t="shared" si="7"/>
        <v>56.532844940434195</v>
      </c>
      <c r="BH20" s="59">
        <f t="shared" si="8"/>
        <v>333.97728938487865</v>
      </c>
      <c r="BI20" s="59">
        <f ca="1">AVERAGE(OFFSET($BH$3,0,0,'Données projet'!$E$11+1,1))-AVERAGE(OFFSET($H$3,0,0,'Données projet'!$E$11+1,1))</f>
        <v>393.01180019332998</v>
      </c>
      <c r="BJ20" s="59">
        <f t="shared" si="38"/>
        <v>283.82782416294748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5.5909090909090908</v>
      </c>
      <c r="BY20" s="12">
        <f>IF('Données projet'!$A$114&gt;35,BY19+BX20-CG19,IF(A20&lt;'Données projet'!$A$114,$BV$205^A20,IF(A20='Données projet'!$A$114,'Données projet'!$B$114,BY19+BX20-CG19)))</f>
        <v>41.202794955809431</v>
      </c>
      <c r="BZ20" s="13">
        <f>BY20*VLOOKUP('Données projet'!$B$12,Paramètres!$A$1:$I$89,3,0)*VLOOKUP('Données projet'!$B$12,Paramètres!$A$1:$I$89,5,0)</f>
        <v>24.639271383574041</v>
      </c>
      <c r="CA20" s="13">
        <f t="shared" si="39"/>
        <v>7.8197783429910519</v>
      </c>
      <c r="CB20" s="20">
        <f t="shared" si="10"/>
        <v>56.532844940434195</v>
      </c>
      <c r="CC20" s="59">
        <f t="shared" si="11"/>
        <v>333.97728938487865</v>
      </c>
      <c r="CD20" s="59">
        <f ca="1">AVERAGE(OFFSET($CC$3,0,0,'Données projet'!$E$12+1,1))-AVERAGE(OFFSET($H$3,0,0,'Données projet'!$E$12+1,1))</f>
        <v>393.01180019332998</v>
      </c>
      <c r="CE20" s="59">
        <f t="shared" si="40"/>
        <v>283.82782416294748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5.5909090909090908</v>
      </c>
      <c r="CT20" s="12">
        <f>IF('Données projet'!$A$140&gt;35,CT19+CS20-DB19,IF(A20&lt;'Données projet'!$A$140,$CQ$205^A20,IF(A20='Données projet'!$A$140,'Données projet'!$B$140,CT19+CS20-DB19)))</f>
        <v>41.202794955809431</v>
      </c>
      <c r="CU20" s="17">
        <f>CT20*VLOOKUP('Données projet'!$B$13,Paramètres!$A$1:$I$89,3,0)*VLOOKUP('Données projet'!$B$13,Paramètres!$A$1:$I$89,5,0)</f>
        <v>24.639271383574041</v>
      </c>
      <c r="CV20" s="13">
        <f t="shared" si="41"/>
        <v>7.8197783429910519</v>
      </c>
      <c r="CW20" s="20">
        <f t="shared" si="13"/>
        <v>56.532844940434195</v>
      </c>
      <c r="CX20" s="59">
        <f t="shared" si="14"/>
        <v>333.97728938487865</v>
      </c>
      <c r="CY20" s="59">
        <f ca="1">AVERAGE(OFFSET($CX$3,0,0,'Données projet'!$E$13+1,1))-AVERAGE(OFFSET($H$3,0,0,'Données projet'!$E$13+1,1))</f>
        <v>393.01180019332998</v>
      </c>
      <c r="CZ20" s="59">
        <f t="shared" si="42"/>
        <v>283.82782416294748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5.5909090909090908</v>
      </c>
      <c r="DO20" s="12">
        <f>IF('Données projet'!$A$166&gt;35,DO19+DN20-DW19,IF(A20&lt;'Données projet'!$A$166,$DL$205^A20,IF(A20='Données projet'!$A$166,'Données projet'!$B$166,DO19+DN20-DW19)))</f>
        <v>41.202794955809431</v>
      </c>
      <c r="DP20" s="17">
        <f>DO20*VLOOKUP('Données projet'!$B$14,Paramètres!$A$1:$I$89,3,0)*VLOOKUP('Données projet'!$B$14,Paramètres!$A$1:$I$89,5,0)</f>
        <v>24.639271383574041</v>
      </c>
      <c r="DQ20" s="13">
        <f t="shared" si="43"/>
        <v>7.8197783429910519</v>
      </c>
      <c r="DR20" s="20">
        <f t="shared" si="16"/>
        <v>56.532844940434195</v>
      </c>
      <c r="DS20" s="59">
        <f t="shared" si="17"/>
        <v>333.97728938487865</v>
      </c>
      <c r="DT20" s="59">
        <f ca="1">AVERAGE(OFFSET($DS$3,0,0,'Données projet'!$E$14+1,1))-AVERAGE(OFFSET($H$3,0,0,'Données projet'!$E$14+1,1))</f>
        <v>393.01180019332998</v>
      </c>
      <c r="DU20" s="59">
        <f t="shared" si="44"/>
        <v>283.82782416294748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2.0779200000000002</v>
      </c>
      <c r="D21" s="11">
        <f t="shared" si="32"/>
        <v>0.87944542308504747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4.5657571444120038</v>
      </c>
      <c r="H21" s="67">
        <f t="shared" si="1"/>
        <v>261.81741144520646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7.9</v>
      </c>
      <c r="N21" s="13">
        <f>IF('Données projet'!$A$36&gt;35,N20+M21-V20,IF(A21&lt;'Données projet'!$A$36,$K$205^A21,IF(A21='Données projet'!$A$36,'Données projet'!$B$36,N20+M21-V20)))</f>
        <v>95.233857990035276</v>
      </c>
      <c r="O21" s="13">
        <f>N21*VLOOKUP('Données projet'!$B$9,Paramètres!$A$1:$I$89,3,0)*VLOOKUP('Données projet'!$B$9,Paramètres!$A$1:$I$89,5,0)</f>
        <v>44.569445539336513</v>
      </c>
      <c r="P21" s="13">
        <f t="shared" si="33"/>
        <v>13.202049673437019</v>
      </c>
      <c r="Q21" s="20">
        <f t="shared" si="2"/>
        <v>100.61868749558056</v>
      </c>
      <c r="R21" s="59">
        <f t="shared" si="0"/>
        <v>379.28535416224724</v>
      </c>
      <c r="S21" s="59">
        <f ca="1">AVERAGE(OFFSET($R$3,0,0,'Données projet'!$E$9+1,1))-AVERAGE(OFFSET($H$3,0,0,'Données projet'!$E$9+1,1))</f>
        <v>189.8770435341392</v>
      </c>
      <c r="T21" s="59">
        <f t="shared" si="34"/>
        <v>230.18380961122767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3.7676430000000005</v>
      </c>
      <c r="AI21" s="13">
        <f>IF('Données projet'!$A$62&gt;35,AI20+AH21-AQ20,IF(A21&lt;'Données projet'!$A$62,$AF$205^A21,IF(A21='Données projet'!$A$62,'Données projet'!$B$62,AI20+AH21-AQ20)))</f>
        <v>48.909110724001465</v>
      </c>
      <c r="AJ21" s="13">
        <f>AI21*VLOOKUP('Données projet'!$B$10,Paramètres!$A$1:$I$89,3,0)*VLOOKUP('Données projet'!$B$10,Paramètres!$A$1:$I$89,5,0)</f>
        <v>21.617826940008651</v>
      </c>
      <c r="AK21" s="13">
        <f t="shared" si="35"/>
        <v>6.9661364934563057</v>
      </c>
      <c r="AL21" s="20">
        <f t="shared" si="4"/>
        <v>49.783736313284805</v>
      </c>
      <c r="AM21" s="59">
        <f t="shared" si="5"/>
        <v>328.45040297995149</v>
      </c>
      <c r="AN21" s="59">
        <f ca="1">AVERAGE(OFFSET($AM$3,0,0,'Données projet'!$E$10+1,1))-AVERAGE(OFFSET($H$3,0,0,'Données projet'!$E$10+1,1))</f>
        <v>207.77463758757142</v>
      </c>
      <c r="AO21" s="59">
        <f t="shared" si="36"/>
        <v>180.50802165484066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5.5909090909090908</v>
      </c>
      <c r="BD21" s="12">
        <f>IF('Données projet'!$A$88&gt;35,BD20+BC21-BL20,IF(A21&lt;'Données projet'!$A$88,$BA$205^A21,IF(A21='Données projet'!$A$88,'Données projet'!$B$88,BD20+BC21-BL20)))</f>
        <v>51.276971117915458</v>
      </c>
      <c r="BE21" s="13">
        <f>BD21*VLOOKUP('Données projet'!$B$11,Paramètres!$A$1:$I$89,3,0)*VLOOKUP('Données projet'!$B$11,Paramètres!$A$1:$I$89,5,0)</f>
        <v>30.663628728513448</v>
      </c>
      <c r="BF21" s="13">
        <f t="shared" si="37"/>
        <v>9.4870815071768995</v>
      </c>
      <c r="BG21" s="20">
        <f t="shared" si="7"/>
        <v>69.929153660494023</v>
      </c>
      <c r="BH21" s="59">
        <f t="shared" si="8"/>
        <v>348.59582032716071</v>
      </c>
      <c r="BI21" s="59">
        <f ca="1">AVERAGE(OFFSET($BH$3,0,0,'Données projet'!$E$11+1,1))-AVERAGE(OFFSET($H$3,0,0,'Données projet'!$E$11+1,1))</f>
        <v>393.01180019332998</v>
      </c>
      <c r="BJ21" s="59">
        <f t="shared" si="38"/>
        <v>283.82782416294748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5.5909090909090908</v>
      </c>
      <c r="BY21" s="12">
        <f>IF('Données projet'!$A$114&gt;35,BY20+BX21-CG20,IF(A21&lt;'Données projet'!$A$114,$BV$205^A21,IF(A21='Données projet'!$A$114,'Données projet'!$B$114,BY20+BX21-CG20)))</f>
        <v>51.276971117915458</v>
      </c>
      <c r="BZ21" s="13">
        <f>BY21*VLOOKUP('Données projet'!$B$12,Paramètres!$A$1:$I$89,3,0)*VLOOKUP('Données projet'!$B$12,Paramètres!$A$1:$I$89,5,0)</f>
        <v>30.663628728513448</v>
      </c>
      <c r="CA21" s="13">
        <f t="shared" si="39"/>
        <v>9.4870815071768995</v>
      </c>
      <c r="CB21" s="20">
        <f t="shared" si="10"/>
        <v>69.929153660494023</v>
      </c>
      <c r="CC21" s="59">
        <f t="shared" si="11"/>
        <v>348.59582032716071</v>
      </c>
      <c r="CD21" s="59">
        <f ca="1">AVERAGE(OFFSET($CC$3,0,0,'Données projet'!$E$12+1,1))-AVERAGE(OFFSET($H$3,0,0,'Données projet'!$E$12+1,1))</f>
        <v>393.01180019332998</v>
      </c>
      <c r="CE21" s="59">
        <f t="shared" si="40"/>
        <v>283.82782416294748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5.5909090909090908</v>
      </c>
      <c r="CT21" s="12">
        <f>IF('Données projet'!$A$140&gt;35,CT20+CS21-DB20,IF(A21&lt;'Données projet'!$A$140,$CQ$205^A21,IF(A21='Données projet'!$A$140,'Données projet'!$B$140,CT20+CS21-DB20)))</f>
        <v>51.276971117915458</v>
      </c>
      <c r="CU21" s="17">
        <f>CT21*VLOOKUP('Données projet'!$B$13,Paramètres!$A$1:$I$89,3,0)*VLOOKUP('Données projet'!$B$13,Paramètres!$A$1:$I$89,5,0)</f>
        <v>30.663628728513448</v>
      </c>
      <c r="CV21" s="13">
        <f t="shared" si="41"/>
        <v>9.4870815071768995</v>
      </c>
      <c r="CW21" s="20">
        <f t="shared" si="13"/>
        <v>69.929153660494023</v>
      </c>
      <c r="CX21" s="59">
        <f t="shared" si="14"/>
        <v>348.59582032716071</v>
      </c>
      <c r="CY21" s="59">
        <f ca="1">AVERAGE(OFFSET($CX$3,0,0,'Données projet'!$E$13+1,1))-AVERAGE(OFFSET($H$3,0,0,'Données projet'!$E$13+1,1))</f>
        <v>393.01180019332998</v>
      </c>
      <c r="CZ21" s="59">
        <f t="shared" si="42"/>
        <v>283.82782416294748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5.5909090909090908</v>
      </c>
      <c r="DO21" s="12">
        <f>IF('Données projet'!$A$166&gt;35,DO20+DN21-DW20,IF(A21&lt;'Données projet'!$A$166,$DL$205^A21,IF(A21='Données projet'!$A$166,'Données projet'!$B$166,DO20+DN21-DW20)))</f>
        <v>51.276971117915458</v>
      </c>
      <c r="DP21" s="17">
        <f>DO21*VLOOKUP('Données projet'!$B$14,Paramètres!$A$1:$I$89,3,0)*VLOOKUP('Données projet'!$B$14,Paramètres!$A$1:$I$89,5,0)</f>
        <v>30.663628728513448</v>
      </c>
      <c r="DQ21" s="13">
        <f t="shared" si="43"/>
        <v>9.4870815071768995</v>
      </c>
      <c r="DR21" s="20">
        <f t="shared" si="16"/>
        <v>69.929153660494023</v>
      </c>
      <c r="DS21" s="59">
        <f t="shared" si="17"/>
        <v>348.59582032716071</v>
      </c>
      <c r="DT21" s="59">
        <f ca="1">AVERAGE(OFFSET($DS$3,0,0,'Données projet'!$E$14+1,1))-AVERAGE(OFFSET($H$3,0,0,'Données projet'!$E$14+1,1))</f>
        <v>393.01180019332998</v>
      </c>
      <c r="DU21" s="59">
        <f t="shared" si="44"/>
        <v>283.82782416294748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2.1933600000000002</v>
      </c>
      <c r="D22" s="11">
        <f t="shared" si="32"/>
        <v>0.92247963933247901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4.8104190923027756</v>
      </c>
      <c r="H22" s="67">
        <f t="shared" si="1"/>
        <v>262.09342070517073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7.9</v>
      </c>
      <c r="N22" s="13">
        <f>IF('Données projet'!$A$36&gt;35,N21+M22-V21,IF(A22&lt;'Données projet'!$A$36,$K$205^A22,IF(A22='Données projet'!$A$36,'Données projet'!$B$36,N21+M22-V21)))</f>
        <v>122.66600817840934</v>
      </c>
      <c r="O22" s="13">
        <f>N22*VLOOKUP('Données projet'!$B$9,Paramètres!$A$1:$I$89,3,0)*VLOOKUP('Données projet'!$B$9,Paramètres!$A$1:$I$89,5,0)</f>
        <v>57.407691827495569</v>
      </c>
      <c r="P22" s="13">
        <f t="shared" si="33"/>
        <v>16.511176981334152</v>
      </c>
      <c r="Q22" s="20">
        <f t="shared" si="2"/>
        <v>128.7420298420451</v>
      </c>
      <c r="R22" s="59">
        <f t="shared" si="0"/>
        <v>408.63091873093396</v>
      </c>
      <c r="S22" s="59">
        <f ca="1">AVERAGE(OFFSET($R$3,0,0,'Données projet'!$E$9+1,1))-AVERAGE(OFFSET($H$3,0,0,'Données projet'!$E$9+1,1))</f>
        <v>189.8770435341392</v>
      </c>
      <c r="T22" s="59">
        <f t="shared" si="34"/>
        <v>230.18380961122767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3.7676430000000005</v>
      </c>
      <c r="AI22" s="13">
        <f>IF('Données projet'!$A$62&gt;35,AI21+AH22-AQ21,IF(A22&lt;'Données projet'!$A$62,$AF$205^A22,IF(A22='Données projet'!$A$62,'Données projet'!$B$62,AI21+AH22-AQ21)))</f>
        <v>60.707836175490378</v>
      </c>
      <c r="AJ22" s="13">
        <f>AI22*VLOOKUP('Données projet'!$B$10,Paramètres!$A$1:$I$89,3,0)*VLOOKUP('Données projet'!$B$10,Paramètres!$A$1:$I$89,5,0)</f>
        <v>26.832863589566752</v>
      </c>
      <c r="AK22" s="13">
        <f t="shared" si="35"/>
        <v>8.4318378514420171</v>
      </c>
      <c r="AL22" s="20">
        <f t="shared" si="4"/>
        <v>61.419355009756934</v>
      </c>
      <c r="AM22" s="59">
        <f t="shared" si="5"/>
        <v>341.3082438986458</v>
      </c>
      <c r="AN22" s="59">
        <f ca="1">AVERAGE(OFFSET($AM$3,0,0,'Données projet'!$E$10+1,1))-AVERAGE(OFFSET($H$3,0,0,'Données projet'!$E$10+1,1))</f>
        <v>207.77463758757142</v>
      </c>
      <c r="AO22" s="59">
        <f t="shared" si="36"/>
        <v>180.50802165484066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5.5909090909090908</v>
      </c>
      <c r="BD22" s="12">
        <f>IF('Données projet'!$A$88&gt;35,BD21+BC22-BL21,IF(A22&lt;'Données projet'!$A$88,$BA$205^A22,IF(A22='Données projet'!$A$88,'Données projet'!$B$88,BD21+BC22-BL21)))</f>
        <v>63.814306040343304</v>
      </c>
      <c r="BE22" s="13">
        <f>BD22*VLOOKUP('Données projet'!$B$11,Paramètres!$A$1:$I$89,3,0)*VLOOKUP('Données projet'!$B$11,Paramètres!$A$1:$I$89,5,0)</f>
        <v>38.160955012125299</v>
      </c>
      <c r="BF22" s="13">
        <f t="shared" si="37"/>
        <v>11.509880661066306</v>
      </c>
      <c r="BG22" s="20">
        <f t="shared" si="7"/>
        <v>86.510038797475374</v>
      </c>
      <c r="BH22" s="59">
        <f t="shared" si="8"/>
        <v>366.39892768636423</v>
      </c>
      <c r="BI22" s="59">
        <f ca="1">AVERAGE(OFFSET($BH$3,0,0,'Données projet'!$E$11+1,1))-AVERAGE(OFFSET($H$3,0,0,'Données projet'!$E$11+1,1))</f>
        <v>393.01180019332998</v>
      </c>
      <c r="BJ22" s="59">
        <f t="shared" si="38"/>
        <v>283.82782416294748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5.5909090909090908</v>
      </c>
      <c r="BY22" s="12">
        <f>IF('Données projet'!$A$114&gt;35,BY21+BX22-CG21,IF(A22&lt;'Données projet'!$A$114,$BV$205^A22,IF(A22='Données projet'!$A$114,'Données projet'!$B$114,BY21+BX22-CG21)))</f>
        <v>63.814306040343304</v>
      </c>
      <c r="BZ22" s="13">
        <f>BY22*VLOOKUP('Données projet'!$B$12,Paramètres!$A$1:$I$89,3,0)*VLOOKUP('Données projet'!$B$12,Paramètres!$A$1:$I$89,5,0)</f>
        <v>38.160955012125299</v>
      </c>
      <c r="CA22" s="13">
        <f t="shared" si="39"/>
        <v>11.509880661066306</v>
      </c>
      <c r="CB22" s="20">
        <f t="shared" si="10"/>
        <v>86.510038797475374</v>
      </c>
      <c r="CC22" s="59">
        <f t="shared" si="11"/>
        <v>366.39892768636423</v>
      </c>
      <c r="CD22" s="59">
        <f ca="1">AVERAGE(OFFSET($CC$3,0,0,'Données projet'!$E$12+1,1))-AVERAGE(OFFSET($H$3,0,0,'Données projet'!$E$12+1,1))</f>
        <v>393.01180019332998</v>
      </c>
      <c r="CE22" s="59">
        <f t="shared" si="40"/>
        <v>283.82782416294748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5.5909090909090908</v>
      </c>
      <c r="CT22" s="12">
        <f>IF('Données projet'!$A$140&gt;35,CT21+CS22-DB21,IF(A22&lt;'Données projet'!$A$140,$CQ$205^A22,IF(A22='Données projet'!$A$140,'Données projet'!$B$140,CT21+CS22-DB21)))</f>
        <v>63.814306040343304</v>
      </c>
      <c r="CU22" s="17">
        <f>CT22*VLOOKUP('Données projet'!$B$13,Paramètres!$A$1:$I$89,3,0)*VLOOKUP('Données projet'!$B$13,Paramètres!$A$1:$I$89,5,0)</f>
        <v>38.160955012125299</v>
      </c>
      <c r="CV22" s="13">
        <f t="shared" si="41"/>
        <v>11.509880661066306</v>
      </c>
      <c r="CW22" s="20">
        <f t="shared" si="13"/>
        <v>86.510038797475374</v>
      </c>
      <c r="CX22" s="59">
        <f t="shared" si="14"/>
        <v>366.39892768636423</v>
      </c>
      <c r="CY22" s="59">
        <f ca="1">AVERAGE(OFFSET($CX$3,0,0,'Données projet'!$E$13+1,1))-AVERAGE(OFFSET($H$3,0,0,'Données projet'!$E$13+1,1))</f>
        <v>393.01180019332998</v>
      </c>
      <c r="CZ22" s="59">
        <f t="shared" si="42"/>
        <v>283.82782416294748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5.5909090909090908</v>
      </c>
      <c r="DO22" s="12">
        <f>IF('Données projet'!$A$166&gt;35,DO21+DN22-DW21,IF(A22&lt;'Données projet'!$A$166,$DL$205^A22,IF(A22='Données projet'!$A$166,'Données projet'!$B$166,DO21+DN22-DW21)))</f>
        <v>63.814306040343304</v>
      </c>
      <c r="DP22" s="17">
        <f>DO22*VLOOKUP('Données projet'!$B$14,Paramètres!$A$1:$I$89,3,0)*VLOOKUP('Données projet'!$B$14,Paramètres!$A$1:$I$89,5,0)</f>
        <v>38.160955012125299</v>
      </c>
      <c r="DQ22" s="13">
        <f t="shared" si="43"/>
        <v>11.509880661066306</v>
      </c>
      <c r="DR22" s="20">
        <f t="shared" si="16"/>
        <v>86.510038797475374</v>
      </c>
      <c r="DS22" s="59">
        <f t="shared" si="17"/>
        <v>366.39892768636423</v>
      </c>
      <c r="DT22" s="59">
        <f ca="1">AVERAGE(OFFSET($DS$3,0,0,'Données projet'!$E$14+1,1))-AVERAGE(OFFSET($H$3,0,0,'Données projet'!$E$14+1,1))</f>
        <v>393.01180019332998</v>
      </c>
      <c r="DU22" s="59">
        <f t="shared" si="44"/>
        <v>283.82782416294748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2.3088000000000002</v>
      </c>
      <c r="D23" s="11">
        <f t="shared" si="32"/>
        <v>0.96525089214556192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5.0546750615580613</v>
      </c>
      <c r="H23" s="67">
        <f t="shared" si="1"/>
        <v>262.36897197048688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158</v>
      </c>
      <c r="L23" s="12">
        <f>VLOOKUP(A23,'Données projet'!$A$35:$I$55,9,0)</f>
        <v>7.9</v>
      </c>
      <c r="M23" s="12">
        <f t="array" ref="M23">INDEX(L:L,MIN(IF(ISNUMBER(L23:L219),ROW(L23:L219),"")))</f>
        <v>7.9</v>
      </c>
      <c r="N23" s="13">
        <f>IF('Données projet'!$A$36&gt;35,N22+M23-V22,IF(A23&lt;'Données projet'!$A$36,$K$205^A23,IF(A23='Données projet'!$A$36,'Données projet'!$B$36,N22+M23-V22)))</f>
        <v>158</v>
      </c>
      <c r="O23" s="13">
        <f>N23*VLOOKUP('Données projet'!$B$9,Paramètres!$A$1:$I$89,3,0)*VLOOKUP('Données projet'!$B$9,Paramètres!$A$1:$I$89,5,0)</f>
        <v>73.944000000000003</v>
      </c>
      <c r="P23" s="13">
        <f t="shared" si="33"/>
        <v>20.649745460165708</v>
      </c>
      <c r="Q23" s="20">
        <f t="shared" si="2"/>
        <v>164.75077334312192</v>
      </c>
      <c r="R23" s="59">
        <f t="shared" si="0"/>
        <v>445.86188445423306</v>
      </c>
      <c r="S23" s="59">
        <f ca="1">AVERAGE(OFFSET($R$3,0,0,'Données projet'!$E$9+1,1))-AVERAGE(OFFSET($H$3,0,0,'Données projet'!$E$9+1,1))</f>
        <v>189.8770435341392</v>
      </c>
      <c r="T23" s="59">
        <f t="shared" si="34"/>
        <v>230.18380961122767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55.3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0.55000000000000004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18.808262271305477</v>
      </c>
      <c r="AB23" s="21">
        <f>EXP(-LN(2)/2)*AB22+(1-EXP(-LN(2)/2))/(LN(2)/2)*V23*Y23*VLOOKUP('Données projet'!$B$9,Paramètres!$A$1:$I$89,3,0)*0.475*44/12</f>
        <v>0</v>
      </c>
      <c r="AC23" s="22">
        <f t="shared" si="3"/>
        <v>18.808262271305477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75.352860000000007</v>
      </c>
      <c r="AG23" s="12">
        <f>VLOOKUP(A23,'Données projet'!$A$61:$I$81,9,0)</f>
        <v>3.7676430000000005</v>
      </c>
      <c r="AH23" s="12">
        <f t="array" ref="AH23">INDEX(AG:AG,MIN(IF(ISNUMBER(AG23:AG219),ROW(AG23:AG219),"")))</f>
        <v>3.7676430000000005</v>
      </c>
      <c r="AI23" s="13">
        <f>IF('Données projet'!$A$62&gt;35,AI22+AH23-AQ22,IF(A23&lt;'Données projet'!$A$62,$AF$205^A23,IF(A23='Données projet'!$A$62,'Données projet'!$B$62,AI22+AH23-AQ22)))</f>
        <v>75.352860000000007</v>
      </c>
      <c r="AJ23" s="13">
        <f>AI23*VLOOKUP('Données projet'!$B$10,Paramètres!$A$1:$I$89,3,0)*VLOOKUP('Données projet'!$B$10,Paramètres!$A$1:$I$89,5,0)</f>
        <v>33.305964120000006</v>
      </c>
      <c r="AK23" s="13">
        <f t="shared" si="35"/>
        <v>10.205928296092809</v>
      </c>
      <c r="AL23" s="20">
        <f t="shared" si="4"/>
        <v>75.783212624694968</v>
      </c>
      <c r="AM23" s="59">
        <f t="shared" si="5"/>
        <v>356.8943237358061</v>
      </c>
      <c r="AN23" s="59">
        <f ca="1">AVERAGE(OFFSET($AM$3,0,0,'Données projet'!$E$10+1,1))-AVERAGE(OFFSET($H$3,0,0,'Données projet'!$E$10+1,1))</f>
        <v>207.77463758757142</v>
      </c>
      <c r="AO23" s="59">
        <f t="shared" si="36"/>
        <v>180.50802165484066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27.761580000000002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0.55000000000000004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8.9175209172182939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8.9175209172182939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5.5909090909090908</v>
      </c>
      <c r="BD23" s="12">
        <f>IF('Données projet'!$A$88&gt;35,BD22+BC23-BL22,IF(A23&lt;'Données projet'!$A$88,$BA$205^A23,IF(A23='Données projet'!$A$88,'Données projet'!$B$88,BD22+BC23-BL22)))</f>
        <v>79.417047587426694</v>
      </c>
      <c r="BE23" s="13">
        <f>BD23*VLOOKUP('Données projet'!$B$11,Paramètres!$A$1:$I$89,3,0)*VLOOKUP('Données projet'!$B$11,Paramètres!$A$1:$I$89,5,0)</f>
        <v>47.49139445728116</v>
      </c>
      <c r="BF23" s="13">
        <f t="shared" si="37"/>
        <v>13.96397329692701</v>
      </c>
      <c r="BG23" s="20">
        <f t="shared" si="7"/>
        <v>107.03476550524589</v>
      </c>
      <c r="BH23" s="59">
        <f t="shared" si="8"/>
        <v>388.14587661635704</v>
      </c>
      <c r="BI23" s="59">
        <f ca="1">AVERAGE(OFFSET($BH$3,0,0,'Données projet'!$E$11+1,1))-AVERAGE(OFFSET($H$3,0,0,'Données projet'!$E$11+1,1))</f>
        <v>393.01180019332998</v>
      </c>
      <c r="BJ23" s="59">
        <f t="shared" si="38"/>
        <v>283.82782416294748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5.5909090909090908</v>
      </c>
      <c r="BY23" s="12">
        <f>IF('Données projet'!$A$114&gt;35,BY22+BX23-CG22,IF(A23&lt;'Données projet'!$A$114,$BV$205^A23,IF(A23='Données projet'!$A$114,'Données projet'!$B$114,BY22+BX23-CG22)))</f>
        <v>79.417047587426694</v>
      </c>
      <c r="BZ23" s="13">
        <f>BY23*VLOOKUP('Données projet'!$B$12,Paramètres!$A$1:$I$89,3,0)*VLOOKUP('Données projet'!$B$12,Paramètres!$A$1:$I$89,5,0)</f>
        <v>47.49139445728116</v>
      </c>
      <c r="CA23" s="13">
        <f t="shared" si="39"/>
        <v>13.96397329692701</v>
      </c>
      <c r="CB23" s="20">
        <f t="shared" si="10"/>
        <v>107.03476550524589</v>
      </c>
      <c r="CC23" s="59">
        <f t="shared" si="11"/>
        <v>388.14587661635704</v>
      </c>
      <c r="CD23" s="59">
        <f ca="1">AVERAGE(OFFSET($CC$3,0,0,'Données projet'!$E$12+1,1))-AVERAGE(OFFSET($H$3,0,0,'Données projet'!$E$12+1,1))</f>
        <v>393.01180019332998</v>
      </c>
      <c r="CE23" s="59">
        <f t="shared" si="40"/>
        <v>283.82782416294748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5.5909090909090908</v>
      </c>
      <c r="CT23" s="12">
        <f>IF('Données projet'!$A$140&gt;35,CT22+CS23-DB22,IF(A23&lt;'Données projet'!$A$140,$CQ$205^A23,IF(A23='Données projet'!$A$140,'Données projet'!$B$140,CT22+CS23-DB22)))</f>
        <v>79.417047587426694</v>
      </c>
      <c r="CU23" s="17">
        <f>CT23*VLOOKUP('Données projet'!$B$13,Paramètres!$A$1:$I$89,3,0)*VLOOKUP('Données projet'!$B$13,Paramètres!$A$1:$I$89,5,0)</f>
        <v>47.49139445728116</v>
      </c>
      <c r="CV23" s="13">
        <f t="shared" si="41"/>
        <v>13.96397329692701</v>
      </c>
      <c r="CW23" s="20">
        <f t="shared" si="13"/>
        <v>107.03476550524589</v>
      </c>
      <c r="CX23" s="59">
        <f t="shared" si="14"/>
        <v>388.14587661635704</v>
      </c>
      <c r="CY23" s="59">
        <f ca="1">AVERAGE(OFFSET($CX$3,0,0,'Données projet'!$E$13+1,1))-AVERAGE(OFFSET($H$3,0,0,'Données projet'!$E$13+1,1))</f>
        <v>393.01180019332998</v>
      </c>
      <c r="CZ23" s="59">
        <f t="shared" si="42"/>
        <v>283.82782416294748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5.5909090909090908</v>
      </c>
      <c r="DO23" s="12">
        <f>IF('Données projet'!$A$166&gt;35,DO22+DN23-DW22,IF(A23&lt;'Données projet'!$A$166,$DL$205^A23,IF(A23='Données projet'!$A$166,'Données projet'!$B$166,DO22+DN23-DW22)))</f>
        <v>79.417047587426694</v>
      </c>
      <c r="DP23" s="17">
        <f>DO23*VLOOKUP('Données projet'!$B$14,Paramètres!$A$1:$I$89,3,0)*VLOOKUP('Données projet'!$B$14,Paramètres!$A$1:$I$89,5,0)</f>
        <v>47.49139445728116</v>
      </c>
      <c r="DQ23" s="13">
        <f t="shared" si="43"/>
        <v>13.96397329692701</v>
      </c>
      <c r="DR23" s="20">
        <f t="shared" si="16"/>
        <v>107.03476550524589</v>
      </c>
      <c r="DS23" s="59">
        <f t="shared" si="17"/>
        <v>388.14587661635704</v>
      </c>
      <c r="DT23" s="59">
        <f ca="1">AVERAGE(OFFSET($DS$3,0,0,'Données projet'!$E$14+1,1))-AVERAGE(OFFSET($H$3,0,0,'Données projet'!$E$14+1,1))</f>
        <v>393.01180019332998</v>
      </c>
      <c r="DU23" s="59">
        <f t="shared" si="44"/>
        <v>283.82782416294748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2.4242400000000002</v>
      </c>
      <c r="D24" s="11">
        <f t="shared" si="32"/>
        <v>1.0077738300123731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5.298547667387524</v>
      </c>
      <c r="H24" s="67">
        <f t="shared" si="1"/>
        <v>262.64409075393826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9.1999999999999993</v>
      </c>
      <c r="N24" s="13">
        <f>IF('Données projet'!$A$36&gt;35,N23+M24-V23,IF(A24&lt;'Données projet'!$A$36,$K$205^A24,IF(A24='Données projet'!$A$36,'Données projet'!$B$36,N23+M24-V23)))</f>
        <v>111.89999999999999</v>
      </c>
      <c r="O24" s="13">
        <f>N24*VLOOKUP('Données projet'!$B$9,Paramètres!$A$1:$I$89,3,0)*VLOOKUP('Données projet'!$B$9,Paramètres!$A$1:$I$89,5,0)</f>
        <v>52.369199999999999</v>
      </c>
      <c r="P24" s="13">
        <f t="shared" si="33"/>
        <v>15.223957577854017</v>
      </c>
      <c r="Q24" s="20">
        <f t="shared" si="2"/>
        <v>117.72474944809574</v>
      </c>
      <c r="R24" s="59">
        <f t="shared" si="0"/>
        <v>400.05808278142905</v>
      </c>
      <c r="S24" s="59">
        <f ca="1">AVERAGE(OFFSET($R$3,0,0,'Données projet'!$E$9+1,1))-AVERAGE(OFFSET($H$3,0,0,'Données projet'!$E$9+1,1))</f>
        <v>189.8770435341392</v>
      </c>
      <c r="T24" s="59">
        <f t="shared" si="34"/>
        <v>230.18380961122767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18.293949350413101</v>
      </c>
      <c r="AB24" s="21">
        <f>EXP(-LN(2)/2)*AB23+(1-EXP(-LN(2)/2))/(LN(2)/2)*V24*Y24*VLOOKUP('Données projet'!$B$9,Paramètres!$A$1:$I$89,3,0)*0.475*44/12</f>
        <v>0</v>
      </c>
      <c r="AC24" s="22">
        <f t="shared" si="3"/>
        <v>18.293949350413101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13.123656</v>
      </c>
      <c r="AI24" s="13">
        <f>IF('Données projet'!$A$62&gt;35,AI23+AH24-AQ23,IF(A24&lt;'Données projet'!$A$62,$AF$205^A24,IF(A24='Données projet'!$A$62,'Données projet'!$B$62,AI23+AH24-AQ23)))</f>
        <v>60.714936000000002</v>
      </c>
      <c r="AJ24" s="13">
        <f>AI24*VLOOKUP('Données projet'!$B$10,Paramètres!$A$1:$I$89,3,0)*VLOOKUP('Données projet'!$B$10,Paramètres!$A$1:$I$89,5,0)</f>
        <v>26.836001712000002</v>
      </c>
      <c r="AK24" s="13">
        <f t="shared" si="35"/>
        <v>8.4327091717938902</v>
      </c>
      <c r="AL24" s="20">
        <f t="shared" si="4"/>
        <v>61.426338122607696</v>
      </c>
      <c r="AM24" s="59">
        <f t="shared" si="5"/>
        <v>343.75967145594103</v>
      </c>
      <c r="AN24" s="59">
        <f ca="1">AVERAGE(OFFSET($AM$3,0,0,'Données projet'!$E$10+1,1))-AVERAGE(OFFSET($H$3,0,0,'Données projet'!$E$10+1,1))</f>
        <v>207.77463758757142</v>
      </c>
      <c r="AO24" s="59">
        <f t="shared" si="36"/>
        <v>180.50802165484066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8.6736708387849166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8.6736708387849166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5.5909090909090908</v>
      </c>
      <c r="BD24" s="12">
        <f>IF('Données projet'!$A$88&gt;35,BD23+BC24-BL23,IF(A24&lt;'Données projet'!$A$88,$BA$205^A24,IF(A24='Données projet'!$A$88,'Données projet'!$B$88,BD23+BC24-BL23)))</f>
        <v>98.834694582689295</v>
      </c>
      <c r="BE24" s="13">
        <f>BD24*VLOOKUP('Données projet'!$B$11,Paramètres!$A$1:$I$89,3,0)*VLOOKUP('Données projet'!$B$11,Paramètres!$A$1:$I$89,5,0)</f>
        <v>59.103147360448204</v>
      </c>
      <c r="BF24" s="13">
        <f t="shared" si="37"/>
        <v>16.94131815778756</v>
      </c>
      <c r="BG24" s="20">
        <f t="shared" si="7"/>
        <v>132.44411077759398</v>
      </c>
      <c r="BH24" s="59">
        <f t="shared" si="8"/>
        <v>414.77744411092726</v>
      </c>
      <c r="BI24" s="59">
        <f ca="1">AVERAGE(OFFSET($BH$3,0,0,'Données projet'!$E$11+1,1))-AVERAGE(OFFSET($H$3,0,0,'Données projet'!$E$11+1,1))</f>
        <v>393.01180019332998</v>
      </c>
      <c r="BJ24" s="59">
        <f t="shared" si="38"/>
        <v>283.82782416294748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5.5909090909090908</v>
      </c>
      <c r="BY24" s="12">
        <f>IF('Données projet'!$A$114&gt;35,BY23+BX24-CG23,IF(A24&lt;'Données projet'!$A$114,$BV$205^A24,IF(A24='Données projet'!$A$114,'Données projet'!$B$114,BY23+BX24-CG23)))</f>
        <v>98.834694582689295</v>
      </c>
      <c r="BZ24" s="13">
        <f>BY24*VLOOKUP('Données projet'!$B$12,Paramètres!$A$1:$I$89,3,0)*VLOOKUP('Données projet'!$B$12,Paramètres!$A$1:$I$89,5,0)</f>
        <v>59.103147360448204</v>
      </c>
      <c r="CA24" s="13">
        <f t="shared" si="39"/>
        <v>16.94131815778756</v>
      </c>
      <c r="CB24" s="20">
        <f t="shared" si="10"/>
        <v>132.44411077759398</v>
      </c>
      <c r="CC24" s="59">
        <f t="shared" si="11"/>
        <v>414.77744411092726</v>
      </c>
      <c r="CD24" s="59">
        <f ca="1">AVERAGE(OFFSET($CC$3,0,0,'Données projet'!$E$12+1,1))-AVERAGE(OFFSET($H$3,0,0,'Données projet'!$E$12+1,1))</f>
        <v>393.01180019332998</v>
      </c>
      <c r="CE24" s="59">
        <f t="shared" si="40"/>
        <v>283.82782416294748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5.5909090909090908</v>
      </c>
      <c r="CT24" s="12">
        <f>IF('Données projet'!$A$140&gt;35,CT23+CS24-DB23,IF(A24&lt;'Données projet'!$A$140,$CQ$205^A24,IF(A24='Données projet'!$A$140,'Données projet'!$B$140,CT23+CS24-DB23)))</f>
        <v>98.834694582689295</v>
      </c>
      <c r="CU24" s="17">
        <f>CT24*VLOOKUP('Données projet'!$B$13,Paramètres!$A$1:$I$89,3,0)*VLOOKUP('Données projet'!$B$13,Paramètres!$A$1:$I$89,5,0)</f>
        <v>59.103147360448204</v>
      </c>
      <c r="CV24" s="13">
        <f t="shared" si="41"/>
        <v>16.94131815778756</v>
      </c>
      <c r="CW24" s="20">
        <f t="shared" si="13"/>
        <v>132.44411077759398</v>
      </c>
      <c r="CX24" s="59">
        <f t="shared" si="14"/>
        <v>414.77744411092726</v>
      </c>
      <c r="CY24" s="59">
        <f ca="1">AVERAGE(OFFSET($CX$3,0,0,'Données projet'!$E$13+1,1))-AVERAGE(OFFSET($H$3,0,0,'Données projet'!$E$13+1,1))</f>
        <v>393.01180019332998</v>
      </c>
      <c r="CZ24" s="59">
        <f t="shared" si="42"/>
        <v>283.82782416294748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5.5909090909090908</v>
      </c>
      <c r="DO24" s="12">
        <f>IF('Données projet'!$A$166&gt;35,DO23+DN24-DW23,IF(A24&lt;'Données projet'!$A$166,$DL$205^A24,IF(A24='Données projet'!$A$166,'Données projet'!$B$166,DO23+DN24-DW23)))</f>
        <v>98.834694582689295</v>
      </c>
      <c r="DP24" s="17">
        <f>DO24*VLOOKUP('Données projet'!$B$14,Paramètres!$A$1:$I$89,3,0)*VLOOKUP('Données projet'!$B$14,Paramètres!$A$1:$I$89,5,0)</f>
        <v>59.103147360448204</v>
      </c>
      <c r="DQ24" s="13">
        <f t="shared" si="43"/>
        <v>16.94131815778756</v>
      </c>
      <c r="DR24" s="20">
        <f t="shared" si="16"/>
        <v>132.44411077759398</v>
      </c>
      <c r="DS24" s="59">
        <f t="shared" si="17"/>
        <v>414.77744411092726</v>
      </c>
      <c r="DT24" s="59">
        <f ca="1">AVERAGE(OFFSET($DS$3,0,0,'Données projet'!$E$14+1,1))-AVERAGE(OFFSET($H$3,0,0,'Données projet'!$E$14+1,1))</f>
        <v>393.01180019332998</v>
      </c>
      <c r="DU24" s="59">
        <f t="shared" si="44"/>
        <v>283.82782416294748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2.5396800000000002</v>
      </c>
      <c r="D25" s="11">
        <f t="shared" si="32"/>
        <v>1.0500616274962125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5.5420572494678373</v>
      </c>
      <c r="H25" s="67">
        <f t="shared" si="1"/>
        <v>262.91880000122256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9.1999999999999993</v>
      </c>
      <c r="N25" s="13">
        <f>IF('Données projet'!$A$36&gt;35,N24+M25-V24,IF(A25&lt;'Données projet'!$A$36,$K$205^A25,IF(A25='Données projet'!$A$36,'Données projet'!$B$36,N24+M25-V24)))</f>
        <v>121.1</v>
      </c>
      <c r="O25" s="13">
        <f>N25*VLOOKUP('Données projet'!$B$9,Paramètres!$A$1:$I$89,3,0)*VLOOKUP('Données projet'!$B$9,Paramètres!$A$1:$I$89,5,0)</f>
        <v>56.674799999999998</v>
      </c>
      <c r="P25" s="13">
        <f t="shared" si="33"/>
        <v>16.32478482217585</v>
      </c>
      <c r="Q25" s="20">
        <f t="shared" si="2"/>
        <v>127.1409435652896</v>
      </c>
      <c r="R25" s="59">
        <f t="shared" si="0"/>
        <v>410.69649912084515</v>
      </c>
      <c r="S25" s="59">
        <f ca="1">AVERAGE(OFFSET($R$3,0,0,'Données projet'!$E$9+1,1))-AVERAGE(OFFSET($H$3,0,0,'Données projet'!$E$9+1,1))</f>
        <v>189.8770435341392</v>
      </c>
      <c r="T25" s="59">
        <f t="shared" si="34"/>
        <v>230.18380961122767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17.793700343389069</v>
      </c>
      <c r="AB25" s="21">
        <f>EXP(-LN(2)/2)*AB24+(1-EXP(-LN(2)/2))/(LN(2)/2)*V25*Y25*VLOOKUP('Données projet'!$B$9,Paramètres!$A$1:$I$89,3,0)*0.475*44/12</f>
        <v>0</v>
      </c>
      <c r="AC25" s="22">
        <f t="shared" si="3"/>
        <v>17.793700343389069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13.123656</v>
      </c>
      <c r="AI25" s="13">
        <f>IF('Données projet'!$A$62&gt;35,AI24+AH25-AQ24,IF(A25&lt;'Données projet'!$A$62,$AF$205^A25,IF(A25='Données projet'!$A$62,'Données projet'!$B$62,AI24+AH25-AQ24)))</f>
        <v>73.838592000000006</v>
      </c>
      <c r="AJ25" s="13">
        <f>AI25*VLOOKUP('Données projet'!$B$10,Paramètres!$A$1:$I$89,3,0)*VLOOKUP('Données projet'!$B$10,Paramètres!$A$1:$I$89,5,0)</f>
        <v>32.636657664000005</v>
      </c>
      <c r="AK25" s="13">
        <f t="shared" si="35"/>
        <v>10.024492614780353</v>
      </c>
      <c r="AL25" s="20">
        <f t="shared" si="4"/>
        <v>74.301503402209107</v>
      </c>
      <c r="AM25" s="59">
        <f t="shared" si="5"/>
        <v>357.85705895776465</v>
      </c>
      <c r="AN25" s="59">
        <f ca="1">AVERAGE(OFFSET($AM$3,0,0,'Données projet'!$E$10+1,1))-AVERAGE(OFFSET($H$3,0,0,'Données projet'!$E$10+1,1))</f>
        <v>207.77463758757142</v>
      </c>
      <c r="AO25" s="59">
        <f t="shared" si="36"/>
        <v>180.50802165484066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8.4364888535698181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8.4364888535698181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>
        <f>VLOOKUP(A25,'Données projet'!$A$87:$I$107,2,0)</f>
        <v>123</v>
      </c>
      <c r="BB25" s="12">
        <f>VLOOKUP(A25,'Données projet'!$A$87:$I$107,9,0)</f>
        <v>5.5909090909090908</v>
      </c>
      <c r="BC25" s="12">
        <f t="array" ref="BC25">INDEX(BB:BB,MIN(IF(ISNUMBER(BB25:BB221),ROW(BB25:BB221),"")))</f>
        <v>5.5909090909090908</v>
      </c>
      <c r="BD25" s="12">
        <f>IF('Données projet'!$A$88&gt;35,BD24+BC25-BL24,IF(A25&lt;'Données projet'!$A$88,$BA$205^A25,IF(A25='Données projet'!$A$88,'Données projet'!$B$88,BD24+BC25-BL24)))</f>
        <v>123</v>
      </c>
      <c r="BE25" s="13">
        <f>BD25*VLOOKUP('Données projet'!$B$11,Paramètres!$A$1:$I$89,3,0)*VLOOKUP('Données projet'!$B$11,Paramètres!$A$1:$I$89,5,0)</f>
        <v>73.554000000000016</v>
      </c>
      <c r="BF25" s="13">
        <f t="shared" si="37"/>
        <v>20.553481077376691</v>
      </c>
      <c r="BG25" s="20">
        <f t="shared" si="7"/>
        <v>163.90386287643108</v>
      </c>
      <c r="BH25" s="59">
        <f t="shared" si="8"/>
        <v>447.45941843198659</v>
      </c>
      <c r="BI25" s="59">
        <f ca="1">AVERAGE(OFFSET($BH$3,0,0,'Données projet'!$E$11+1,1))-AVERAGE(OFFSET($H$3,0,0,'Données projet'!$E$11+1,1))</f>
        <v>393.01180019332998</v>
      </c>
      <c r="BJ25" s="59">
        <f t="shared" si="38"/>
        <v>283.82782416294748</v>
      </c>
      <c r="BK25" s="15">
        <f>IF(ISNA(VLOOKUP(A25,'Données projet'!$A$87:$I$107,3,0)),0,VLOOKUP(A25,'Données projet'!$A$87:$I$107,3,0))</f>
        <v>1</v>
      </c>
      <c r="BL25" s="15">
        <f>IF(ISNA(VLOOKUP(A25,'Données projet'!$A$87:$I$107,4,0)),0,VLOOKUP(A25,'Données projet'!$A$87:$I$107,4,0))</f>
        <v>16</v>
      </c>
      <c r="BM25" s="16">
        <f>IF(ISNA(VLOOKUP(A25,'Données projet'!$A$87:$I$107,5,0)),0%,VLOOKUP(A25,'Données projet'!$A$87:$I$107,5,0)*VLOOKUP('Données projet'!$B$11,Paramètres!$A$1:$I$89,7,0))</f>
        <v>4.5000000000000005E-2</v>
      </c>
      <c r="BN25" s="16">
        <f>IF(ISNA(VLOOKUP(A25,'Données projet'!$A$87:$I$107,6,0)),0%,VLOOKUP(A25,'Données projet'!$A$87:$I$107,6,0)*VLOOKUP('Données projet'!$B$11,Paramètres!$A$1:$I$89,7,0))</f>
        <v>0.36000000000000004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0.57116559193404848</v>
      </c>
      <c r="BQ25" s="21">
        <f>EXP(-LN(2)/25)*BQ24+(1-EXP(-LN(2)/25))/(LN(2)/25)*Calculateur!BL25*Calculateur!BN25*VLOOKUP('Données projet'!$B$11,Paramètres!$A$1:$I$89,3,0)*0.475*44/12</f>
        <v>4.5513335629396128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5.1224991548736609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>
        <f>VLOOKUP(A25,'Données projet'!$A$113:$I$133,2,0)</f>
        <v>123</v>
      </c>
      <c r="BW25" s="12">
        <f>VLOOKUP(A25,'Données projet'!$A$113:$I$133,9,0)</f>
        <v>5.5909090909090908</v>
      </c>
      <c r="BX25" s="12">
        <f t="array" ref="BX25">INDEX(BW:BW,MIN(IF(ISNUMBER(BW25:BW221),ROW(BW25:BW221),"")))</f>
        <v>5.5909090909090908</v>
      </c>
      <c r="BY25" s="12">
        <f>IF('Données projet'!$A$114&gt;35,BY24+BX25-CG24,IF(A25&lt;'Données projet'!$A$114,$BV$205^A25,IF(A25='Données projet'!$A$114,'Données projet'!$B$114,BY24+BX25-CG24)))</f>
        <v>123</v>
      </c>
      <c r="BZ25" s="13">
        <f>BY25*VLOOKUP('Données projet'!$B$12,Paramètres!$A$1:$I$89,3,0)*VLOOKUP('Données projet'!$B$12,Paramètres!$A$1:$I$89,5,0)</f>
        <v>73.554000000000016</v>
      </c>
      <c r="CA25" s="13">
        <f t="shared" si="39"/>
        <v>20.553481077376691</v>
      </c>
      <c r="CB25" s="20">
        <f t="shared" si="10"/>
        <v>163.90386287643108</v>
      </c>
      <c r="CC25" s="59">
        <f t="shared" si="11"/>
        <v>447.45941843198659</v>
      </c>
      <c r="CD25" s="59">
        <f ca="1">AVERAGE(OFFSET($CC$3,0,0,'Données projet'!$E$12+1,1))-AVERAGE(OFFSET($H$3,0,0,'Données projet'!$E$12+1,1))</f>
        <v>393.01180019332998</v>
      </c>
      <c r="CE25" s="59">
        <f t="shared" si="40"/>
        <v>283.82782416294748</v>
      </c>
      <c r="CF25" s="15">
        <f>IF(ISNA(VLOOKUP(A25,'Données projet'!$A$113:$I$133,3,0)),0,VLOOKUP(A25,'Données projet'!$A$113:$I$133,3,0))</f>
        <v>1</v>
      </c>
      <c r="CG25" s="15">
        <f>IF(ISNA(VLOOKUP(A25,'Données projet'!$A$113:$I$133,4,0)),0,VLOOKUP(A25,'Données projet'!$A$113:$I$133,4,0))</f>
        <v>16</v>
      </c>
      <c r="CH25" s="16">
        <f>IF(ISNA(VLOOKUP(A25,'Données projet'!$A$113:$I$133,5,0)),0%,VLOOKUP(A25,'Données projet'!$A$113:$I$133,5,0)*VLOOKUP('Données projet'!$B$12,Paramètres!$A$1:$I$89,7,0))</f>
        <v>4.5000000000000005E-2</v>
      </c>
      <c r="CI25" s="16">
        <f>IF(ISNA(VLOOKUP(A25,'Données projet'!$A$113:$I$133,6,0)),0%,VLOOKUP(A25,'Données projet'!$A$113:$I$133,6,0)*VLOOKUP('Données projet'!$B$12,Paramètres!$A$1:$I$89,7,0))</f>
        <v>0.36000000000000004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0.57116559193404848</v>
      </c>
      <c r="CL25" s="21">
        <f>EXP(-LN(2)/25)*CL24+(1-EXP(-LN(2)/25))/(LN(2)/25)*Calculateur!CG25*Calculateur!CI25*VLOOKUP('Données projet'!$B$12,Paramètres!$A$1:$I$89,3,0)*0.475*44/12</f>
        <v>4.5513335629396128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5.1224991548736609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>
        <f>VLOOKUP(A25,'Données projet'!$A$139:$I$159,2,0)</f>
        <v>123</v>
      </c>
      <c r="CR25" s="12">
        <f>VLOOKUP(A25,'Données projet'!$A$139:$I$159,9,0)</f>
        <v>5.5909090909090908</v>
      </c>
      <c r="CS25" s="12">
        <f t="array" ref="CS25">INDEX(CR:CR,MIN(IF(ISNUMBER(CR25:CR221),ROW(CR25:CR221),"")))</f>
        <v>5.5909090909090908</v>
      </c>
      <c r="CT25" s="12">
        <f>IF('Données projet'!$A$140&gt;35,CT24+CS25-DB24,IF(A25&lt;'Données projet'!$A$140,$CQ$205^A25,IF(A25='Données projet'!$A$140,'Données projet'!$B$140,CT24+CS25-DB24)))</f>
        <v>123</v>
      </c>
      <c r="CU25" s="17">
        <f>CT25*VLOOKUP('Données projet'!$B$13,Paramètres!$A$1:$I$89,3,0)*VLOOKUP('Données projet'!$B$13,Paramètres!$A$1:$I$89,5,0)</f>
        <v>73.554000000000016</v>
      </c>
      <c r="CV25" s="13">
        <f t="shared" si="41"/>
        <v>20.553481077376691</v>
      </c>
      <c r="CW25" s="20">
        <f t="shared" si="13"/>
        <v>163.90386287643108</v>
      </c>
      <c r="CX25" s="59">
        <f t="shared" si="14"/>
        <v>447.45941843198659</v>
      </c>
      <c r="CY25" s="59">
        <f ca="1">AVERAGE(OFFSET($CX$3,0,0,'Données projet'!$E$13+1,1))-AVERAGE(OFFSET($H$3,0,0,'Données projet'!$E$13+1,1))</f>
        <v>393.01180019332998</v>
      </c>
      <c r="CZ25" s="59">
        <f t="shared" si="42"/>
        <v>283.82782416294748</v>
      </c>
      <c r="DA25" s="15">
        <f>IF(ISNA(VLOOKUP(A25,'Données projet'!$A$139:$I$159,3,0)),0,VLOOKUP(A25,'Données projet'!$A$139:$I$159,3,0))</f>
        <v>1</v>
      </c>
      <c r="DB25" s="15">
        <f>IF(ISNA(VLOOKUP(A25,'Données projet'!$A$139:$I$159,4,0)),0,VLOOKUP(A25,'Données projet'!$A$139:$I$159,4,0))</f>
        <v>16</v>
      </c>
      <c r="DC25" s="16">
        <f>IF(ISNA(VLOOKUP(A25,'Données projet'!$A$139:$I$159,5,0)),0%,VLOOKUP(A25,'Données projet'!$A$139:$I$159,5,0)*VLOOKUP('Données projet'!$B$13,Paramètres!$A$1:$I$89,7,0))</f>
        <v>4.5000000000000005E-2</v>
      </c>
      <c r="DD25" s="16">
        <f>IF(ISNA(VLOOKUP(A25,'Données projet'!$A$139:$I$159,6,0)),0%,VLOOKUP(A25,'Données projet'!$A$139:$I$159,6,0)*VLOOKUP('Données projet'!$B$13,Paramètres!$A$1:$I$89,7,0))</f>
        <v>0.36000000000000004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0.57116559193404848</v>
      </c>
      <c r="DG25" s="21">
        <f>EXP(-LN(2)/25)*DG24+(1-EXP(-LN(2)/25))/(LN(2)/25)*Calculateur!DB25*Calculateur!DD25*VLOOKUP('Données projet'!$B$13,Paramètres!$A$1:$I$89,3,0)*0.475*44/12</f>
        <v>4.5513335629396128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5.1224991548736609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>
        <f>VLOOKUP(A25,'Données projet'!$A$165:$I$185,2,0)</f>
        <v>123</v>
      </c>
      <c r="DM25" s="12">
        <f>VLOOKUP(A25,'Données projet'!$A$165:$I$185,9,0)</f>
        <v>5.5909090909090908</v>
      </c>
      <c r="DN25" s="12">
        <f t="array" ref="DN25">INDEX(DM:DM,MIN(IF(ISNUMBER(DM25:DM221),ROW(DM25:DM221),"")))</f>
        <v>5.5909090909090908</v>
      </c>
      <c r="DO25" s="12">
        <f>IF('Données projet'!$A$166&gt;35,DO24+DN25-DW24,IF(A25&lt;'Données projet'!$A$166,$DL$205^A25,IF(A25='Données projet'!$A$166,'Données projet'!$B$166,DO24+DN25-DW24)))</f>
        <v>123</v>
      </c>
      <c r="DP25" s="17">
        <f>DO25*VLOOKUP('Données projet'!$B$14,Paramètres!$A$1:$I$89,3,0)*VLOOKUP('Données projet'!$B$14,Paramètres!$A$1:$I$89,5,0)</f>
        <v>73.554000000000016</v>
      </c>
      <c r="DQ25" s="13">
        <f t="shared" si="43"/>
        <v>20.553481077376691</v>
      </c>
      <c r="DR25" s="20">
        <f t="shared" si="16"/>
        <v>163.90386287643108</v>
      </c>
      <c r="DS25" s="59">
        <f t="shared" si="17"/>
        <v>447.45941843198659</v>
      </c>
      <c r="DT25" s="59">
        <f ca="1">AVERAGE(OFFSET($DS$3,0,0,'Données projet'!$E$14+1,1))-AVERAGE(OFFSET($H$3,0,0,'Données projet'!$E$14+1,1))</f>
        <v>393.01180019332998</v>
      </c>
      <c r="DU25" s="59">
        <f t="shared" si="44"/>
        <v>283.82782416294748</v>
      </c>
      <c r="DV25" s="15">
        <f>IF(ISNA(VLOOKUP(A25,'Données projet'!$A$165:$I$185,3,0)),0,VLOOKUP(A25,'Données projet'!$A$165:$I$185,3,0))</f>
        <v>1</v>
      </c>
      <c r="DW25" s="15">
        <f>IF(ISNA(VLOOKUP(A25,'Données projet'!$A$165:$I$185,4,0)),0,VLOOKUP(A25,'Données projet'!$A$165:$I$185,4,0))</f>
        <v>16</v>
      </c>
      <c r="DX25" s="16">
        <f>IF(ISNA(VLOOKUP(A25,'Données projet'!$A$165:$I$185,5,0)),0%,VLOOKUP(A25,'Données projet'!$A$165:$I$185,5,0)*VLOOKUP('Données projet'!$B$14,Paramètres!$A$1:$I$89,7,0))</f>
        <v>4.5000000000000005E-2</v>
      </c>
      <c r="DY25" s="16">
        <f>IF(ISNA(VLOOKUP(A25,'Données projet'!$A$165:$I$185,6,0)),0%,VLOOKUP(A25,'Données projet'!$A$165:$I$185,6,0)*VLOOKUP('Données projet'!$B$14,Paramètres!$A$1:$I$89,7,0))</f>
        <v>0.36000000000000004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0.57116559193404848</v>
      </c>
      <c r="EB25" s="21">
        <f>EXP(-LN(2)/25)*EB24+(1-EXP(-LN(2)/25))/(LN(2)/25)*Calculateur!DW25*Calculateur!DY25*VLOOKUP('Données projet'!$B$14,Paramètres!$A$1:$I$89,3,0)*0.475*44/12</f>
        <v>4.5513335629396128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5.1224991548736609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2.6551200000000001</v>
      </c>
      <c r="D26" s="11">
        <f t="shared" si="32"/>
        <v>1.0921261937719942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5.7852221938936061</v>
      </c>
      <c r="H26" s="67">
        <f t="shared" si="1"/>
        <v>263.1931204541529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9.1999999999999993</v>
      </c>
      <c r="N26" s="13">
        <f>IF('Données projet'!$A$36&gt;35,N25+M26-V25,IF(A26&lt;'Données projet'!$A$36,$K$205^A26,IF(A26='Données projet'!$A$36,'Données projet'!$B$36,N25+M26-V25)))</f>
        <v>130.29999999999998</v>
      </c>
      <c r="O26" s="13">
        <f>N26*VLOOKUP('Données projet'!$B$9,Paramètres!$A$1:$I$89,3,0)*VLOOKUP('Données projet'!$B$9,Paramètres!$A$1:$I$89,5,0)</f>
        <v>60.980399999999996</v>
      </c>
      <c r="P26" s="13">
        <f t="shared" si="33"/>
        <v>17.415910586658711</v>
      </c>
      <c r="Q26" s="20">
        <f t="shared" si="2"/>
        <v>136.54024093843057</v>
      </c>
      <c r="R26" s="59">
        <f t="shared" si="0"/>
        <v>421.31801871620837</v>
      </c>
      <c r="S26" s="59">
        <f ca="1">AVERAGE(OFFSET($R$3,0,0,'Données projet'!$E$9+1,1))-AVERAGE(OFFSET($H$3,0,0,'Données projet'!$E$9+1,1))</f>
        <v>189.8770435341392</v>
      </c>
      <c r="T26" s="59">
        <f t="shared" si="34"/>
        <v>230.18380961122767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17.307130671769063</v>
      </c>
      <c r="AB26" s="21">
        <f>EXP(-LN(2)/2)*AB25+(1-EXP(-LN(2)/2))/(LN(2)/2)*V26*Y26*VLOOKUP('Données projet'!$B$9,Paramètres!$A$1:$I$89,3,0)*0.475*44/12</f>
        <v>0</v>
      </c>
      <c r="AC26" s="22">
        <f t="shared" si="3"/>
        <v>17.307130671769063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13.123656</v>
      </c>
      <c r="AI26" s="13">
        <f>IF('Données projet'!$A$62&gt;35,AI25+AH26-AQ25,IF(A26&lt;'Données projet'!$A$62,$AF$205^A26,IF(A26='Données projet'!$A$62,'Données projet'!$B$62,AI25+AH26-AQ25)))</f>
        <v>86.962248000000002</v>
      </c>
      <c r="AJ26" s="13">
        <f>AI26*VLOOKUP('Données projet'!$B$10,Paramètres!$A$1:$I$89,3,0)*VLOOKUP('Données projet'!$B$10,Paramètres!$A$1:$I$89,5,0)</f>
        <v>38.437313616000004</v>
      </c>
      <c r="AK26" s="13">
        <f t="shared" si="35"/>
        <v>11.58350097920731</v>
      </c>
      <c r="AL26" s="20">
        <f t="shared" si="4"/>
        <v>87.119585419986052</v>
      </c>
      <c r="AM26" s="59">
        <f t="shared" si="5"/>
        <v>371.89736319776381</v>
      </c>
      <c r="AN26" s="59">
        <f ca="1">AVERAGE(OFFSET($AM$3,0,0,'Données projet'!$E$10+1,1))-AVERAGE(OFFSET($H$3,0,0,'Données projet'!$E$10+1,1))</f>
        <v>207.77463758757142</v>
      </c>
      <c r="AO26" s="59">
        <f t="shared" si="36"/>
        <v>180.50802165484066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8.2057926222132842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8.2057926222132842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12.333333333333334</v>
      </c>
      <c r="BD26" s="12">
        <f>IF('Données projet'!$A$88&gt;35,BD25+BC26-BL25,IF(A26&lt;'Données projet'!$A$88,$BA$205^A26,IF(A26='Données projet'!$A$88,'Données projet'!$B$88,BD25+BC26-BL25)))</f>
        <v>119.33333333333334</v>
      </c>
      <c r="BE26" s="13">
        <f>BD26*VLOOKUP('Données projet'!$B$11,Paramètres!$A$1:$I$89,3,0)*VLOOKUP('Données projet'!$B$11,Paramètres!$A$1:$I$89,5,0)</f>
        <v>71.361333333333349</v>
      </c>
      <c r="BF26" s="13">
        <f t="shared" si="37"/>
        <v>20.011144716858571</v>
      </c>
      <c r="BG26" s="20">
        <f t="shared" si="7"/>
        <v>159.14039927075092</v>
      </c>
      <c r="BH26" s="59">
        <f t="shared" si="8"/>
        <v>443.91817704852872</v>
      </c>
      <c r="BI26" s="59">
        <f ca="1">AVERAGE(OFFSET($BH$3,0,0,'Données projet'!$E$11+1,1))-AVERAGE(OFFSET($H$3,0,0,'Données projet'!$E$11+1,1))</f>
        <v>393.01180019332998</v>
      </c>
      <c r="BJ26" s="59">
        <f t="shared" si="38"/>
        <v>283.82782416294748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0.5599653830528335</v>
      </c>
      <c r="BQ26" s="21">
        <f>EXP(-LN(2)/25)*BQ25+(1-EXP(-LN(2)/25))/(LN(2)/25)*Calculateur!BL26*Calculateur!BN26*VLOOKUP('Données projet'!$B$11,Paramètres!$A$1:$I$89,3,0)*0.475*44/12</f>
        <v>4.4268771073167992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4.9868424903696322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12.333333333333334</v>
      </c>
      <c r="BY26" s="12">
        <f>IF('Données projet'!$A$114&gt;35,BY25+BX26-CG25,IF(A26&lt;'Données projet'!$A$114,$BV$205^A26,IF(A26='Données projet'!$A$114,'Données projet'!$B$114,BY25+BX26-CG25)))</f>
        <v>119.33333333333334</v>
      </c>
      <c r="BZ26" s="13">
        <f>BY26*VLOOKUP('Données projet'!$B$12,Paramètres!$A$1:$I$89,3,0)*VLOOKUP('Données projet'!$B$12,Paramètres!$A$1:$I$89,5,0)</f>
        <v>71.361333333333349</v>
      </c>
      <c r="CA26" s="13">
        <f t="shared" si="39"/>
        <v>20.011144716858571</v>
      </c>
      <c r="CB26" s="20">
        <f t="shared" si="10"/>
        <v>159.14039927075092</v>
      </c>
      <c r="CC26" s="59">
        <f t="shared" si="11"/>
        <v>443.91817704852872</v>
      </c>
      <c r="CD26" s="59">
        <f ca="1">AVERAGE(OFFSET($CC$3,0,0,'Données projet'!$E$12+1,1))-AVERAGE(OFFSET($H$3,0,0,'Données projet'!$E$12+1,1))</f>
        <v>393.01180019332998</v>
      </c>
      <c r="CE26" s="59">
        <f t="shared" si="40"/>
        <v>283.82782416294748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0.5599653830528335</v>
      </c>
      <c r="CL26" s="21">
        <f>EXP(-LN(2)/25)*CL25+(1-EXP(-LN(2)/25))/(LN(2)/25)*Calculateur!CG26*Calculateur!CI26*VLOOKUP('Données projet'!$B$12,Paramètres!$A$1:$I$89,3,0)*0.475*44/12</f>
        <v>4.4268771073167992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4.9868424903696322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12.333333333333334</v>
      </c>
      <c r="CT26" s="12">
        <f>IF('Données projet'!$A$140&gt;35,CT25+CS26-DB25,IF(A26&lt;'Données projet'!$A$140,$CQ$205^A26,IF(A26='Données projet'!$A$140,'Données projet'!$B$140,CT25+CS26-DB25)))</f>
        <v>119.33333333333334</v>
      </c>
      <c r="CU26" s="17">
        <f>CT26*VLOOKUP('Données projet'!$B$13,Paramètres!$A$1:$I$89,3,0)*VLOOKUP('Données projet'!$B$13,Paramètres!$A$1:$I$89,5,0)</f>
        <v>71.361333333333349</v>
      </c>
      <c r="CV26" s="13">
        <f t="shared" si="41"/>
        <v>20.011144716858571</v>
      </c>
      <c r="CW26" s="20">
        <f t="shared" si="13"/>
        <v>159.14039927075092</v>
      </c>
      <c r="CX26" s="59">
        <f t="shared" si="14"/>
        <v>443.91817704852872</v>
      </c>
      <c r="CY26" s="59">
        <f ca="1">AVERAGE(OFFSET($CX$3,0,0,'Données projet'!$E$13+1,1))-AVERAGE(OFFSET($H$3,0,0,'Données projet'!$E$13+1,1))</f>
        <v>393.01180019332998</v>
      </c>
      <c r="CZ26" s="59">
        <f t="shared" si="42"/>
        <v>283.82782416294748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0.5599653830528335</v>
      </c>
      <c r="DG26" s="21">
        <f>EXP(-LN(2)/25)*DG25+(1-EXP(-LN(2)/25))/(LN(2)/25)*Calculateur!DB26*Calculateur!DD26*VLOOKUP('Données projet'!$B$13,Paramètres!$A$1:$I$89,3,0)*0.475*44/12</f>
        <v>4.4268771073167992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4.9868424903696322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12.333333333333334</v>
      </c>
      <c r="DO26" s="12">
        <f>IF('Données projet'!$A$166&gt;35,DO25+DN26-DW25,IF(A26&lt;'Données projet'!$A$166,$DL$205^A26,IF(A26='Données projet'!$A$166,'Données projet'!$B$166,DO25+DN26-DW25)))</f>
        <v>119.33333333333334</v>
      </c>
      <c r="DP26" s="17">
        <f>DO26*VLOOKUP('Données projet'!$B$14,Paramètres!$A$1:$I$89,3,0)*VLOOKUP('Données projet'!$B$14,Paramètres!$A$1:$I$89,5,0)</f>
        <v>71.361333333333349</v>
      </c>
      <c r="DQ26" s="13">
        <f t="shared" si="43"/>
        <v>20.011144716858571</v>
      </c>
      <c r="DR26" s="20">
        <f t="shared" si="16"/>
        <v>159.14039927075092</v>
      </c>
      <c r="DS26" s="59">
        <f t="shared" si="17"/>
        <v>443.91817704852872</v>
      </c>
      <c r="DT26" s="59">
        <f ca="1">AVERAGE(OFFSET($DS$3,0,0,'Données projet'!$E$14+1,1))-AVERAGE(OFFSET($H$3,0,0,'Données projet'!$E$14+1,1))</f>
        <v>393.01180019332998</v>
      </c>
      <c r="DU26" s="59">
        <f t="shared" si="44"/>
        <v>283.82782416294748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0.5599653830528335</v>
      </c>
      <c r="EB26" s="21">
        <f>EXP(-LN(2)/25)*EB25+(1-EXP(-LN(2)/25))/(LN(2)/25)*Calculateur!DW26*Calculateur!DY26*VLOOKUP('Données projet'!$B$14,Paramètres!$A$1:$I$89,3,0)*0.475*44/12</f>
        <v>4.4268771073167992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4.9868424903696322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2.7705600000000001</v>
      </c>
      <c r="D27" s="11">
        <f t="shared" si="32"/>
        <v>1.133978343872087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6.0280591975569067</v>
      </c>
      <c r="H27" s="67">
        <f t="shared" si="1"/>
        <v>263.46707094891059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9.1999999999999993</v>
      </c>
      <c r="N27" s="13">
        <f>IF('Données projet'!$A$36&gt;35,N26+M27-V26,IF(A27&lt;'Données projet'!$A$36,$K$205^A27,IF(A27='Données projet'!$A$36,'Données projet'!$B$36,N26+M27-V26)))</f>
        <v>139.49999999999997</v>
      </c>
      <c r="O27" s="13">
        <f>N27*VLOOKUP('Données projet'!$B$9,Paramètres!$A$1:$I$89,3,0)*VLOOKUP('Données projet'!$B$9,Paramètres!$A$1:$I$89,5,0)</f>
        <v>65.285999999999987</v>
      </c>
      <c r="P27" s="13">
        <f t="shared" si="33"/>
        <v>18.498097767862411</v>
      </c>
      <c r="Q27" s="20">
        <f t="shared" si="2"/>
        <v>145.923970279027</v>
      </c>
      <c r="R27" s="59">
        <f t="shared" si="0"/>
        <v>431.923970279027</v>
      </c>
      <c r="S27" s="59">
        <f ca="1">AVERAGE(OFFSET($R$3,0,0,'Données projet'!$E$9+1,1))-AVERAGE(OFFSET($H$3,0,0,'Données projet'!$E$9+1,1))</f>
        <v>189.8770435341392</v>
      </c>
      <c r="T27" s="59">
        <f t="shared" si="34"/>
        <v>230.18380961122767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16.833866273407093</v>
      </c>
      <c r="AB27" s="21">
        <f>EXP(-LN(2)/2)*AB26+(1-EXP(-LN(2)/2))/(LN(2)/2)*V27*Y27*VLOOKUP('Données projet'!$B$9,Paramètres!$A$1:$I$89,3,0)*0.475*44/12</f>
        <v>0</v>
      </c>
      <c r="AC27" s="22">
        <f t="shared" si="3"/>
        <v>16.833866273407093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13.123656</v>
      </c>
      <c r="AI27" s="13">
        <f>IF('Données projet'!$A$62&gt;35,AI26+AH27-AQ26,IF(A27&lt;'Données projet'!$A$62,$AF$205^A27,IF(A27='Données projet'!$A$62,'Données projet'!$B$62,AI26+AH27-AQ26)))</f>
        <v>100.085904</v>
      </c>
      <c r="AJ27" s="13">
        <f>AI27*VLOOKUP('Données projet'!$B$10,Paramètres!$A$1:$I$89,3,0)*VLOOKUP('Données projet'!$B$10,Paramètres!$A$1:$I$89,5,0)</f>
        <v>44.237969568000004</v>
      </c>
      <c r="AK27" s="13">
        <f t="shared" si="35"/>
        <v>13.115253544514566</v>
      </c>
      <c r="AL27" s="20">
        <f t="shared" si="4"/>
        <v>99.890196920962865</v>
      </c>
      <c r="AM27" s="59">
        <f t="shared" si="5"/>
        <v>385.89019692096286</v>
      </c>
      <c r="AN27" s="59">
        <f ca="1">AVERAGE(OFFSET($AM$3,0,0,'Données projet'!$E$10+1,1))-AVERAGE(OFFSET($H$3,0,0,'Données projet'!$E$10+1,1))</f>
        <v>207.77463758757142</v>
      </c>
      <c r="AO27" s="59">
        <f t="shared" si="36"/>
        <v>180.50802165484066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7.9814047914349828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7.9814047914349828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12.333333333333334</v>
      </c>
      <c r="BD27" s="12">
        <f>IF('Données projet'!$A$88&gt;35,BD26+BC27-BL26,IF(A27&lt;'Données projet'!$A$88,$BA$205^A27,IF(A27='Données projet'!$A$88,'Données projet'!$B$88,BD26+BC27-BL26)))</f>
        <v>131.66666666666669</v>
      </c>
      <c r="BE27" s="13">
        <f>BD27*VLOOKUP('Données projet'!$B$11,Paramètres!$A$1:$I$89,3,0)*VLOOKUP('Données projet'!$B$11,Paramètres!$A$1:$I$89,5,0)</f>
        <v>78.736666666666679</v>
      </c>
      <c r="BF27" s="13">
        <f t="shared" si="37"/>
        <v>21.828006984037064</v>
      </c>
      <c r="BG27" s="20">
        <f t="shared" si="7"/>
        <v>175.15013994164235</v>
      </c>
      <c r="BH27" s="59">
        <f t="shared" si="8"/>
        <v>461.15013994164235</v>
      </c>
      <c r="BI27" s="59">
        <f ca="1">AVERAGE(OFFSET($BH$3,0,0,'Données projet'!$E$11+1,1))-AVERAGE(OFFSET($H$3,0,0,'Données projet'!$E$11+1,1))</f>
        <v>393.01180019332998</v>
      </c>
      <c r="BJ27" s="59">
        <f t="shared" si="38"/>
        <v>283.82782416294748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0.54898480343632627</v>
      </c>
      <c r="BQ27" s="21">
        <f>EXP(-LN(2)/25)*BQ26+(1-EXP(-LN(2)/25))/(LN(2)/25)*Calculateur!BL27*Calculateur!BN27*VLOOKUP('Données projet'!$B$11,Paramètres!$A$1:$I$89,3,0)*0.475*44/12</f>
        <v>4.3058239200178718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4.8548087234541981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12.333333333333334</v>
      </c>
      <c r="BY27" s="12">
        <f>IF('Données projet'!$A$114&gt;35,BY26+BX27-CG26,IF(A27&lt;'Données projet'!$A$114,$BV$205^A27,IF(A27='Données projet'!$A$114,'Données projet'!$B$114,BY26+BX27-CG26)))</f>
        <v>131.66666666666669</v>
      </c>
      <c r="BZ27" s="13">
        <f>BY27*VLOOKUP('Données projet'!$B$12,Paramètres!$A$1:$I$89,3,0)*VLOOKUP('Données projet'!$B$12,Paramètres!$A$1:$I$89,5,0)</f>
        <v>78.736666666666679</v>
      </c>
      <c r="CA27" s="13">
        <f t="shared" si="39"/>
        <v>21.828006984037064</v>
      </c>
      <c r="CB27" s="20">
        <f t="shared" si="10"/>
        <v>175.15013994164235</v>
      </c>
      <c r="CC27" s="59">
        <f t="shared" si="11"/>
        <v>461.15013994164235</v>
      </c>
      <c r="CD27" s="59">
        <f ca="1">AVERAGE(OFFSET($CC$3,0,0,'Données projet'!$E$12+1,1))-AVERAGE(OFFSET($H$3,0,0,'Données projet'!$E$12+1,1))</f>
        <v>393.01180019332998</v>
      </c>
      <c r="CE27" s="59">
        <f t="shared" si="40"/>
        <v>283.82782416294748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0.54898480343632627</v>
      </c>
      <c r="CL27" s="21">
        <f>EXP(-LN(2)/25)*CL26+(1-EXP(-LN(2)/25))/(LN(2)/25)*Calculateur!CG27*Calculateur!CI27*VLOOKUP('Données projet'!$B$12,Paramètres!$A$1:$I$89,3,0)*0.475*44/12</f>
        <v>4.3058239200178718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4.8548087234541981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12.333333333333334</v>
      </c>
      <c r="CT27" s="12">
        <f>IF('Données projet'!$A$140&gt;35,CT26+CS27-DB26,IF(A27&lt;'Données projet'!$A$140,$CQ$205^A27,IF(A27='Données projet'!$A$140,'Données projet'!$B$140,CT26+CS27-DB26)))</f>
        <v>131.66666666666669</v>
      </c>
      <c r="CU27" s="17">
        <f>CT27*VLOOKUP('Données projet'!$B$13,Paramètres!$A$1:$I$89,3,0)*VLOOKUP('Données projet'!$B$13,Paramètres!$A$1:$I$89,5,0)</f>
        <v>78.736666666666679</v>
      </c>
      <c r="CV27" s="13">
        <f t="shared" si="41"/>
        <v>21.828006984037064</v>
      </c>
      <c r="CW27" s="20">
        <f t="shared" si="13"/>
        <v>175.15013994164235</v>
      </c>
      <c r="CX27" s="59">
        <f t="shared" si="14"/>
        <v>461.15013994164235</v>
      </c>
      <c r="CY27" s="59">
        <f ca="1">AVERAGE(OFFSET($CX$3,0,0,'Données projet'!$E$13+1,1))-AVERAGE(OFFSET($H$3,0,0,'Données projet'!$E$13+1,1))</f>
        <v>393.01180019332998</v>
      </c>
      <c r="CZ27" s="59">
        <f t="shared" si="42"/>
        <v>283.82782416294748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0.54898480343632627</v>
      </c>
      <c r="DG27" s="21">
        <f>EXP(-LN(2)/25)*DG26+(1-EXP(-LN(2)/25))/(LN(2)/25)*Calculateur!DB27*Calculateur!DD27*VLOOKUP('Données projet'!$B$13,Paramètres!$A$1:$I$89,3,0)*0.475*44/12</f>
        <v>4.3058239200178718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4.8548087234541981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12.333333333333334</v>
      </c>
      <c r="DO27" s="12">
        <f>IF('Données projet'!$A$166&gt;35,DO26+DN27-DW26,IF(A27&lt;'Données projet'!$A$166,$DL$205^A27,IF(A27='Données projet'!$A$166,'Données projet'!$B$166,DO26+DN27-DW26)))</f>
        <v>131.66666666666669</v>
      </c>
      <c r="DP27" s="17">
        <f>DO27*VLOOKUP('Données projet'!$B$14,Paramètres!$A$1:$I$89,3,0)*VLOOKUP('Données projet'!$B$14,Paramètres!$A$1:$I$89,5,0)</f>
        <v>78.736666666666679</v>
      </c>
      <c r="DQ27" s="13">
        <f t="shared" si="43"/>
        <v>21.828006984037064</v>
      </c>
      <c r="DR27" s="20">
        <f t="shared" si="16"/>
        <v>175.15013994164235</v>
      </c>
      <c r="DS27" s="59">
        <f t="shared" si="17"/>
        <v>461.15013994164235</v>
      </c>
      <c r="DT27" s="59">
        <f ca="1">AVERAGE(OFFSET($DS$3,0,0,'Données projet'!$E$14+1,1))-AVERAGE(OFFSET($H$3,0,0,'Données projet'!$E$14+1,1))</f>
        <v>393.01180019332998</v>
      </c>
      <c r="DU27" s="59">
        <f t="shared" si="44"/>
        <v>283.82782416294748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0.54898480343632627</v>
      </c>
      <c r="EB27" s="21">
        <f>EXP(-LN(2)/25)*EB26+(1-EXP(-LN(2)/25))/(LN(2)/25)*Calculateur!DW27*Calculateur!DY27*VLOOKUP('Données projet'!$B$14,Paramètres!$A$1:$I$89,3,0)*0.475*44/12</f>
        <v>4.3058239200178718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4.8548087234541981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2.8860000000000001</v>
      </c>
      <c r="D28" s="11">
        <f t="shared" si="32"/>
        <v>1.1756279405869499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6.270583487221959</v>
      </c>
      <c r="H28" s="67">
        <f t="shared" si="1"/>
        <v>263.74066866318896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9.1999999999999993</v>
      </c>
      <c r="N28" s="13">
        <f>IF('Données projet'!$A$36&gt;35,N27+M28-V27,IF(A28&lt;'Données projet'!$A$36,$K$205^A28,IF(A28='Données projet'!$A$36,'Données projet'!$B$36,N27+M28-V27)))</f>
        <v>148.69999999999996</v>
      </c>
      <c r="O28" s="13">
        <f>N28*VLOOKUP('Données projet'!$B$9,Paramètres!$A$1:$I$89,3,0)*VLOOKUP('Données projet'!$B$9,Paramètres!$A$1:$I$89,5,0)</f>
        <v>69.591599999999985</v>
      </c>
      <c r="P28" s="13">
        <f t="shared" si="33"/>
        <v>19.572002944803202</v>
      </c>
      <c r="Q28" s="20">
        <f t="shared" si="2"/>
        <v>155.29327512886556</v>
      </c>
      <c r="R28" s="59">
        <f t="shared" si="0"/>
        <v>442.51549735108779</v>
      </c>
      <c r="S28" s="59">
        <f ca="1">AVERAGE(OFFSET($R$3,0,0,'Données projet'!$E$9+1,1))-AVERAGE(OFFSET($H$3,0,0,'Données projet'!$E$9+1,1))</f>
        <v>189.8770435341392</v>
      </c>
      <c r="T28" s="59">
        <f t="shared" si="34"/>
        <v>230.18380961122767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16.373543314906222</v>
      </c>
      <c r="AB28" s="21">
        <f>EXP(-LN(2)/2)*AB27+(1-EXP(-LN(2)/2))/(LN(2)/2)*V28*Y28*VLOOKUP('Données projet'!$B$9,Paramètres!$A$1:$I$89,3,0)*0.475*44/12</f>
        <v>0</v>
      </c>
      <c r="AC28" s="22">
        <f t="shared" si="3"/>
        <v>16.373543314906222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113.20956000000001</v>
      </c>
      <c r="AG28" s="12">
        <f>VLOOKUP(A28,'Données projet'!$A$61:$I$81,9,0)</f>
        <v>13.123656</v>
      </c>
      <c r="AH28" s="12">
        <f t="array" ref="AH28">INDEX(AG:AG,MIN(IF(ISNUMBER(AG28:AG224),ROW(AG28:AG224),"")))</f>
        <v>13.123656</v>
      </c>
      <c r="AI28" s="13">
        <f>IF('Données projet'!$A$62&gt;35,AI27+AH28-AQ27,IF(A28&lt;'Données projet'!$A$62,$AF$205^A28,IF(A28='Données projet'!$A$62,'Données projet'!$B$62,AI27+AH28-AQ27)))</f>
        <v>113.20956</v>
      </c>
      <c r="AJ28" s="13">
        <f>AI28*VLOOKUP('Données projet'!$B$10,Paramètres!$A$1:$I$89,3,0)*VLOOKUP('Données projet'!$B$10,Paramètres!$A$1:$I$89,5,0)</f>
        <v>50.038625519999997</v>
      </c>
      <c r="AK28" s="13">
        <f t="shared" si="35"/>
        <v>14.62373442407333</v>
      </c>
      <c r="AL28" s="20">
        <f t="shared" si="4"/>
        <v>112.62027690259437</v>
      </c>
      <c r="AM28" s="59">
        <f t="shared" si="5"/>
        <v>399.84249912481658</v>
      </c>
      <c r="AN28" s="59">
        <f ca="1">AVERAGE(OFFSET($AM$3,0,0,'Données projet'!$E$10+1,1))-AVERAGE(OFFSET($H$3,0,0,'Données projet'!$E$10+1,1))</f>
        <v>207.77463758757142</v>
      </c>
      <c r="AO28" s="59">
        <f t="shared" si="36"/>
        <v>180.50802165484066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32.809139999999999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0.55000000000000004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18.302041214401886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18.302041214401886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144</v>
      </c>
      <c r="BB28" s="12">
        <f>VLOOKUP(A28,'Données projet'!$A$87:$I$107,9,0)</f>
        <v>12.333333333333334</v>
      </c>
      <c r="BC28" s="12">
        <f t="array" ref="BC28">INDEX(BB:BB,MIN(IF(ISNUMBER(BB28:BB224),ROW(BB28:BB224),"")))</f>
        <v>12.333333333333334</v>
      </c>
      <c r="BD28" s="12">
        <f>IF('Données projet'!$A$88&gt;35,BD27+BC28-BL27,IF(A28&lt;'Données projet'!$A$88,$BA$205^A28,IF(A28='Données projet'!$A$88,'Données projet'!$B$88,BD27+BC28-BL27)))</f>
        <v>144.00000000000003</v>
      </c>
      <c r="BE28" s="13">
        <f>BD28*VLOOKUP('Données projet'!$B$11,Paramètres!$A$1:$I$89,3,0)*VLOOKUP('Données projet'!$B$11,Paramètres!$A$1:$I$89,5,0)</f>
        <v>86.112000000000009</v>
      </c>
      <c r="BF28" s="13">
        <f t="shared" si="37"/>
        <v>23.625136642852297</v>
      </c>
      <c r="BG28" s="20">
        <f t="shared" si="7"/>
        <v>191.12551298630106</v>
      </c>
      <c r="BH28" s="59">
        <f t="shared" si="8"/>
        <v>478.34773520852332</v>
      </c>
      <c r="BI28" s="59">
        <f ca="1">AVERAGE(OFFSET($BH$3,0,0,'Données projet'!$E$11+1,1))-AVERAGE(OFFSET($H$3,0,0,'Données projet'!$E$11+1,1))</f>
        <v>393.01180019332998</v>
      </c>
      <c r="BJ28" s="59">
        <f t="shared" si="38"/>
        <v>283.82782416294748</v>
      </c>
      <c r="BK28" s="15">
        <f>IF(ISNA(VLOOKUP(A28,'Données projet'!$A$87:$I$107,3,0)),0,VLOOKUP(A28,'Données projet'!$A$87:$I$107,3,0))</f>
        <v>2</v>
      </c>
      <c r="BL28" s="15">
        <f>IF(ISNA(VLOOKUP(A28,'Données projet'!$A$87:$I$107,4,0)),0,VLOOKUP(A28,'Données projet'!$A$87:$I$107,4,0))</f>
        <v>17</v>
      </c>
      <c r="BM28" s="16">
        <f>IF(ISNA(VLOOKUP(A28,'Données projet'!$A$87:$I$107,5,0)),0%,VLOOKUP(A28,'Données projet'!$A$87:$I$107,5,0)*VLOOKUP('Données projet'!$B$11,Paramètres!$A$1:$I$89,7,0))</f>
        <v>4.5000000000000005E-2</v>
      </c>
      <c r="BN28" s="16">
        <f>IF(ISNA(VLOOKUP(A28,'Données projet'!$A$87:$I$107,6,0)),0%,VLOOKUP(A28,'Données projet'!$A$87:$I$107,6,0)*VLOOKUP('Données projet'!$B$11,Paramètres!$A$1:$I$89,7,0))</f>
        <v>0.36000000000000004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1.1450829877185331</v>
      </c>
      <c r="BQ28" s="21">
        <f>EXP(-LN(2)/25)*BQ27+(1-EXP(-LN(2)/25))/(LN(2)/25)*Calculateur!BL28*Calculateur!BN28*VLOOKUP('Données projet'!$B$11,Paramètres!$A$1:$I$89,3,0)*0.475*44/12</f>
        <v>9.0238728491148841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10.168955836833417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144</v>
      </c>
      <c r="BW28" s="12">
        <f>VLOOKUP(A28,'Données projet'!$A$113:$I$133,9,0)</f>
        <v>12.333333333333334</v>
      </c>
      <c r="BX28" s="12">
        <f t="array" ref="BX28">INDEX(BW:BW,MIN(IF(ISNUMBER(BW28:BW224),ROW(BW28:BW224),"")))</f>
        <v>12.333333333333334</v>
      </c>
      <c r="BY28" s="12">
        <f>IF('Données projet'!$A$114&gt;35,BY27+BX28-CG27,IF(A28&lt;'Données projet'!$A$114,$BV$205^A28,IF(A28='Données projet'!$A$114,'Données projet'!$B$114,BY27+BX28-CG27)))</f>
        <v>144.00000000000003</v>
      </c>
      <c r="BZ28" s="13">
        <f>BY28*VLOOKUP('Données projet'!$B$12,Paramètres!$A$1:$I$89,3,0)*VLOOKUP('Données projet'!$B$12,Paramètres!$A$1:$I$89,5,0)</f>
        <v>86.112000000000009</v>
      </c>
      <c r="CA28" s="13">
        <f t="shared" si="39"/>
        <v>23.625136642852297</v>
      </c>
      <c r="CB28" s="20">
        <f t="shared" si="10"/>
        <v>191.12551298630106</v>
      </c>
      <c r="CC28" s="59">
        <f t="shared" si="11"/>
        <v>478.34773520852332</v>
      </c>
      <c r="CD28" s="59">
        <f ca="1">AVERAGE(OFFSET($CC$3,0,0,'Données projet'!$E$12+1,1))-AVERAGE(OFFSET($H$3,0,0,'Données projet'!$E$12+1,1))</f>
        <v>393.01180019332998</v>
      </c>
      <c r="CE28" s="59">
        <f t="shared" si="40"/>
        <v>283.82782416294748</v>
      </c>
      <c r="CF28" s="15">
        <f>IF(ISNA(VLOOKUP(A28,'Données projet'!$A$113:$I$133,3,0)),0,VLOOKUP(A28,'Données projet'!$A$113:$I$133,3,0))</f>
        <v>2</v>
      </c>
      <c r="CG28" s="15">
        <f>IF(ISNA(VLOOKUP(A28,'Données projet'!$A$113:$I$133,4,0)),0,VLOOKUP(A28,'Données projet'!$A$113:$I$133,4,0))</f>
        <v>17</v>
      </c>
      <c r="CH28" s="16">
        <f>IF(ISNA(VLOOKUP(A28,'Données projet'!$A$113:$I$133,5,0)),0%,VLOOKUP(A28,'Données projet'!$A$113:$I$133,5,0)*VLOOKUP('Données projet'!$B$12,Paramètres!$A$1:$I$89,7,0))</f>
        <v>4.5000000000000005E-2</v>
      </c>
      <c r="CI28" s="16">
        <f>IF(ISNA(VLOOKUP(A28,'Données projet'!$A$113:$I$133,6,0)),0%,VLOOKUP(A28,'Données projet'!$A$113:$I$133,6,0)*VLOOKUP('Données projet'!$B$12,Paramètres!$A$1:$I$89,7,0))</f>
        <v>0.36000000000000004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1.1450829877185331</v>
      </c>
      <c r="CL28" s="21">
        <f>EXP(-LN(2)/25)*CL27+(1-EXP(-LN(2)/25))/(LN(2)/25)*Calculateur!CG28*Calculateur!CI28*VLOOKUP('Données projet'!$B$12,Paramètres!$A$1:$I$89,3,0)*0.475*44/12</f>
        <v>9.0238728491148841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10.168955836833417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144</v>
      </c>
      <c r="CR28" s="12">
        <f>VLOOKUP(A28,'Données projet'!$A$139:$I$159,9,0)</f>
        <v>12.333333333333334</v>
      </c>
      <c r="CS28" s="12">
        <f t="array" ref="CS28">INDEX(CR:CR,MIN(IF(ISNUMBER(CR28:CR224),ROW(CR28:CR224),"")))</f>
        <v>12.333333333333334</v>
      </c>
      <c r="CT28" s="12">
        <f>IF('Données projet'!$A$140&gt;35,CT27+CS28-DB27,IF(A28&lt;'Données projet'!$A$140,$CQ$205^A28,IF(A28='Données projet'!$A$140,'Données projet'!$B$140,CT27+CS28-DB27)))</f>
        <v>144.00000000000003</v>
      </c>
      <c r="CU28" s="17">
        <f>CT28*VLOOKUP('Données projet'!$B$13,Paramètres!$A$1:$I$89,3,0)*VLOOKUP('Données projet'!$B$13,Paramètres!$A$1:$I$89,5,0)</f>
        <v>86.112000000000009</v>
      </c>
      <c r="CV28" s="13">
        <f t="shared" si="41"/>
        <v>23.625136642852297</v>
      </c>
      <c r="CW28" s="20">
        <f t="shared" si="13"/>
        <v>191.12551298630106</v>
      </c>
      <c r="CX28" s="59">
        <f t="shared" si="14"/>
        <v>478.34773520852332</v>
      </c>
      <c r="CY28" s="59">
        <f ca="1">AVERAGE(OFFSET($CX$3,0,0,'Données projet'!$E$13+1,1))-AVERAGE(OFFSET($H$3,0,0,'Données projet'!$E$13+1,1))</f>
        <v>393.01180019332998</v>
      </c>
      <c r="CZ28" s="59">
        <f t="shared" si="42"/>
        <v>283.82782416294748</v>
      </c>
      <c r="DA28" s="15">
        <f>IF(ISNA(VLOOKUP(A28,'Données projet'!$A$139:$I$159,3,0)),0,VLOOKUP(A28,'Données projet'!$A$139:$I$159,3,0))</f>
        <v>2</v>
      </c>
      <c r="DB28" s="15">
        <f>IF(ISNA(VLOOKUP(A28,'Données projet'!$A$139:$I$159,4,0)),0,VLOOKUP(A28,'Données projet'!$A$139:$I$159,4,0))</f>
        <v>17</v>
      </c>
      <c r="DC28" s="16">
        <f>IF(ISNA(VLOOKUP(A28,'Données projet'!$A$139:$I$159,5,0)),0%,VLOOKUP(A28,'Données projet'!$A$139:$I$159,5,0)*VLOOKUP('Données projet'!$B$13,Paramètres!$A$1:$I$89,7,0))</f>
        <v>4.5000000000000005E-2</v>
      </c>
      <c r="DD28" s="16">
        <f>IF(ISNA(VLOOKUP(A28,'Données projet'!$A$139:$I$159,6,0)),0%,VLOOKUP(A28,'Données projet'!$A$139:$I$159,6,0)*VLOOKUP('Données projet'!$B$13,Paramètres!$A$1:$I$89,7,0))</f>
        <v>0.36000000000000004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1.1450829877185331</v>
      </c>
      <c r="DG28" s="21">
        <f>EXP(-LN(2)/25)*DG27+(1-EXP(-LN(2)/25))/(LN(2)/25)*Calculateur!DB28*Calculateur!DD28*VLOOKUP('Données projet'!$B$13,Paramètres!$A$1:$I$89,3,0)*0.475*44/12</f>
        <v>9.0238728491148841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10.168955836833417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144</v>
      </c>
      <c r="DM28" s="12">
        <f>VLOOKUP(A28,'Données projet'!$A$165:$I$185,9,0)</f>
        <v>12.333333333333334</v>
      </c>
      <c r="DN28" s="12">
        <f t="array" ref="DN28">INDEX(DM:DM,MIN(IF(ISNUMBER(DM28:DM224),ROW(DM28:DM224),"")))</f>
        <v>12.333333333333334</v>
      </c>
      <c r="DO28" s="12">
        <f>IF('Données projet'!$A$166&gt;35,DO27+DN28-DW27,IF(A28&lt;'Données projet'!$A$166,$DL$205^A28,IF(A28='Données projet'!$A$166,'Données projet'!$B$166,DO27+DN28-DW27)))</f>
        <v>144.00000000000003</v>
      </c>
      <c r="DP28" s="17">
        <f>DO28*VLOOKUP('Données projet'!$B$14,Paramètres!$A$1:$I$89,3,0)*VLOOKUP('Données projet'!$B$14,Paramètres!$A$1:$I$89,5,0)</f>
        <v>86.112000000000009</v>
      </c>
      <c r="DQ28" s="13">
        <f t="shared" si="43"/>
        <v>23.625136642852297</v>
      </c>
      <c r="DR28" s="20">
        <f t="shared" si="16"/>
        <v>191.12551298630106</v>
      </c>
      <c r="DS28" s="59">
        <f t="shared" si="17"/>
        <v>478.34773520852332</v>
      </c>
      <c r="DT28" s="59">
        <f ca="1">AVERAGE(OFFSET($DS$3,0,0,'Données projet'!$E$14+1,1))-AVERAGE(OFFSET($H$3,0,0,'Données projet'!$E$14+1,1))</f>
        <v>393.01180019332998</v>
      </c>
      <c r="DU28" s="59">
        <f t="shared" si="44"/>
        <v>283.82782416294748</v>
      </c>
      <c r="DV28" s="15">
        <f>IF(ISNA(VLOOKUP(A28,'Données projet'!$A$165:$I$185,3,0)),0,VLOOKUP(A28,'Données projet'!$A$165:$I$185,3,0))</f>
        <v>2</v>
      </c>
      <c r="DW28" s="15">
        <f>IF(ISNA(VLOOKUP(A28,'Données projet'!$A$165:$I$185,4,0)),0,VLOOKUP(A28,'Données projet'!$A$165:$I$185,4,0))</f>
        <v>17</v>
      </c>
      <c r="DX28" s="16">
        <f>IF(ISNA(VLOOKUP(A28,'Données projet'!$A$165:$I$185,5,0)),0%,VLOOKUP(A28,'Données projet'!$A$165:$I$185,5,0)*VLOOKUP('Données projet'!$B$14,Paramètres!$A$1:$I$89,7,0))</f>
        <v>4.5000000000000005E-2</v>
      </c>
      <c r="DY28" s="16">
        <f>IF(ISNA(VLOOKUP(A28,'Données projet'!$A$165:$I$185,6,0)),0%,VLOOKUP(A28,'Données projet'!$A$165:$I$185,6,0)*VLOOKUP('Données projet'!$B$14,Paramètres!$A$1:$I$89,7,0))</f>
        <v>0.36000000000000004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1.1450829877185331</v>
      </c>
      <c r="EB28" s="21">
        <f>EXP(-LN(2)/25)*EB27+(1-EXP(-LN(2)/25))/(LN(2)/25)*Calculateur!DW28*Calculateur!DY28*VLOOKUP('Données projet'!$B$14,Paramètres!$A$1:$I$89,3,0)*0.475*44/12</f>
        <v>9.0238728491148841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10.168955836833417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3.0014400000000001</v>
      </c>
      <c r="D29" s="11">
        <f t="shared" si="32"/>
        <v>1.2170840130225697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6.5128090025611618</v>
      </c>
      <c r="H29" s="67">
        <f t="shared" si="1"/>
        <v>264.01392932268101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9.1999999999999993</v>
      </c>
      <c r="N29" s="13">
        <f>IF('Données projet'!$A$36&gt;35,N28+M29-V28,IF(A29&lt;'Données projet'!$A$36,$K$205^A29,IF(A29='Données projet'!$A$36,'Données projet'!$B$36,N28+M29-V28)))</f>
        <v>157.89999999999995</v>
      </c>
      <c r="O29" s="13">
        <f>N29*VLOOKUP('Données projet'!$B$9,Paramètres!$A$1:$I$89,3,0)*VLOOKUP('Données projet'!$B$9,Paramètres!$A$1:$I$89,5,0)</f>
        <v>73.89719999999997</v>
      </c>
      <c r="P29" s="13">
        <f t="shared" si="33"/>
        <v>20.638196860576663</v>
      </c>
      <c r="Q29" s="20">
        <f t="shared" si="2"/>
        <v>164.64914953217098</v>
      </c>
      <c r="R29" s="59">
        <f t="shared" si="0"/>
        <v>453.09359397661547</v>
      </c>
      <c r="S29" s="59">
        <f ca="1">AVERAGE(OFFSET($R$3,0,0,'Données projet'!$E$9+1,1))-AVERAGE(OFFSET($H$3,0,0,'Données projet'!$E$9+1,1))</f>
        <v>189.8770435341392</v>
      </c>
      <c r="T29" s="59">
        <f t="shared" si="34"/>
        <v>230.18380961122767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15.925807911912891</v>
      </c>
      <c r="AB29" s="21">
        <f>EXP(-LN(2)/2)*AB28+(1-EXP(-LN(2)/2))/(LN(2)/2)*V29*Y29*VLOOKUP('Données projet'!$B$9,Paramètres!$A$1:$I$89,3,0)*0.475*44/12</f>
        <v>0</v>
      </c>
      <c r="AC29" s="22">
        <f t="shared" si="3"/>
        <v>15.925807911912891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14.782140000000002</v>
      </c>
      <c r="AI29" s="13">
        <f>IF('Données projet'!$A$62&gt;35,AI28+AH29-AQ28,IF(A29&lt;'Données projet'!$A$62,$AF$205^A29,IF(A29='Données projet'!$A$62,'Données projet'!$B$62,AI28+AH29-AQ28)))</f>
        <v>95.182559999999995</v>
      </c>
      <c r="AJ29" s="13">
        <f>AI29*VLOOKUP('Données projet'!$B$10,Paramètres!$A$1:$I$89,3,0)*VLOOKUP('Données projet'!$B$10,Paramètres!$A$1:$I$89,5,0)</f>
        <v>42.070691520000004</v>
      </c>
      <c r="AK29" s="13">
        <f t="shared" si="35"/>
        <v>12.545861364761631</v>
      </c>
      <c r="AL29" s="20">
        <f t="shared" si="4"/>
        <v>95.123829607626519</v>
      </c>
      <c r="AM29" s="59">
        <f t="shared" si="5"/>
        <v>383.56827405207099</v>
      </c>
      <c r="AN29" s="59">
        <f ca="1">AVERAGE(OFFSET($AM$3,0,0,'Données projet'!$E$10+1,1))-AVERAGE(OFFSET($H$3,0,0,'Données projet'!$E$10+1,1))</f>
        <v>207.77463758757142</v>
      </c>
      <c r="AO29" s="59">
        <f t="shared" si="36"/>
        <v>180.50802165484066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17.801570934931547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17.801570934931547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13.4</v>
      </c>
      <c r="BD29" s="12">
        <f>IF('Données projet'!$A$88&gt;35,BD28+BC29-BL28,IF(A29&lt;'Données projet'!$A$88,$BA$205^A29,IF(A29='Données projet'!$A$88,'Données projet'!$B$88,BD28+BC29-BL28)))</f>
        <v>140.40000000000003</v>
      </c>
      <c r="BE29" s="13">
        <f>BD29*VLOOKUP('Données projet'!$B$11,Paramètres!$A$1:$I$89,3,0)*VLOOKUP('Données projet'!$B$11,Paramètres!$A$1:$I$89,5,0)</f>
        <v>83.959200000000024</v>
      </c>
      <c r="BF29" s="13">
        <f t="shared" si="37"/>
        <v>23.102490880810642</v>
      </c>
      <c r="BG29" s="20">
        <f t="shared" si="7"/>
        <v>186.46577828407854</v>
      </c>
      <c r="BH29" s="59">
        <f t="shared" si="8"/>
        <v>474.91022272852297</v>
      </c>
      <c r="BI29" s="59">
        <f ca="1">AVERAGE(OFFSET($BH$3,0,0,'Données projet'!$E$11+1,1))-AVERAGE(OFFSET($H$3,0,0,'Données projet'!$E$11+1,1))</f>
        <v>393.01180019332998</v>
      </c>
      <c r="BJ29" s="59">
        <f t="shared" si="38"/>
        <v>283.82782416294748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1.1226286087610309</v>
      </c>
      <c r="BQ29" s="21">
        <f>EXP(-LN(2)/25)*BQ28+(1-EXP(-LN(2)/25))/(LN(2)/25)*Calculateur!BL29*Calculateur!BN29*VLOOKUP('Données projet'!$B$11,Paramètres!$A$1:$I$89,3,0)*0.475*44/12</f>
        <v>8.7771145715109888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9.8997431802720204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13.4</v>
      </c>
      <c r="BY29" s="12">
        <f>IF('Données projet'!$A$114&gt;35,BY28+BX29-CG28,IF(A29&lt;'Données projet'!$A$114,$BV$205^A29,IF(A29='Données projet'!$A$114,'Données projet'!$B$114,BY28+BX29-CG28)))</f>
        <v>140.40000000000003</v>
      </c>
      <c r="BZ29" s="13">
        <f>BY29*VLOOKUP('Données projet'!$B$12,Paramètres!$A$1:$I$89,3,0)*VLOOKUP('Données projet'!$B$12,Paramètres!$A$1:$I$89,5,0)</f>
        <v>83.959200000000024</v>
      </c>
      <c r="CA29" s="13">
        <f t="shared" si="39"/>
        <v>23.102490880810642</v>
      </c>
      <c r="CB29" s="20">
        <f t="shared" si="10"/>
        <v>186.46577828407854</v>
      </c>
      <c r="CC29" s="59">
        <f t="shared" si="11"/>
        <v>474.91022272852297</v>
      </c>
      <c r="CD29" s="59">
        <f ca="1">AVERAGE(OFFSET($CC$3,0,0,'Données projet'!$E$12+1,1))-AVERAGE(OFFSET($H$3,0,0,'Données projet'!$E$12+1,1))</f>
        <v>393.01180019332998</v>
      </c>
      <c r="CE29" s="59">
        <f t="shared" si="40"/>
        <v>283.82782416294748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1.1226286087610309</v>
      </c>
      <c r="CL29" s="21">
        <f>EXP(-LN(2)/25)*CL28+(1-EXP(-LN(2)/25))/(LN(2)/25)*Calculateur!CG29*Calculateur!CI29*VLOOKUP('Données projet'!$B$12,Paramètres!$A$1:$I$89,3,0)*0.475*44/12</f>
        <v>8.7771145715109888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9.8997431802720204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13.4</v>
      </c>
      <c r="CT29" s="12">
        <f>IF('Données projet'!$A$140&gt;35,CT28+CS29-DB28,IF(A29&lt;'Données projet'!$A$140,$CQ$205^A29,IF(A29='Données projet'!$A$140,'Données projet'!$B$140,CT28+CS29-DB28)))</f>
        <v>140.40000000000003</v>
      </c>
      <c r="CU29" s="17">
        <f>CT29*VLOOKUP('Données projet'!$B$13,Paramètres!$A$1:$I$89,3,0)*VLOOKUP('Données projet'!$B$13,Paramètres!$A$1:$I$89,5,0)</f>
        <v>83.959200000000024</v>
      </c>
      <c r="CV29" s="13">
        <f t="shared" si="41"/>
        <v>23.102490880810642</v>
      </c>
      <c r="CW29" s="20">
        <f t="shared" si="13"/>
        <v>186.46577828407854</v>
      </c>
      <c r="CX29" s="59">
        <f t="shared" si="14"/>
        <v>474.91022272852297</v>
      </c>
      <c r="CY29" s="59">
        <f ca="1">AVERAGE(OFFSET($CX$3,0,0,'Données projet'!$E$13+1,1))-AVERAGE(OFFSET($H$3,0,0,'Données projet'!$E$13+1,1))</f>
        <v>393.01180019332998</v>
      </c>
      <c r="CZ29" s="59">
        <f t="shared" si="42"/>
        <v>283.82782416294748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1.1226286087610309</v>
      </c>
      <c r="DG29" s="21">
        <f>EXP(-LN(2)/25)*DG28+(1-EXP(-LN(2)/25))/(LN(2)/25)*Calculateur!DB29*Calculateur!DD29*VLOOKUP('Données projet'!$B$13,Paramètres!$A$1:$I$89,3,0)*0.475*44/12</f>
        <v>8.7771145715109888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9.8997431802720204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13.4</v>
      </c>
      <c r="DO29" s="12">
        <f>IF('Données projet'!$A$166&gt;35,DO28+DN29-DW28,IF(A29&lt;'Données projet'!$A$166,$DL$205^A29,IF(A29='Données projet'!$A$166,'Données projet'!$B$166,DO28+DN29-DW28)))</f>
        <v>140.40000000000003</v>
      </c>
      <c r="DP29" s="17">
        <f>DO29*VLOOKUP('Données projet'!$B$14,Paramètres!$A$1:$I$89,3,0)*VLOOKUP('Données projet'!$B$14,Paramètres!$A$1:$I$89,5,0)</f>
        <v>83.959200000000024</v>
      </c>
      <c r="DQ29" s="13">
        <f t="shared" si="43"/>
        <v>23.102490880810642</v>
      </c>
      <c r="DR29" s="20">
        <f t="shared" si="16"/>
        <v>186.46577828407854</v>
      </c>
      <c r="DS29" s="59">
        <f t="shared" si="17"/>
        <v>474.91022272852297</v>
      </c>
      <c r="DT29" s="59">
        <f ca="1">AVERAGE(OFFSET($DS$3,0,0,'Données projet'!$E$14+1,1))-AVERAGE(OFFSET($H$3,0,0,'Données projet'!$E$14+1,1))</f>
        <v>393.01180019332998</v>
      </c>
      <c r="DU29" s="59">
        <f t="shared" si="44"/>
        <v>283.82782416294748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1.1226286087610309</v>
      </c>
      <c r="EB29" s="21">
        <f>EXP(-LN(2)/25)*EB28+(1-EXP(-LN(2)/25))/(LN(2)/25)*Calculateur!DW29*Calculateur!DY29*VLOOKUP('Données projet'!$B$14,Paramètres!$A$1:$I$89,3,0)*0.475*44/12</f>
        <v>8.7771145715109888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9.8997431802720204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3.1168800000000001</v>
      </c>
      <c r="D30" s="11">
        <f t="shared" si="32"/>
        <v>1.2583548564052682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6.7547485502397135</v>
      </c>
      <c r="H30" s="67">
        <f t="shared" si="1"/>
        <v>264.28686737490585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9.1999999999999993</v>
      </c>
      <c r="N30" s="13">
        <f>IF('Données projet'!$A$36&gt;35,N29+M30-V29,IF(A30&lt;'Données projet'!$A$36,$K$205^A30,IF(A30='Données projet'!$A$36,'Données projet'!$B$36,N29+M30-V29)))</f>
        <v>167.09999999999994</v>
      </c>
      <c r="O30" s="13">
        <f>N30*VLOOKUP('Données projet'!$B$9,Paramètres!$A$1:$I$89,3,0)*VLOOKUP('Données projet'!$B$9,Paramètres!$A$1:$I$89,5,0)</f>
        <v>78.202799999999968</v>
      </c>
      <c r="P30" s="13">
        <f t="shared" si="33"/>
        <v>21.697179992990623</v>
      </c>
      <c r="Q30" s="20">
        <f t="shared" si="2"/>
        <v>173.99246515445861</v>
      </c>
      <c r="R30" s="59">
        <f t="shared" si="0"/>
        <v>463.6591318211253</v>
      </c>
      <c r="S30" s="59">
        <f ca="1">AVERAGE(OFFSET($R$3,0,0,'Données projet'!$E$9+1,1))-AVERAGE(OFFSET($H$3,0,0,'Données projet'!$E$9+1,1))</f>
        <v>189.8770435341392</v>
      </c>
      <c r="T30" s="59">
        <f t="shared" si="34"/>
        <v>230.18380961122767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15.490315857059795</v>
      </c>
      <c r="AB30" s="21">
        <f>EXP(-LN(2)/2)*AB29+(1-EXP(-LN(2)/2))/(LN(2)/2)*V30*Y30*VLOOKUP('Données projet'!$B$9,Paramètres!$A$1:$I$89,3,0)*0.475*44/12</f>
        <v>0</v>
      </c>
      <c r="AC30" s="22">
        <f t="shared" si="3"/>
        <v>15.490315857059795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14.782140000000002</v>
      </c>
      <c r="AI30" s="13">
        <f>IF('Données projet'!$A$62&gt;35,AI29+AH30-AQ29,IF(A30&lt;'Données projet'!$A$62,$AF$205^A30,IF(A30='Données projet'!$A$62,'Données projet'!$B$62,AI29+AH30-AQ29)))</f>
        <v>109.96469999999999</v>
      </c>
      <c r="AJ30" s="13">
        <f>AI30*VLOOKUP('Données projet'!$B$10,Paramètres!$A$1:$I$89,3,0)*VLOOKUP('Données projet'!$B$10,Paramètres!$A$1:$I$89,5,0)</f>
        <v>48.604397400000003</v>
      </c>
      <c r="AK30" s="13">
        <f t="shared" si="35"/>
        <v>14.252747536799195</v>
      </c>
      <c r="AL30" s="20">
        <f t="shared" si="4"/>
        <v>109.4761940982586</v>
      </c>
      <c r="AM30" s="59">
        <f t="shared" si="5"/>
        <v>399.14286076492527</v>
      </c>
      <c r="AN30" s="59">
        <f ca="1">AVERAGE(OFFSET($AM$3,0,0,'Données projet'!$E$10+1,1))-AVERAGE(OFFSET($H$3,0,0,'Données projet'!$E$10+1,1))</f>
        <v>207.77463758757142</v>
      </c>
      <c r="AO30" s="59">
        <f t="shared" si="36"/>
        <v>180.50802165484066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17.314786041571914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17.314786041571914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13.4</v>
      </c>
      <c r="BD30" s="12">
        <f>IF('Données projet'!$A$88&gt;35,BD29+BC30-BL29,IF(A30&lt;'Données projet'!$A$88,$BA$205^A30,IF(A30='Données projet'!$A$88,'Données projet'!$B$88,BD29+BC30-BL29)))</f>
        <v>153.80000000000004</v>
      </c>
      <c r="BE30" s="13">
        <f>BD30*VLOOKUP('Données projet'!$B$11,Paramètres!$A$1:$I$89,3,0)*VLOOKUP('Données projet'!$B$11,Paramètres!$A$1:$I$89,5,0)</f>
        <v>91.972400000000022</v>
      </c>
      <c r="BF30" s="13">
        <f t="shared" si="37"/>
        <v>25.040318527820091</v>
      </c>
      <c r="BG30" s="20">
        <f t="shared" si="7"/>
        <v>203.79715143595334</v>
      </c>
      <c r="BH30" s="59">
        <f t="shared" si="8"/>
        <v>493.46381810262005</v>
      </c>
      <c r="BI30" s="59">
        <f ca="1">AVERAGE(OFFSET($BH$3,0,0,'Données projet'!$E$11+1,1))-AVERAGE(OFFSET($H$3,0,0,'Données projet'!$E$11+1,1))</f>
        <v>393.01180019332998</v>
      </c>
      <c r="BJ30" s="59">
        <f t="shared" si="38"/>
        <v>283.82782416294748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1.1006145464790664</v>
      </c>
      <c r="BQ30" s="21">
        <f>EXP(-LN(2)/25)*BQ29+(1-EXP(-LN(2)/25))/(LN(2)/25)*Calculateur!BL30*Calculateur!BN30*VLOOKUP('Données projet'!$B$11,Paramètres!$A$1:$I$89,3,0)*0.475*44/12</f>
        <v>8.5371039119846266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9.6377184584636932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13.4</v>
      </c>
      <c r="BY30" s="12">
        <f>IF('Données projet'!$A$114&gt;35,BY29+BX30-CG29,IF(A30&lt;'Données projet'!$A$114,$BV$205^A30,IF(A30='Données projet'!$A$114,'Données projet'!$B$114,BY29+BX30-CG29)))</f>
        <v>153.80000000000004</v>
      </c>
      <c r="BZ30" s="13">
        <f>BY30*VLOOKUP('Données projet'!$B$12,Paramètres!$A$1:$I$89,3,0)*VLOOKUP('Données projet'!$B$12,Paramètres!$A$1:$I$89,5,0)</f>
        <v>91.972400000000022</v>
      </c>
      <c r="CA30" s="13">
        <f t="shared" si="39"/>
        <v>25.040318527820091</v>
      </c>
      <c r="CB30" s="20">
        <f t="shared" si="10"/>
        <v>203.79715143595334</v>
      </c>
      <c r="CC30" s="59">
        <f t="shared" si="11"/>
        <v>493.46381810262005</v>
      </c>
      <c r="CD30" s="59">
        <f ca="1">AVERAGE(OFFSET($CC$3,0,0,'Données projet'!$E$12+1,1))-AVERAGE(OFFSET($H$3,0,0,'Données projet'!$E$12+1,1))</f>
        <v>393.01180019332998</v>
      </c>
      <c r="CE30" s="59">
        <f t="shared" si="40"/>
        <v>283.82782416294748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1.1006145464790664</v>
      </c>
      <c r="CL30" s="21">
        <f>EXP(-LN(2)/25)*CL29+(1-EXP(-LN(2)/25))/(LN(2)/25)*Calculateur!CG30*Calculateur!CI30*VLOOKUP('Données projet'!$B$12,Paramètres!$A$1:$I$89,3,0)*0.475*44/12</f>
        <v>8.5371039119846266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9.6377184584636932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13.4</v>
      </c>
      <c r="CT30" s="12">
        <f>IF('Données projet'!$A$140&gt;35,CT29+CS30-DB29,IF(A30&lt;'Données projet'!$A$140,$CQ$205^A30,IF(A30='Données projet'!$A$140,'Données projet'!$B$140,CT29+CS30-DB29)))</f>
        <v>153.80000000000004</v>
      </c>
      <c r="CU30" s="17">
        <f>CT30*VLOOKUP('Données projet'!$B$13,Paramètres!$A$1:$I$89,3,0)*VLOOKUP('Données projet'!$B$13,Paramètres!$A$1:$I$89,5,0)</f>
        <v>91.972400000000022</v>
      </c>
      <c r="CV30" s="13">
        <f t="shared" si="41"/>
        <v>25.040318527820091</v>
      </c>
      <c r="CW30" s="20">
        <f t="shared" si="13"/>
        <v>203.79715143595334</v>
      </c>
      <c r="CX30" s="59">
        <f t="shared" si="14"/>
        <v>493.46381810262005</v>
      </c>
      <c r="CY30" s="59">
        <f ca="1">AVERAGE(OFFSET($CX$3,0,0,'Données projet'!$E$13+1,1))-AVERAGE(OFFSET($H$3,0,0,'Données projet'!$E$13+1,1))</f>
        <v>393.01180019332998</v>
      </c>
      <c r="CZ30" s="59">
        <f t="shared" si="42"/>
        <v>283.82782416294748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1.1006145464790664</v>
      </c>
      <c r="DG30" s="21">
        <f>EXP(-LN(2)/25)*DG29+(1-EXP(-LN(2)/25))/(LN(2)/25)*Calculateur!DB30*Calculateur!DD30*VLOOKUP('Données projet'!$B$13,Paramètres!$A$1:$I$89,3,0)*0.475*44/12</f>
        <v>8.5371039119846266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9.6377184584636932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13.4</v>
      </c>
      <c r="DO30" s="12">
        <f>IF('Données projet'!$A$166&gt;35,DO29+DN30-DW29,IF(A30&lt;'Données projet'!$A$166,$DL$205^A30,IF(A30='Données projet'!$A$166,'Données projet'!$B$166,DO29+DN30-DW29)))</f>
        <v>153.80000000000004</v>
      </c>
      <c r="DP30" s="17">
        <f>DO30*VLOOKUP('Données projet'!$B$14,Paramètres!$A$1:$I$89,3,0)*VLOOKUP('Données projet'!$B$14,Paramètres!$A$1:$I$89,5,0)</f>
        <v>91.972400000000022</v>
      </c>
      <c r="DQ30" s="13">
        <f t="shared" si="43"/>
        <v>25.040318527820091</v>
      </c>
      <c r="DR30" s="20">
        <f t="shared" si="16"/>
        <v>203.79715143595334</v>
      </c>
      <c r="DS30" s="59">
        <f t="shared" si="17"/>
        <v>493.46381810262005</v>
      </c>
      <c r="DT30" s="59">
        <f ca="1">AVERAGE(OFFSET($DS$3,0,0,'Données projet'!$E$14+1,1))-AVERAGE(OFFSET($H$3,0,0,'Données projet'!$E$14+1,1))</f>
        <v>393.01180019332998</v>
      </c>
      <c r="DU30" s="59">
        <f t="shared" si="44"/>
        <v>283.82782416294748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1.1006145464790664</v>
      </c>
      <c r="EB30" s="21">
        <f>EXP(-LN(2)/25)*EB29+(1-EXP(-LN(2)/25))/(LN(2)/25)*Calculateur!DW30*Calculateur!DY30*VLOOKUP('Données projet'!$B$14,Paramètres!$A$1:$I$89,3,0)*0.475*44/12</f>
        <v>8.5371039119846266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9.6377184584636932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3.2323200000000001</v>
      </c>
      <c r="D31" s="11">
        <f t="shared" si="32"/>
        <v>1.2994481166849463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6.9964139345311454</v>
      </c>
      <c r="H31" s="67">
        <f t="shared" si="1"/>
        <v>264.55949613655963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9.1999999999999993</v>
      </c>
      <c r="N31" s="13">
        <f>IF('Données projet'!$A$36&gt;35,N30+M31-V30,IF(A31&lt;'Données projet'!$A$36,$K$205^A31,IF(A31='Données projet'!$A$36,'Données projet'!$B$36,N30+M31-V30)))</f>
        <v>176.29999999999993</v>
      </c>
      <c r="O31" s="13">
        <f>N31*VLOOKUP('Données projet'!$B$9,Paramètres!$A$1:$I$89,3,0)*VLOOKUP('Données projet'!$B$9,Paramètres!$A$1:$I$89,5,0)</f>
        <v>82.508399999999966</v>
      </c>
      <c r="P31" s="13">
        <f t="shared" si="33"/>
        <v>22.749394597897162</v>
      </c>
      <c r="Q31" s="20">
        <f t="shared" si="2"/>
        <v>183.32399225800415</v>
      </c>
      <c r="R31" s="59">
        <f t="shared" si="0"/>
        <v>474.21288114689298</v>
      </c>
      <c r="S31" s="59">
        <f ca="1">AVERAGE(OFFSET($R$3,0,0,'Données projet'!$E$9+1,1))-AVERAGE(OFFSET($H$3,0,0,'Données projet'!$E$9+1,1))</f>
        <v>189.8770435341392</v>
      </c>
      <c r="T31" s="59">
        <f t="shared" si="34"/>
        <v>230.18380961122767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15.066732355348186</v>
      </c>
      <c r="AB31" s="21">
        <f>EXP(-LN(2)/2)*AB30+(1-EXP(-LN(2)/2))/(LN(2)/2)*V31*Y31*VLOOKUP('Données projet'!$B$9,Paramètres!$A$1:$I$89,3,0)*0.475*44/12</f>
        <v>0</v>
      </c>
      <c r="AC31" s="22">
        <f t="shared" si="3"/>
        <v>15.066732355348186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14.782140000000002</v>
      </c>
      <c r="AI31" s="13">
        <f>IF('Données projet'!$A$62&gt;35,AI30+AH31-AQ30,IF(A31&lt;'Données projet'!$A$62,$AF$205^A31,IF(A31='Données projet'!$A$62,'Données projet'!$B$62,AI30+AH31-AQ30)))</f>
        <v>124.74683999999999</v>
      </c>
      <c r="AJ31" s="13">
        <f>AI31*VLOOKUP('Données projet'!$B$10,Paramètres!$A$1:$I$89,3,0)*VLOOKUP('Données projet'!$B$10,Paramètres!$A$1:$I$89,5,0)</f>
        <v>55.138103280000003</v>
      </c>
      <c r="AK31" s="13">
        <f t="shared" si="35"/>
        <v>15.933049128709216</v>
      </c>
      <c r="AL31" s="20">
        <f t="shared" si="4"/>
        <v>123.78225711183522</v>
      </c>
      <c r="AM31" s="59">
        <f t="shared" si="5"/>
        <v>414.67114600072409</v>
      </c>
      <c r="AN31" s="59">
        <f ca="1">AVERAGE(OFFSET($AM$3,0,0,'Données projet'!$E$10+1,1))-AVERAGE(OFFSET($H$3,0,0,'Données projet'!$E$10+1,1))</f>
        <v>207.77463758757142</v>
      </c>
      <c r="AO31" s="59">
        <f t="shared" si="36"/>
        <v>180.50802165484066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16.841312306720106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16.841312306720106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13.4</v>
      </c>
      <c r="BD31" s="12">
        <f>IF('Données projet'!$A$88&gt;35,BD30+BC31-BL30,IF(A31&lt;'Données projet'!$A$88,$BA$205^A31,IF(A31='Données projet'!$A$88,'Données projet'!$B$88,BD30+BC31-BL30)))</f>
        <v>167.20000000000005</v>
      </c>
      <c r="BE31" s="13">
        <f>BD31*VLOOKUP('Données projet'!$B$11,Paramètres!$A$1:$I$89,3,0)*VLOOKUP('Données projet'!$B$11,Paramètres!$A$1:$I$89,5,0)</f>
        <v>99.985600000000034</v>
      </c>
      <c r="BF31" s="13">
        <f t="shared" si="37"/>
        <v>26.958566918169435</v>
      </c>
      <c r="BG31" s="20">
        <f t="shared" si="7"/>
        <v>221.09442404914515</v>
      </c>
      <c r="BH31" s="59">
        <f t="shared" si="8"/>
        <v>511.98331293803403</v>
      </c>
      <c r="BI31" s="59">
        <f ca="1">AVERAGE(OFFSET($BH$3,0,0,'Données projet'!$E$11+1,1))-AVERAGE(OFFSET($H$3,0,0,'Données projet'!$E$11+1,1))</f>
        <v>393.01180019332998</v>
      </c>
      <c r="BJ31" s="59">
        <f t="shared" si="38"/>
        <v>283.82782416294748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1.079032166531199</v>
      </c>
      <c r="BQ31" s="21">
        <f>EXP(-LN(2)/25)*BQ30+(1-EXP(-LN(2)/25))/(LN(2)/25)*Calculateur!BL31*Calculateur!BN31*VLOOKUP('Données projet'!$B$11,Paramètres!$A$1:$I$89,3,0)*0.475*44/12</f>
        <v>8.3036563565646233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9.3826885230958226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13.4</v>
      </c>
      <c r="BY31" s="12">
        <f>IF('Données projet'!$A$114&gt;35,BY30+BX31-CG30,IF(A31&lt;'Données projet'!$A$114,$BV$205^A31,IF(A31='Données projet'!$A$114,'Données projet'!$B$114,BY30+BX31-CG30)))</f>
        <v>167.20000000000005</v>
      </c>
      <c r="BZ31" s="13">
        <f>BY31*VLOOKUP('Données projet'!$B$12,Paramètres!$A$1:$I$89,3,0)*VLOOKUP('Données projet'!$B$12,Paramètres!$A$1:$I$89,5,0)</f>
        <v>99.985600000000034</v>
      </c>
      <c r="CA31" s="13">
        <f t="shared" si="39"/>
        <v>26.958566918169435</v>
      </c>
      <c r="CB31" s="20">
        <f t="shared" si="10"/>
        <v>221.09442404914515</v>
      </c>
      <c r="CC31" s="59">
        <f t="shared" si="11"/>
        <v>511.98331293803403</v>
      </c>
      <c r="CD31" s="59">
        <f ca="1">AVERAGE(OFFSET($CC$3,0,0,'Données projet'!$E$12+1,1))-AVERAGE(OFFSET($H$3,0,0,'Données projet'!$E$12+1,1))</f>
        <v>393.01180019332998</v>
      </c>
      <c r="CE31" s="59">
        <f t="shared" si="40"/>
        <v>283.82782416294748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1.079032166531199</v>
      </c>
      <c r="CL31" s="21">
        <f>EXP(-LN(2)/25)*CL30+(1-EXP(-LN(2)/25))/(LN(2)/25)*Calculateur!CG31*Calculateur!CI31*VLOOKUP('Données projet'!$B$12,Paramètres!$A$1:$I$89,3,0)*0.475*44/12</f>
        <v>8.3036563565646233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9.3826885230958226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13.4</v>
      </c>
      <c r="CT31" s="12">
        <f>IF('Données projet'!$A$140&gt;35,CT30+CS31-DB30,IF(A31&lt;'Données projet'!$A$140,$CQ$205^A31,IF(A31='Données projet'!$A$140,'Données projet'!$B$140,CT30+CS31-DB30)))</f>
        <v>167.20000000000005</v>
      </c>
      <c r="CU31" s="17">
        <f>CT31*VLOOKUP('Données projet'!$B$13,Paramètres!$A$1:$I$89,3,0)*VLOOKUP('Données projet'!$B$13,Paramètres!$A$1:$I$89,5,0)</f>
        <v>99.985600000000034</v>
      </c>
      <c r="CV31" s="13">
        <f t="shared" si="41"/>
        <v>26.958566918169435</v>
      </c>
      <c r="CW31" s="20">
        <f t="shared" si="13"/>
        <v>221.09442404914515</v>
      </c>
      <c r="CX31" s="59">
        <f t="shared" si="14"/>
        <v>511.98331293803403</v>
      </c>
      <c r="CY31" s="59">
        <f ca="1">AVERAGE(OFFSET($CX$3,0,0,'Données projet'!$E$13+1,1))-AVERAGE(OFFSET($H$3,0,0,'Données projet'!$E$13+1,1))</f>
        <v>393.01180019332998</v>
      </c>
      <c r="CZ31" s="59">
        <f t="shared" si="42"/>
        <v>283.82782416294748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1.079032166531199</v>
      </c>
      <c r="DG31" s="21">
        <f>EXP(-LN(2)/25)*DG30+(1-EXP(-LN(2)/25))/(LN(2)/25)*Calculateur!DB31*Calculateur!DD31*VLOOKUP('Données projet'!$B$13,Paramètres!$A$1:$I$89,3,0)*0.475*44/12</f>
        <v>8.3036563565646233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9.3826885230958226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13.4</v>
      </c>
      <c r="DO31" s="12">
        <f>IF('Données projet'!$A$166&gt;35,DO30+DN31-DW30,IF(A31&lt;'Données projet'!$A$166,$DL$205^A31,IF(A31='Données projet'!$A$166,'Données projet'!$B$166,DO30+DN31-DW30)))</f>
        <v>167.20000000000005</v>
      </c>
      <c r="DP31" s="17">
        <f>DO31*VLOOKUP('Données projet'!$B$14,Paramètres!$A$1:$I$89,3,0)*VLOOKUP('Données projet'!$B$14,Paramètres!$A$1:$I$89,5,0)</f>
        <v>99.985600000000034</v>
      </c>
      <c r="DQ31" s="13">
        <f t="shared" si="43"/>
        <v>26.958566918169435</v>
      </c>
      <c r="DR31" s="20">
        <f t="shared" si="16"/>
        <v>221.09442404914515</v>
      </c>
      <c r="DS31" s="59">
        <f t="shared" si="17"/>
        <v>511.98331293803403</v>
      </c>
      <c r="DT31" s="59">
        <f ca="1">AVERAGE(OFFSET($DS$3,0,0,'Données projet'!$E$14+1,1))-AVERAGE(OFFSET($H$3,0,0,'Données projet'!$E$14+1,1))</f>
        <v>393.01180019332998</v>
      </c>
      <c r="DU31" s="59">
        <f t="shared" si="44"/>
        <v>283.82782416294748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1.079032166531199</v>
      </c>
      <c r="EB31" s="21">
        <f>EXP(-LN(2)/25)*EB30+(1-EXP(-LN(2)/25))/(LN(2)/25)*Calculateur!DW31*Calculateur!DY31*VLOOKUP('Données projet'!$B$14,Paramètres!$A$1:$I$89,3,0)*0.475*44/12</f>
        <v>8.3036563565646233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9.3826885230958226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3.3477600000000001</v>
      </c>
      <c r="D32" s="11">
        <f t="shared" si="32"/>
        <v>1.3403708627125279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7.2378160687491677</v>
      </c>
      <c r="H32" s="67">
        <f t="shared" si="1"/>
        <v>264.83182791922434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9.1999999999999993</v>
      </c>
      <c r="N32" s="13">
        <f>IF('Données projet'!$A$36&gt;35,N31+M32-V31,IF(A32&lt;'Données projet'!$A$36,$K$205^A32,IF(A32='Données projet'!$A$36,'Données projet'!$B$36,N31+M32-V31)))</f>
        <v>185.49999999999991</v>
      </c>
      <c r="O32" s="13">
        <f>N32*VLOOKUP('Données projet'!$B$9,Paramètres!$A$1:$I$89,3,0)*VLOOKUP('Données projet'!$B$9,Paramètres!$A$1:$I$89,5,0)</f>
        <v>86.813999999999965</v>
      </c>
      <c r="P32" s="13">
        <f t="shared" si="33"/>
        <v>23.795234166993009</v>
      </c>
      <c r="Q32" s="20">
        <f t="shared" si="2"/>
        <v>192.64441617417944</v>
      </c>
      <c r="R32" s="59">
        <f t="shared" si="0"/>
        <v>484.75552728529055</v>
      </c>
      <c r="S32" s="59">
        <f ca="1">AVERAGE(OFFSET($R$3,0,0,'Données projet'!$E$9+1,1))-AVERAGE(OFFSET($H$3,0,0,'Données projet'!$E$9+1,1))</f>
        <v>189.8770435341392</v>
      </c>
      <c r="T32" s="59">
        <f t="shared" si="34"/>
        <v>230.18380961122767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14.654731766766171</v>
      </c>
      <c r="AB32" s="21">
        <f>EXP(-LN(2)/2)*AB31+(1-EXP(-LN(2)/2))/(LN(2)/2)*V32*Y32*VLOOKUP('Données projet'!$B$9,Paramètres!$A$1:$I$89,3,0)*0.475*44/12</f>
        <v>0</v>
      </c>
      <c r="AC32" s="22">
        <f t="shared" si="3"/>
        <v>14.654731766766171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14.782140000000002</v>
      </c>
      <c r="AI32" s="13">
        <f>IF('Données projet'!$A$62&gt;35,AI31+AH32-AQ31,IF(A32&lt;'Données projet'!$A$62,$AF$205^A32,IF(A32='Données projet'!$A$62,'Données projet'!$B$62,AI31+AH32-AQ31)))</f>
        <v>139.52897999999999</v>
      </c>
      <c r="AJ32" s="13">
        <f>AI32*VLOOKUP('Données projet'!$B$10,Paramètres!$A$1:$I$89,3,0)*VLOOKUP('Données projet'!$B$10,Paramètres!$A$1:$I$89,5,0)</f>
        <v>61.671809160000002</v>
      </c>
      <c r="AK32" s="13">
        <f t="shared" si="35"/>
        <v>17.590276375029745</v>
      </c>
      <c r="AL32" s="20">
        <f t="shared" si="4"/>
        <v>138.04813230684346</v>
      </c>
      <c r="AM32" s="59">
        <f t="shared" si="5"/>
        <v>430.1592434179546</v>
      </c>
      <c r="AN32" s="59">
        <f ca="1">AVERAGE(OFFSET($AM$3,0,0,'Données projet'!$E$10+1,1))-AVERAGE(OFFSET($H$3,0,0,'Données projet'!$E$10+1,1))</f>
        <v>207.77463758757142</v>
      </c>
      <c r="AO32" s="59">
        <f t="shared" si="36"/>
        <v>180.50802165484066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16.380785736046722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16.380785736046722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13.4</v>
      </c>
      <c r="BD32" s="12">
        <f>IF('Données projet'!$A$88&gt;35,BD31+BC32-BL31,IF(A32&lt;'Données projet'!$A$88,$BA$205^A32,IF(A32='Données projet'!$A$88,'Données projet'!$B$88,BD31+BC32-BL31)))</f>
        <v>180.60000000000005</v>
      </c>
      <c r="BE32" s="13">
        <f>BD32*VLOOKUP('Données projet'!$B$11,Paramètres!$A$1:$I$89,3,0)*VLOOKUP('Données projet'!$B$11,Paramètres!$A$1:$I$89,5,0)</f>
        <v>107.99880000000003</v>
      </c>
      <c r="BF32" s="13">
        <f t="shared" si="37"/>
        <v>28.85898360070161</v>
      </c>
      <c r="BG32" s="20">
        <f t="shared" si="7"/>
        <v>238.36063977122203</v>
      </c>
      <c r="BH32" s="59">
        <f t="shared" si="8"/>
        <v>530.47175088233314</v>
      </c>
      <c r="BI32" s="59">
        <f ca="1">AVERAGE(OFFSET($BH$3,0,0,'Données projet'!$E$11+1,1))-AVERAGE(OFFSET($H$3,0,0,'Données projet'!$E$11+1,1))</f>
        <v>393.01180019332998</v>
      </c>
      <c r="BJ32" s="59">
        <f t="shared" si="38"/>
        <v>283.82782416294748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1.0578730038901574</v>
      </c>
      <c r="BQ32" s="21">
        <f>EXP(-LN(2)/25)*BQ31+(1-EXP(-LN(2)/25))/(LN(2)/25)*Calculateur!BL32*Calculateur!BN32*VLOOKUP('Données projet'!$B$11,Paramètres!$A$1:$I$89,3,0)*0.475*44/12</f>
        <v>8.076592436824054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9.1344654407142123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13.4</v>
      </c>
      <c r="BY32" s="12">
        <f>IF('Données projet'!$A$114&gt;35,BY31+BX32-CG31,IF(A32&lt;'Données projet'!$A$114,$BV$205^A32,IF(A32='Données projet'!$A$114,'Données projet'!$B$114,BY31+BX32-CG31)))</f>
        <v>180.60000000000005</v>
      </c>
      <c r="BZ32" s="13">
        <f>BY32*VLOOKUP('Données projet'!$B$12,Paramètres!$A$1:$I$89,3,0)*VLOOKUP('Données projet'!$B$12,Paramètres!$A$1:$I$89,5,0)</f>
        <v>107.99880000000003</v>
      </c>
      <c r="CA32" s="13">
        <f t="shared" si="39"/>
        <v>28.85898360070161</v>
      </c>
      <c r="CB32" s="20">
        <f t="shared" si="10"/>
        <v>238.36063977122203</v>
      </c>
      <c r="CC32" s="59">
        <f t="shared" si="11"/>
        <v>530.47175088233314</v>
      </c>
      <c r="CD32" s="59">
        <f ca="1">AVERAGE(OFFSET($CC$3,0,0,'Données projet'!$E$12+1,1))-AVERAGE(OFFSET($H$3,0,0,'Données projet'!$E$12+1,1))</f>
        <v>393.01180019332998</v>
      </c>
      <c r="CE32" s="59">
        <f t="shared" si="40"/>
        <v>283.82782416294748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1.0578730038901574</v>
      </c>
      <c r="CL32" s="21">
        <f>EXP(-LN(2)/25)*CL31+(1-EXP(-LN(2)/25))/(LN(2)/25)*Calculateur!CG32*Calculateur!CI32*VLOOKUP('Données projet'!$B$12,Paramètres!$A$1:$I$89,3,0)*0.475*44/12</f>
        <v>8.076592436824054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9.1344654407142123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13.4</v>
      </c>
      <c r="CT32" s="12">
        <f>IF('Données projet'!$A$140&gt;35,CT31+CS32-DB31,IF(A32&lt;'Données projet'!$A$140,$CQ$205^A32,IF(A32='Données projet'!$A$140,'Données projet'!$B$140,CT31+CS32-DB31)))</f>
        <v>180.60000000000005</v>
      </c>
      <c r="CU32" s="17">
        <f>CT32*VLOOKUP('Données projet'!$B$13,Paramètres!$A$1:$I$89,3,0)*VLOOKUP('Données projet'!$B$13,Paramètres!$A$1:$I$89,5,0)</f>
        <v>107.99880000000003</v>
      </c>
      <c r="CV32" s="13">
        <f t="shared" si="41"/>
        <v>28.85898360070161</v>
      </c>
      <c r="CW32" s="20">
        <f t="shared" si="13"/>
        <v>238.36063977122203</v>
      </c>
      <c r="CX32" s="59">
        <f t="shared" si="14"/>
        <v>530.47175088233314</v>
      </c>
      <c r="CY32" s="59">
        <f ca="1">AVERAGE(OFFSET($CX$3,0,0,'Données projet'!$E$13+1,1))-AVERAGE(OFFSET($H$3,0,0,'Données projet'!$E$13+1,1))</f>
        <v>393.01180019332998</v>
      </c>
      <c r="CZ32" s="59">
        <f t="shared" si="42"/>
        <v>283.82782416294748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1.0578730038901574</v>
      </c>
      <c r="DG32" s="21">
        <f>EXP(-LN(2)/25)*DG31+(1-EXP(-LN(2)/25))/(LN(2)/25)*Calculateur!DB32*Calculateur!DD32*VLOOKUP('Données projet'!$B$13,Paramètres!$A$1:$I$89,3,0)*0.475*44/12</f>
        <v>8.076592436824054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9.1344654407142123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13.4</v>
      </c>
      <c r="DO32" s="12">
        <f>IF('Données projet'!$A$166&gt;35,DO31+DN32-DW31,IF(A32&lt;'Données projet'!$A$166,$DL$205^A32,IF(A32='Données projet'!$A$166,'Données projet'!$B$166,DO31+DN32-DW31)))</f>
        <v>180.60000000000005</v>
      </c>
      <c r="DP32" s="17">
        <f>DO32*VLOOKUP('Données projet'!$B$14,Paramètres!$A$1:$I$89,3,0)*VLOOKUP('Données projet'!$B$14,Paramètres!$A$1:$I$89,5,0)</f>
        <v>107.99880000000003</v>
      </c>
      <c r="DQ32" s="13">
        <f t="shared" si="43"/>
        <v>28.85898360070161</v>
      </c>
      <c r="DR32" s="20">
        <f t="shared" si="16"/>
        <v>238.36063977122203</v>
      </c>
      <c r="DS32" s="59">
        <f t="shared" si="17"/>
        <v>530.47175088233314</v>
      </c>
      <c r="DT32" s="59">
        <f ca="1">AVERAGE(OFFSET($DS$3,0,0,'Données projet'!$E$14+1,1))-AVERAGE(OFFSET($H$3,0,0,'Données projet'!$E$14+1,1))</f>
        <v>393.01180019332998</v>
      </c>
      <c r="DU32" s="59">
        <f t="shared" si="44"/>
        <v>283.82782416294748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1.0578730038901574</v>
      </c>
      <c r="EB32" s="21">
        <f>EXP(-LN(2)/25)*EB31+(1-EXP(-LN(2)/25))/(LN(2)/25)*Calculateur!DW32*Calculateur!DY32*VLOOKUP('Données projet'!$B$14,Paramètres!$A$1:$I$89,3,0)*0.475*44/12</f>
        <v>8.076592436824054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9.1344654407142123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3.4632000000000001</v>
      </c>
      <c r="D33" s="11">
        <f t="shared" si="32"/>
        <v>1.3811296481821862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7.4789650708777629</v>
      </c>
      <c r="H33" s="67">
        <f t="shared" si="1"/>
        <v>265.10387413725067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194.7</v>
      </c>
      <c r="L33" s="12">
        <f>VLOOKUP(A33,'Données projet'!$A$35:$I$55,9,0)</f>
        <v>9.1999999999999993</v>
      </c>
      <c r="M33" s="12">
        <f t="array" ref="M33">INDEX(L:L,MIN(IF(ISNUMBER(L33:L229),ROW(L33:L229),"")))</f>
        <v>9.1999999999999993</v>
      </c>
      <c r="N33" s="13">
        <f>IF('Données projet'!$A$36&gt;35,N32+M33-V32,IF(A33&lt;'Données projet'!$A$36,$K$205^A33,IF(A33='Données projet'!$A$36,'Données projet'!$B$36,N32+M33-V32)))</f>
        <v>194.6999999999999</v>
      </c>
      <c r="O33" s="13">
        <f>N33*VLOOKUP('Données projet'!$B$9,Paramètres!$A$1:$I$89,3,0)*VLOOKUP('Données projet'!$B$9,Paramètres!$A$1:$I$89,5,0)</f>
        <v>91.119599999999949</v>
      </c>
      <c r="P33" s="13">
        <f t="shared" si="33"/>
        <v>24.835050956064173</v>
      </c>
      <c r="Q33" s="20">
        <f t="shared" si="2"/>
        <v>201.954350415145</v>
      </c>
      <c r="R33" s="59">
        <f t="shared" si="0"/>
        <v>495.28768374847834</v>
      </c>
      <c r="S33" s="59">
        <f ca="1">AVERAGE(OFFSET($R$3,0,0,'Données projet'!$E$9+1,1))-AVERAGE(OFFSET($H$3,0,0,'Données projet'!$E$9+1,1))</f>
        <v>189.8770435341392</v>
      </c>
      <c r="T33" s="59">
        <f t="shared" si="34"/>
        <v>230.18380961122767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48.674999999999997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0.55000000000000004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30.80900940035367</v>
      </c>
      <c r="AB33" s="21">
        <f>EXP(-LN(2)/2)*AB32+(1-EXP(-LN(2)/2))/(LN(2)/2)*V33*Y33*VLOOKUP('Données projet'!$B$9,Paramètres!$A$1:$I$89,3,0)*0.475*44/12</f>
        <v>0</v>
      </c>
      <c r="AC33" s="22">
        <f t="shared" si="3"/>
        <v>30.80900940035367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154.31112000000002</v>
      </c>
      <c r="AG33" s="12">
        <f>VLOOKUP(A33,'Données projet'!$A$61:$I$81,9,0)</f>
        <v>14.782140000000002</v>
      </c>
      <c r="AH33" s="12">
        <f t="array" ref="AH33">INDEX(AG:AG,MIN(IF(ISNUMBER(AG33:AG229),ROW(AG33:AG229),"")))</f>
        <v>14.782140000000002</v>
      </c>
      <c r="AI33" s="13">
        <f>IF('Données projet'!$A$62&gt;35,AI32+AH33-AQ32,IF(A33&lt;'Données projet'!$A$62,$AF$205^A33,IF(A33='Données projet'!$A$62,'Données projet'!$B$62,AI32+AH33-AQ32)))</f>
        <v>154.31111999999999</v>
      </c>
      <c r="AJ33" s="13">
        <f>AI33*VLOOKUP('Données projet'!$B$10,Paramètres!$A$1:$I$89,3,0)*VLOOKUP('Données projet'!$B$10,Paramètres!$A$1:$I$89,5,0)</f>
        <v>68.205515039999995</v>
      </c>
      <c r="AK33" s="13">
        <f t="shared" si="35"/>
        <v>19.227152400435234</v>
      </c>
      <c r="AL33" s="20">
        <f t="shared" si="4"/>
        <v>152.27856245875802</v>
      </c>
      <c r="AM33" s="59">
        <f t="shared" si="5"/>
        <v>445.61189579209133</v>
      </c>
      <c r="AN33" s="59">
        <f ca="1">AVERAGE(OFFSET($AM$3,0,0,'Données projet'!$E$10+1,1))-AVERAGE(OFFSET($H$3,0,0,'Données projet'!$E$10+1,1))</f>
        <v>207.77463758757142</v>
      </c>
      <c r="AO33" s="59">
        <f t="shared" si="36"/>
        <v>180.50802165484066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32.809139999999999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0.55000000000000004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26.471740645378969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26.471740645378969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194</v>
      </c>
      <c r="BB33" s="12">
        <f>VLOOKUP(A33,'Données projet'!$A$87:$I$107,9,0)</f>
        <v>13.4</v>
      </c>
      <c r="BC33" s="12">
        <f t="array" ref="BC33">INDEX(BB:BB,MIN(IF(ISNUMBER(BB33:BB229),ROW(BB33:BB229),"")))</f>
        <v>13.4</v>
      </c>
      <c r="BD33" s="12">
        <f>IF('Données projet'!$A$88&gt;35,BD32+BC33-BL32,IF(A33&lt;'Données projet'!$A$88,$BA$205^A33,IF(A33='Données projet'!$A$88,'Données projet'!$B$88,BD32+BC33-BL32)))</f>
        <v>194.00000000000006</v>
      </c>
      <c r="BE33" s="13">
        <f>BD33*VLOOKUP('Données projet'!$B$11,Paramètres!$A$1:$I$89,3,0)*VLOOKUP('Données projet'!$B$11,Paramètres!$A$1:$I$89,5,0)</f>
        <v>116.01200000000003</v>
      </c>
      <c r="BF33" s="13">
        <f t="shared" si="37"/>
        <v>30.743042086238173</v>
      </c>
      <c r="BG33" s="20">
        <f t="shared" si="7"/>
        <v>255.59836496686489</v>
      </c>
      <c r="BH33" s="59">
        <f t="shared" si="8"/>
        <v>548.93169830019815</v>
      </c>
      <c r="BI33" s="59">
        <f ca="1">AVERAGE(OFFSET($BH$3,0,0,'Données projet'!$E$11+1,1))-AVERAGE(OFFSET($H$3,0,0,'Données projet'!$E$11+1,1))</f>
        <v>393.01180019332998</v>
      </c>
      <c r="BJ33" s="59">
        <f t="shared" si="38"/>
        <v>283.82782416294748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34</v>
      </c>
      <c r="BM33" s="16">
        <f>IF(ISNA(VLOOKUP(A33,'Données projet'!$A$87:$I$107,5,0)),0%,VLOOKUP(A33,'Données projet'!$A$87:$I$107,5,0)*VLOOKUP('Données projet'!$B$11,Paramètres!$A$1:$I$89,7,0))</f>
        <v>0.13500000000000001</v>
      </c>
      <c r="BN33" s="16">
        <f>IF(ISNA(VLOOKUP(A33,'Données projet'!$A$87:$I$107,6,0)),0%,VLOOKUP(A33,'Données projet'!$A$87:$I$107,6,0)*VLOOKUP('Données projet'!$B$11,Paramètres!$A$1:$I$89,7,0))</f>
        <v>0.22500000000000001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4.6783094081022503</v>
      </c>
      <c r="BQ33" s="21">
        <f>EXP(-LN(2)/25)*BQ32+(1-EXP(-LN(2)/25))/(LN(2)/25)*Calculateur!BL33*Calculateur!BN33*VLOOKUP('Données projet'!$B$11,Paramètres!$A$1:$I$89,3,0)*0.475*44/12</f>
        <v>13.900477480188737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18.578786888290988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194</v>
      </c>
      <c r="BW33" s="12">
        <f>VLOOKUP(A33,'Données projet'!$A$113:$I$133,9,0)</f>
        <v>13.4</v>
      </c>
      <c r="BX33" s="12">
        <f t="array" ref="BX33">INDEX(BW:BW,MIN(IF(ISNUMBER(BW33:BW229),ROW(BW33:BW229),"")))</f>
        <v>13.4</v>
      </c>
      <c r="BY33" s="12">
        <f>IF('Données projet'!$A$114&gt;35,BY32+BX33-CG32,IF(A33&lt;'Données projet'!$A$114,$BV$205^A33,IF(A33='Données projet'!$A$114,'Données projet'!$B$114,BY32+BX33-CG32)))</f>
        <v>194.00000000000006</v>
      </c>
      <c r="BZ33" s="13">
        <f>BY33*VLOOKUP('Données projet'!$B$12,Paramètres!$A$1:$I$89,3,0)*VLOOKUP('Données projet'!$B$12,Paramètres!$A$1:$I$89,5,0)</f>
        <v>116.01200000000003</v>
      </c>
      <c r="CA33" s="13">
        <f t="shared" si="39"/>
        <v>30.743042086238173</v>
      </c>
      <c r="CB33" s="20">
        <f t="shared" si="10"/>
        <v>255.59836496686489</v>
      </c>
      <c r="CC33" s="59">
        <f t="shared" si="11"/>
        <v>548.93169830019815</v>
      </c>
      <c r="CD33" s="59">
        <f ca="1">AVERAGE(OFFSET($CC$3,0,0,'Données projet'!$E$12+1,1))-AVERAGE(OFFSET($H$3,0,0,'Données projet'!$E$12+1,1))</f>
        <v>393.01180019332998</v>
      </c>
      <c r="CE33" s="59">
        <f t="shared" si="40"/>
        <v>283.82782416294748</v>
      </c>
      <c r="CF33" s="15">
        <f>IF(ISNA(VLOOKUP(A33,'Données projet'!$A$113:$I$133,3,0)),0,VLOOKUP(A33,'Données projet'!$A$113:$I$133,3,0))</f>
        <v>3</v>
      </c>
      <c r="CG33" s="15">
        <f>IF(ISNA(VLOOKUP(A33,'Données projet'!$A$113:$I$133,4,0)),0,VLOOKUP(A33,'Données projet'!$A$113:$I$133,4,0))</f>
        <v>34</v>
      </c>
      <c r="CH33" s="16">
        <f>IF(ISNA(VLOOKUP(A33,'Données projet'!$A$113:$I$133,5,0)),0%,VLOOKUP(A33,'Données projet'!$A$113:$I$133,5,0)*VLOOKUP('Données projet'!$B$12,Paramètres!$A$1:$I$89,7,0))</f>
        <v>0.13500000000000001</v>
      </c>
      <c r="CI33" s="16">
        <f>IF(ISNA(VLOOKUP(A33,'Données projet'!$A$113:$I$133,6,0)),0%,VLOOKUP(A33,'Données projet'!$A$113:$I$133,6,0)*VLOOKUP('Données projet'!$B$12,Paramètres!$A$1:$I$89,7,0))</f>
        <v>0.22500000000000001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4.6783094081022503</v>
      </c>
      <c r="CL33" s="21">
        <f>EXP(-LN(2)/25)*CL32+(1-EXP(-LN(2)/25))/(LN(2)/25)*Calculateur!CG33*Calculateur!CI33*VLOOKUP('Données projet'!$B$12,Paramètres!$A$1:$I$89,3,0)*0.475*44/12</f>
        <v>13.900477480188737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18.578786888290988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194</v>
      </c>
      <c r="CR33" s="12">
        <f>VLOOKUP(A33,'Données projet'!$A$139:$I$159,9,0)</f>
        <v>13.4</v>
      </c>
      <c r="CS33" s="12">
        <f t="array" ref="CS33">INDEX(CR:CR,MIN(IF(ISNUMBER(CR33:CR229),ROW(CR33:CR229),"")))</f>
        <v>13.4</v>
      </c>
      <c r="CT33" s="12">
        <f>IF('Données projet'!$A$140&gt;35,CT32+CS33-DB32,IF(A33&lt;'Données projet'!$A$140,$CQ$205^A33,IF(A33='Données projet'!$A$140,'Données projet'!$B$140,CT32+CS33-DB32)))</f>
        <v>194.00000000000006</v>
      </c>
      <c r="CU33" s="17">
        <f>CT33*VLOOKUP('Données projet'!$B$13,Paramètres!$A$1:$I$89,3,0)*VLOOKUP('Données projet'!$B$13,Paramètres!$A$1:$I$89,5,0)</f>
        <v>116.01200000000003</v>
      </c>
      <c r="CV33" s="13">
        <f t="shared" si="41"/>
        <v>30.743042086238173</v>
      </c>
      <c r="CW33" s="20">
        <f t="shared" si="13"/>
        <v>255.59836496686489</v>
      </c>
      <c r="CX33" s="59">
        <f t="shared" si="14"/>
        <v>548.93169830019815</v>
      </c>
      <c r="CY33" s="59">
        <f ca="1">AVERAGE(OFFSET($CX$3,0,0,'Données projet'!$E$13+1,1))-AVERAGE(OFFSET($H$3,0,0,'Données projet'!$E$13+1,1))</f>
        <v>393.01180019332998</v>
      </c>
      <c r="CZ33" s="59">
        <f t="shared" si="42"/>
        <v>283.82782416294748</v>
      </c>
      <c r="DA33" s="15">
        <f>IF(ISNA(VLOOKUP(A33,'Données projet'!$A$139:$I$159,3,0)),0,VLOOKUP(A33,'Données projet'!$A$139:$I$159,3,0))</f>
        <v>3</v>
      </c>
      <c r="DB33" s="15">
        <f>IF(ISNA(VLOOKUP(A33,'Données projet'!$A$139:$I$159,4,0)),0,VLOOKUP(A33,'Données projet'!$A$139:$I$159,4,0))</f>
        <v>34</v>
      </c>
      <c r="DC33" s="16">
        <f>IF(ISNA(VLOOKUP(A33,'Données projet'!$A$139:$I$159,5,0)),0%,VLOOKUP(A33,'Données projet'!$A$139:$I$159,5,0)*VLOOKUP('Données projet'!$B$13,Paramètres!$A$1:$I$89,7,0))</f>
        <v>0.13500000000000001</v>
      </c>
      <c r="DD33" s="16">
        <f>IF(ISNA(VLOOKUP(A33,'Données projet'!$A$139:$I$159,6,0)),0%,VLOOKUP(A33,'Données projet'!$A$139:$I$159,6,0)*VLOOKUP('Données projet'!$B$13,Paramètres!$A$1:$I$89,7,0))</f>
        <v>0.22500000000000001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4.6783094081022503</v>
      </c>
      <c r="DG33" s="21">
        <f>EXP(-LN(2)/25)*DG32+(1-EXP(-LN(2)/25))/(LN(2)/25)*Calculateur!DB33*Calculateur!DD33*VLOOKUP('Données projet'!$B$13,Paramètres!$A$1:$I$89,3,0)*0.475*44/12</f>
        <v>13.900477480188737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18.578786888290988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194</v>
      </c>
      <c r="DM33" s="12">
        <f>VLOOKUP(A33,'Données projet'!$A$165:$I$185,9,0)</f>
        <v>13.4</v>
      </c>
      <c r="DN33" s="12">
        <f t="array" ref="DN33">INDEX(DM:DM,MIN(IF(ISNUMBER(DM33:DM229),ROW(DM33:DM229),"")))</f>
        <v>13.4</v>
      </c>
      <c r="DO33" s="12">
        <f>IF('Données projet'!$A$166&gt;35,DO32+DN33-DW32,IF(A33&lt;'Données projet'!$A$166,$DL$205^A33,IF(A33='Données projet'!$A$166,'Données projet'!$B$166,DO32+DN33-DW32)))</f>
        <v>194.00000000000006</v>
      </c>
      <c r="DP33" s="17">
        <f>DO33*VLOOKUP('Données projet'!$B$14,Paramètres!$A$1:$I$89,3,0)*VLOOKUP('Données projet'!$B$14,Paramètres!$A$1:$I$89,5,0)</f>
        <v>116.01200000000003</v>
      </c>
      <c r="DQ33" s="13">
        <f t="shared" si="43"/>
        <v>30.743042086238173</v>
      </c>
      <c r="DR33" s="20">
        <f t="shared" si="16"/>
        <v>255.59836496686489</v>
      </c>
      <c r="DS33" s="59">
        <f t="shared" si="17"/>
        <v>548.93169830019815</v>
      </c>
      <c r="DT33" s="59">
        <f ca="1">AVERAGE(OFFSET($DS$3,0,0,'Données projet'!$E$14+1,1))-AVERAGE(OFFSET($H$3,0,0,'Données projet'!$E$14+1,1))</f>
        <v>393.01180019332998</v>
      </c>
      <c r="DU33" s="59">
        <f t="shared" si="44"/>
        <v>283.82782416294748</v>
      </c>
      <c r="DV33" s="15">
        <f>IF(ISNA(VLOOKUP(A33,'Données projet'!$A$165:$I$185,3,0)),0,VLOOKUP(A33,'Données projet'!$A$165:$I$185,3,0))</f>
        <v>3</v>
      </c>
      <c r="DW33" s="15">
        <f>IF(ISNA(VLOOKUP(A33,'Données projet'!$A$165:$I$185,4,0)),0,VLOOKUP(A33,'Données projet'!$A$165:$I$185,4,0))</f>
        <v>34</v>
      </c>
      <c r="DX33" s="16">
        <f>IF(ISNA(VLOOKUP(A33,'Données projet'!$A$165:$I$185,5,0)),0%,VLOOKUP(A33,'Données projet'!$A$165:$I$185,5,0)*VLOOKUP('Données projet'!$B$14,Paramètres!$A$1:$I$89,7,0))</f>
        <v>0.13500000000000001</v>
      </c>
      <c r="DY33" s="16">
        <f>IF(ISNA(VLOOKUP(A33,'Données projet'!$A$165:$I$185,6,0)),0%,VLOOKUP(A33,'Données projet'!$A$165:$I$185,6,0)*VLOOKUP('Données projet'!$B$14,Paramètres!$A$1:$I$89,7,0))</f>
        <v>0.22500000000000001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4.6783094081022503</v>
      </c>
      <c r="EB33" s="21">
        <f>EXP(-LN(2)/25)*EB32+(1-EXP(-LN(2)/25))/(LN(2)/25)*Calculateur!DW33*Calculateur!DY33*VLOOKUP('Données projet'!$B$14,Paramètres!$A$1:$I$89,3,0)*0.475*44/12</f>
        <v>13.900477480188737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18.578786888290988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3.57864</v>
      </c>
      <c r="D34" s="11">
        <f t="shared" si="32"/>
        <v>1.4217305650826082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7.71987034609245</v>
      </c>
      <c r="H34" s="67">
        <f t="shared" si="1"/>
        <v>265.37564540085225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</v>
      </c>
      <c r="N34" s="13">
        <f>IF('Données projet'!$A$36&gt;35,N33+M34-V33,IF(A34&lt;'Données projet'!$A$36,$K$205^A34,IF(A34='Données projet'!$A$36,'Données projet'!$B$36,N33+M34-V33)))</f>
        <v>156.02499999999992</v>
      </c>
      <c r="O34" s="13">
        <f>N34*VLOOKUP('Données projet'!$B$9,Paramètres!$A$1:$I$89,3,0)*VLOOKUP('Données projet'!$B$9,Paramètres!$A$1:$I$89,5,0)</f>
        <v>73.019699999999958</v>
      </c>
      <c r="P34" s="13">
        <f t="shared" si="33"/>
        <v>20.421502318973651</v>
      </c>
      <c r="Q34" s="20">
        <f t="shared" si="2"/>
        <v>162.74342737221238</v>
      </c>
      <c r="R34" s="59">
        <f t="shared" si="0"/>
        <v>456.07676070554567</v>
      </c>
      <c r="S34" s="59">
        <f ca="1">AVERAGE(OFFSET($R$3,0,0,'Données projet'!$E$9+1,1))-AVERAGE(OFFSET($H$3,0,0,'Données projet'!$E$9+1,1))</f>
        <v>189.8770435341392</v>
      </c>
      <c r="T34" s="59">
        <f t="shared" si="34"/>
        <v>230.18380961122767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29.966535418125609</v>
      </c>
      <c r="AB34" s="21">
        <f>EXP(-LN(2)/2)*AB33+(1-EXP(-LN(2)/2))/(LN(2)/2)*V34*Y34*VLOOKUP('Données projet'!$B$9,Paramètres!$A$1:$I$89,3,0)*0.475*44/12</f>
        <v>0</v>
      </c>
      <c r="AC34" s="22">
        <f t="shared" si="3"/>
        <v>29.966535418125609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14.421599999999998</v>
      </c>
      <c r="AI34" s="13">
        <f>IF('Données projet'!$A$62&gt;35,AI33+AH34-AQ33,IF(A34&lt;'Données projet'!$A$62,$AF$205^A34,IF(A34='Données projet'!$A$62,'Données projet'!$B$62,AI33+AH34-AQ33)))</f>
        <v>135.92357999999996</v>
      </c>
      <c r="AJ34" s="13">
        <f>AI34*VLOOKUP('Données projet'!$B$10,Paramètres!$A$1:$I$89,3,0)*VLOOKUP('Données projet'!$B$10,Paramètres!$A$1:$I$89,5,0)</f>
        <v>60.078222359999984</v>
      </c>
      <c r="AK34" s="13">
        <f t="shared" si="35"/>
        <v>17.188044579460065</v>
      </c>
      <c r="AL34" s="20">
        <f t="shared" si="4"/>
        <v>134.57208158622626</v>
      </c>
      <c r="AM34" s="59">
        <f t="shared" si="5"/>
        <v>427.90541491955958</v>
      </c>
      <c r="AN34" s="59">
        <f ca="1">AVERAGE(OFFSET($AM$3,0,0,'Données projet'!$E$10+1,1))-AVERAGE(OFFSET($H$3,0,0,'Données projet'!$E$10+1,1))</f>
        <v>207.77463758757142</v>
      </c>
      <c r="AO34" s="59">
        <f t="shared" si="36"/>
        <v>180.50802165484066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25.747869505342742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25.747869505342742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14.6</v>
      </c>
      <c r="BD34" s="12">
        <f>IF('Données projet'!$A$88&gt;35,BD33+BC34-BL33,IF(A34&lt;'Données projet'!$A$88,$BA$205^A34,IF(A34='Données projet'!$A$88,'Données projet'!$B$88,BD33+BC34-BL33)))</f>
        <v>174.60000000000005</v>
      </c>
      <c r="BE34" s="13">
        <f>BD34*VLOOKUP('Données projet'!$B$11,Paramètres!$A$1:$I$89,3,0)*VLOOKUP('Données projet'!$B$11,Paramètres!$A$1:$I$89,5,0)</f>
        <v>104.41080000000004</v>
      </c>
      <c r="BF34" s="13">
        <f t="shared" si="37"/>
        <v>28.010155571424168</v>
      </c>
      <c r="BG34" s="20">
        <f t="shared" si="7"/>
        <v>230.63316428689714</v>
      </c>
      <c r="BH34" s="59">
        <f t="shared" si="8"/>
        <v>523.96649762023048</v>
      </c>
      <c r="BI34" s="59">
        <f ca="1">AVERAGE(OFFSET($BH$3,0,0,'Données projet'!$E$11+1,1))-AVERAGE(OFFSET($H$3,0,0,'Données projet'!$E$11+1,1))</f>
        <v>393.01180019332998</v>
      </c>
      <c r="BJ34" s="59">
        <f t="shared" si="38"/>
        <v>283.82782416294748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4.5865706140963454</v>
      </c>
      <c r="BQ34" s="21">
        <f>EXP(-LN(2)/25)*BQ33+(1-EXP(-LN(2)/25))/(LN(2)/25)*Calculateur!BL34*Calculateur!BN34*VLOOKUP('Données projet'!$B$11,Paramètres!$A$1:$I$89,3,0)*0.475*44/12</f>
        <v>13.520368192498635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18.106938806594982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14.6</v>
      </c>
      <c r="BY34" s="12">
        <f>IF('Données projet'!$A$114&gt;35,BY33+BX34-CG33,IF(A34&lt;'Données projet'!$A$114,$BV$205^A34,IF(A34='Données projet'!$A$114,'Données projet'!$B$114,BY33+BX34-CG33)))</f>
        <v>174.60000000000005</v>
      </c>
      <c r="BZ34" s="13">
        <f>BY34*VLOOKUP('Données projet'!$B$12,Paramètres!$A$1:$I$89,3,0)*VLOOKUP('Données projet'!$B$12,Paramètres!$A$1:$I$89,5,0)</f>
        <v>104.41080000000004</v>
      </c>
      <c r="CA34" s="13">
        <f t="shared" si="39"/>
        <v>28.010155571424168</v>
      </c>
      <c r="CB34" s="20">
        <f t="shared" si="10"/>
        <v>230.63316428689714</v>
      </c>
      <c r="CC34" s="59">
        <f t="shared" si="11"/>
        <v>523.96649762023048</v>
      </c>
      <c r="CD34" s="59">
        <f ca="1">AVERAGE(OFFSET($CC$3,0,0,'Données projet'!$E$12+1,1))-AVERAGE(OFFSET($H$3,0,0,'Données projet'!$E$12+1,1))</f>
        <v>393.01180019332998</v>
      </c>
      <c r="CE34" s="59">
        <f t="shared" si="40"/>
        <v>283.82782416294748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4.5865706140963454</v>
      </c>
      <c r="CL34" s="21">
        <f>EXP(-LN(2)/25)*CL33+(1-EXP(-LN(2)/25))/(LN(2)/25)*Calculateur!CG34*Calculateur!CI34*VLOOKUP('Données projet'!$B$12,Paramètres!$A$1:$I$89,3,0)*0.475*44/12</f>
        <v>13.520368192498635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18.106938806594982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14.6</v>
      </c>
      <c r="CT34" s="12">
        <f>IF('Données projet'!$A$140&gt;35,CT33+CS34-DB33,IF(A34&lt;'Données projet'!$A$140,$CQ$205^A34,IF(A34='Données projet'!$A$140,'Données projet'!$B$140,CT33+CS34-DB33)))</f>
        <v>174.60000000000005</v>
      </c>
      <c r="CU34" s="17">
        <f>CT34*VLOOKUP('Données projet'!$B$13,Paramètres!$A$1:$I$89,3,0)*VLOOKUP('Données projet'!$B$13,Paramètres!$A$1:$I$89,5,0)</f>
        <v>104.41080000000004</v>
      </c>
      <c r="CV34" s="13">
        <f t="shared" si="41"/>
        <v>28.010155571424168</v>
      </c>
      <c r="CW34" s="20">
        <f t="shared" si="13"/>
        <v>230.63316428689714</v>
      </c>
      <c r="CX34" s="59">
        <f t="shared" si="14"/>
        <v>523.96649762023048</v>
      </c>
      <c r="CY34" s="59">
        <f ca="1">AVERAGE(OFFSET($CX$3,0,0,'Données projet'!$E$13+1,1))-AVERAGE(OFFSET($H$3,0,0,'Données projet'!$E$13+1,1))</f>
        <v>393.01180019332998</v>
      </c>
      <c r="CZ34" s="59">
        <f t="shared" si="42"/>
        <v>283.82782416294748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4.5865706140963454</v>
      </c>
      <c r="DG34" s="21">
        <f>EXP(-LN(2)/25)*DG33+(1-EXP(-LN(2)/25))/(LN(2)/25)*Calculateur!DB34*Calculateur!DD34*VLOOKUP('Données projet'!$B$13,Paramètres!$A$1:$I$89,3,0)*0.475*44/12</f>
        <v>13.520368192498635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18.106938806594982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14.6</v>
      </c>
      <c r="DO34" s="12">
        <f>IF('Données projet'!$A$166&gt;35,DO33+DN34-DW33,IF(A34&lt;'Données projet'!$A$166,$DL$205^A34,IF(A34='Données projet'!$A$166,'Données projet'!$B$166,DO33+DN34-DW33)))</f>
        <v>174.60000000000005</v>
      </c>
      <c r="DP34" s="17">
        <f>DO34*VLOOKUP('Données projet'!$B$14,Paramètres!$A$1:$I$89,3,0)*VLOOKUP('Données projet'!$B$14,Paramètres!$A$1:$I$89,5,0)</f>
        <v>104.41080000000004</v>
      </c>
      <c r="DQ34" s="13">
        <f t="shared" si="43"/>
        <v>28.010155571424168</v>
      </c>
      <c r="DR34" s="20">
        <f t="shared" si="16"/>
        <v>230.63316428689714</v>
      </c>
      <c r="DS34" s="59">
        <f t="shared" si="17"/>
        <v>523.96649762023048</v>
      </c>
      <c r="DT34" s="59">
        <f ca="1">AVERAGE(OFFSET($DS$3,0,0,'Données projet'!$E$14+1,1))-AVERAGE(OFFSET($H$3,0,0,'Données projet'!$E$14+1,1))</f>
        <v>393.01180019332998</v>
      </c>
      <c r="DU34" s="59">
        <f t="shared" si="44"/>
        <v>283.82782416294748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4.5865706140963454</v>
      </c>
      <c r="EB34" s="21">
        <f>EXP(-LN(2)/25)*EB33+(1-EXP(-LN(2)/25))/(LN(2)/25)*Calculateur!DW34*Calculateur!DY34*VLOOKUP('Données projet'!$B$14,Paramètres!$A$1:$I$89,3,0)*0.475*44/12</f>
        <v>13.520368192498635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18.106938806594982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3.69408</v>
      </c>
      <c r="D35" s="11">
        <f t="shared" si="32"/>
        <v>1.4621792900575783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7.9605406583345077</v>
      </c>
      <c r="H35" s="67">
        <f t="shared" si="1"/>
        <v>265.64715159685028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</v>
      </c>
      <c r="N35" s="13">
        <f>IF('Données projet'!$A$36&gt;35,N34+M35-V34,IF(A35&lt;'Données projet'!$A$36,$K$205^A35,IF(A35='Données projet'!$A$36,'Données projet'!$B$36,N34+M35-V34)))</f>
        <v>166.02499999999992</v>
      </c>
      <c r="O35" s="13">
        <f>N35*VLOOKUP('Données projet'!$B$9,Paramètres!$A$1:$I$89,3,0)*VLOOKUP('Données projet'!$B$9,Paramètres!$A$1:$I$89,5,0)</f>
        <v>77.699699999999964</v>
      </c>
      <c r="P35" s="13">
        <f t="shared" si="33"/>
        <v>21.573797375192402</v>
      </c>
      <c r="Q35" s="20">
        <f t="shared" ref="Q35:Q66" si="53">(O35+P35)*0.475*44/12</f>
        <v>172.90134126179336</v>
      </c>
      <c r="R35" s="59">
        <f t="shared" si="0"/>
        <v>466.23467459512665</v>
      </c>
      <c r="S35" s="59">
        <f ca="1">AVERAGE(OFFSET($R$3,0,0,'Données projet'!$E$9+1,1))-AVERAGE(OFFSET($H$3,0,0,'Données projet'!$E$9+1,1))</f>
        <v>189.8770435341392</v>
      </c>
      <c r="T35" s="59">
        <f t="shared" si="34"/>
        <v>230.18380961122767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29.147098931245356</v>
      </c>
      <c r="AB35" s="21">
        <f>EXP(-LN(2)/2)*AB34+(1-EXP(-LN(2)/2))/(LN(2)/2)*V35*Y35*VLOOKUP('Données projet'!$B$9,Paramètres!$A$1:$I$89,3,0)*0.475*44/12</f>
        <v>0</v>
      </c>
      <c r="AC35" s="22">
        <f t="shared" si="3"/>
        <v>29.147098931245356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14.421599999999998</v>
      </c>
      <c r="AI35" s="13">
        <f>IF('Données projet'!$A$62&gt;35,AI34+AH35-AQ34,IF(A35&lt;'Données projet'!$A$62,$AF$205^A35,IF(A35='Données projet'!$A$62,'Données projet'!$B$62,AI34+AH35-AQ34)))</f>
        <v>150.34517999999997</v>
      </c>
      <c r="AJ35" s="13">
        <f>AI35*VLOOKUP('Données projet'!$B$10,Paramètres!$A$1:$I$89,3,0)*VLOOKUP('Données projet'!$B$10,Paramètres!$A$1:$I$89,5,0)</f>
        <v>66.452569559999986</v>
      </c>
      <c r="AK35" s="13">
        <f t="shared" si="35"/>
        <v>18.789856897313406</v>
      </c>
      <c r="AL35" s="20">
        <f t="shared" si="4"/>
        <v>148.46389274648752</v>
      </c>
      <c r="AM35" s="59">
        <f t="shared" si="5"/>
        <v>441.7972260798208</v>
      </c>
      <c r="AN35" s="59">
        <f ca="1">AVERAGE(OFFSET($AM$3,0,0,'Données projet'!$E$10+1,1))-AVERAGE(OFFSET($H$3,0,0,'Données projet'!$E$10+1,1))</f>
        <v>207.77463758757142</v>
      </c>
      <c r="AO35" s="59">
        <f t="shared" si="36"/>
        <v>180.50802165484066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25.043792659697534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25.043792659697534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14.6</v>
      </c>
      <c r="BD35" s="12">
        <f>IF('Données projet'!$A$88&gt;35,BD34+BC35-BL34,IF(A35&lt;'Données projet'!$A$88,$BA$205^A35,IF(A35='Données projet'!$A$88,'Données projet'!$B$88,BD34+BC35-BL34)))</f>
        <v>189.20000000000005</v>
      </c>
      <c r="BE35" s="13">
        <f>BD35*VLOOKUP('Données projet'!$B$11,Paramètres!$A$1:$I$89,3,0)*VLOOKUP('Données projet'!$B$11,Paramètres!$A$1:$I$89,5,0)</f>
        <v>113.14160000000004</v>
      </c>
      <c r="BF35" s="13">
        <f t="shared" si="37"/>
        <v>30.069952587742019</v>
      </c>
      <c r="BG35" s="20">
        <f t="shared" si="7"/>
        <v>249.42678742365072</v>
      </c>
      <c r="BH35" s="59">
        <f t="shared" si="8"/>
        <v>542.76012075698407</v>
      </c>
      <c r="BI35" s="59">
        <f ca="1">AVERAGE(OFFSET($BH$3,0,0,'Données projet'!$E$11+1,1))-AVERAGE(OFFSET($H$3,0,0,'Données projet'!$E$11+1,1))</f>
        <v>393.01180019332998</v>
      </c>
      <c r="BJ35" s="59">
        <f t="shared" si="38"/>
        <v>283.82782416294748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4.4966307618857577</v>
      </c>
      <c r="BQ35" s="21">
        <f>EXP(-LN(2)/25)*BQ34+(1-EXP(-LN(2)/25))/(LN(2)/25)*Calculateur!BL35*Calculateur!BN35*VLOOKUP('Données projet'!$B$11,Paramètres!$A$1:$I$89,3,0)*0.475*44/12</f>
        <v>13.150653013269498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17.647283775155255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14.6</v>
      </c>
      <c r="BY35" s="12">
        <f>IF('Données projet'!$A$114&gt;35,BY34+BX35-CG34,IF(A35&lt;'Données projet'!$A$114,$BV$205^A35,IF(A35='Données projet'!$A$114,'Données projet'!$B$114,BY34+BX35-CG34)))</f>
        <v>189.20000000000005</v>
      </c>
      <c r="BZ35" s="13">
        <f>BY35*VLOOKUP('Données projet'!$B$12,Paramètres!$A$1:$I$89,3,0)*VLOOKUP('Données projet'!$B$12,Paramètres!$A$1:$I$89,5,0)</f>
        <v>113.14160000000004</v>
      </c>
      <c r="CA35" s="13">
        <f t="shared" si="39"/>
        <v>30.069952587742019</v>
      </c>
      <c r="CB35" s="20">
        <f t="shared" si="10"/>
        <v>249.42678742365072</v>
      </c>
      <c r="CC35" s="59">
        <f t="shared" si="11"/>
        <v>542.76012075698407</v>
      </c>
      <c r="CD35" s="59">
        <f ca="1">AVERAGE(OFFSET($CC$3,0,0,'Données projet'!$E$12+1,1))-AVERAGE(OFFSET($H$3,0,0,'Données projet'!$E$12+1,1))</f>
        <v>393.01180019332998</v>
      </c>
      <c r="CE35" s="59">
        <f t="shared" si="40"/>
        <v>283.82782416294748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4.4966307618857577</v>
      </c>
      <c r="CL35" s="21">
        <f>EXP(-LN(2)/25)*CL34+(1-EXP(-LN(2)/25))/(LN(2)/25)*Calculateur!CG35*Calculateur!CI35*VLOOKUP('Données projet'!$B$12,Paramètres!$A$1:$I$89,3,0)*0.475*44/12</f>
        <v>13.150653013269498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17.647283775155255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14.6</v>
      </c>
      <c r="CT35" s="12">
        <f>IF('Données projet'!$A$140&gt;35,CT34+CS35-DB34,IF(A35&lt;'Données projet'!$A$140,$CQ$205^A35,IF(A35='Données projet'!$A$140,'Données projet'!$B$140,CT34+CS35-DB34)))</f>
        <v>189.20000000000005</v>
      </c>
      <c r="CU35" s="17">
        <f>CT35*VLOOKUP('Données projet'!$B$13,Paramètres!$A$1:$I$89,3,0)*VLOOKUP('Données projet'!$B$13,Paramètres!$A$1:$I$89,5,0)</f>
        <v>113.14160000000004</v>
      </c>
      <c r="CV35" s="13">
        <f t="shared" si="41"/>
        <v>30.069952587742019</v>
      </c>
      <c r="CW35" s="20">
        <f t="shared" si="13"/>
        <v>249.42678742365072</v>
      </c>
      <c r="CX35" s="59">
        <f t="shared" si="14"/>
        <v>542.76012075698407</v>
      </c>
      <c r="CY35" s="59">
        <f ca="1">AVERAGE(OFFSET($CX$3,0,0,'Données projet'!$E$13+1,1))-AVERAGE(OFFSET($H$3,0,0,'Données projet'!$E$13+1,1))</f>
        <v>393.01180019332998</v>
      </c>
      <c r="CZ35" s="59">
        <f t="shared" si="42"/>
        <v>283.82782416294748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4.4966307618857577</v>
      </c>
      <c r="DG35" s="21">
        <f>EXP(-LN(2)/25)*DG34+(1-EXP(-LN(2)/25))/(LN(2)/25)*Calculateur!DB35*Calculateur!DD35*VLOOKUP('Données projet'!$B$13,Paramètres!$A$1:$I$89,3,0)*0.475*44/12</f>
        <v>13.150653013269498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17.647283775155255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14.6</v>
      </c>
      <c r="DO35" s="12">
        <f>IF('Données projet'!$A$166&gt;35,DO34+DN35-DW34,IF(A35&lt;'Données projet'!$A$166,$DL$205^A35,IF(A35='Données projet'!$A$166,'Données projet'!$B$166,DO34+DN35-DW34)))</f>
        <v>189.20000000000005</v>
      </c>
      <c r="DP35" s="17">
        <f>DO35*VLOOKUP('Données projet'!$B$14,Paramètres!$A$1:$I$89,3,0)*VLOOKUP('Données projet'!$B$14,Paramètres!$A$1:$I$89,5,0)</f>
        <v>113.14160000000004</v>
      </c>
      <c r="DQ35" s="13">
        <f t="shared" si="43"/>
        <v>30.069952587742019</v>
      </c>
      <c r="DR35" s="20">
        <f t="shared" si="16"/>
        <v>249.42678742365072</v>
      </c>
      <c r="DS35" s="59">
        <f t="shared" si="17"/>
        <v>542.76012075698407</v>
      </c>
      <c r="DT35" s="59">
        <f ca="1">AVERAGE(OFFSET($DS$3,0,0,'Données projet'!$E$14+1,1))-AVERAGE(OFFSET($H$3,0,0,'Données projet'!$E$14+1,1))</f>
        <v>393.01180019332998</v>
      </c>
      <c r="DU35" s="59">
        <f t="shared" si="44"/>
        <v>283.82782416294748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4.4966307618857577</v>
      </c>
      <c r="EB35" s="21">
        <f>EXP(-LN(2)/25)*EB34+(1-EXP(-LN(2)/25))/(LN(2)/25)*Calculateur!DW35*Calculateur!DY35*VLOOKUP('Données projet'!$B$14,Paramètres!$A$1:$I$89,3,0)*0.475*44/12</f>
        <v>13.150653013269498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17.647283775155255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3.80952</v>
      </c>
      <c r="D36" s="11">
        <f t="shared" si="32"/>
        <v>1.5024811248086922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8.2009841926871037</v>
      </c>
      <c r="H36" s="67">
        <f t="shared" si="1"/>
        <v>265.91840195904183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</v>
      </c>
      <c r="N36" s="13">
        <f>IF('Données projet'!$A$36&gt;35,N35+M36-V35,IF(A36&lt;'Données projet'!$A$36,$K$205^A36,IF(A36='Données projet'!$A$36,'Données projet'!$B$36,N35+M36-V35)))</f>
        <v>176.02499999999992</v>
      </c>
      <c r="O36" s="13">
        <f>N36*VLOOKUP('Données projet'!$B$9,Paramètres!$A$1:$I$89,3,0)*VLOOKUP('Données projet'!$B$9,Paramètres!$A$1:$I$89,5,0)</f>
        <v>82.379699999999971</v>
      </c>
      <c r="P36" s="13">
        <f t="shared" si="33"/>
        <v>22.718036812754516</v>
      </c>
      <c r="Q36" s="20">
        <f t="shared" si="53"/>
        <v>183.04522494888076</v>
      </c>
      <c r="R36" s="59">
        <f t="shared" si="0"/>
        <v>476.37855828221404</v>
      </c>
      <c r="S36" s="59">
        <f ca="1">AVERAGE(OFFSET($R$3,0,0,'Données projet'!$E$9+1,1))-AVERAGE(OFFSET($H$3,0,0,'Données projet'!$E$9+1,1))</f>
        <v>189.8770435341392</v>
      </c>
      <c r="T36" s="59">
        <f t="shared" si="34"/>
        <v>230.18380961122767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28.350069978191136</v>
      </c>
      <c r="AB36" s="21">
        <f>EXP(-LN(2)/2)*AB35+(1-EXP(-LN(2)/2))/(LN(2)/2)*V36*Y36*VLOOKUP('Données projet'!$B$9,Paramètres!$A$1:$I$89,3,0)*0.475*44/12</f>
        <v>0</v>
      </c>
      <c r="AC36" s="22">
        <f t="shared" si="3"/>
        <v>28.350069978191136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14.421599999999998</v>
      </c>
      <c r="AI36" s="13">
        <f>IF('Données projet'!$A$62&gt;35,AI35+AH36-AQ35,IF(A36&lt;'Données projet'!$A$62,$AF$205^A36,IF(A36='Données projet'!$A$62,'Données projet'!$B$62,AI35+AH36-AQ35)))</f>
        <v>164.76677999999998</v>
      </c>
      <c r="AJ36" s="13">
        <f>AI36*VLOOKUP('Données projet'!$B$10,Paramètres!$A$1:$I$89,3,0)*VLOOKUP('Données projet'!$B$10,Paramètres!$A$1:$I$89,5,0)</f>
        <v>72.826916759999989</v>
      </c>
      <c r="AK36" s="13">
        <f t="shared" si="35"/>
        <v>20.373854895771341</v>
      </c>
      <c r="AL36" s="20">
        <f t="shared" si="4"/>
        <v>162.32467730046838</v>
      </c>
      <c r="AM36" s="59">
        <f t="shared" si="5"/>
        <v>455.65801063380172</v>
      </c>
      <c r="AN36" s="59">
        <f ca="1">AVERAGE(OFFSET($AM$3,0,0,'Données projet'!$E$10+1,1))-AVERAGE(OFFSET($H$3,0,0,'Données projet'!$E$10+1,1))</f>
        <v>207.77463758757142</v>
      </c>
      <c r="AO36" s="59">
        <f t="shared" si="36"/>
        <v>180.50802165484066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24.358968832422288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24.358968832422288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14.6</v>
      </c>
      <c r="BD36" s="12">
        <f>IF('Données projet'!$A$88&gt;35,BD35+BC36-BL35,IF(A36&lt;'Données projet'!$A$88,$BA$205^A36,IF(A36='Données projet'!$A$88,'Données projet'!$B$88,BD35+BC36-BL35)))</f>
        <v>203.80000000000004</v>
      </c>
      <c r="BE36" s="13">
        <f>BD36*VLOOKUP('Données projet'!$B$11,Paramètres!$A$1:$I$89,3,0)*VLOOKUP('Données projet'!$B$11,Paramètres!$A$1:$I$89,5,0)</f>
        <v>121.87240000000003</v>
      </c>
      <c r="BF36" s="13">
        <f t="shared" si="37"/>
        <v>32.111311550408985</v>
      </c>
      <c r="BG36" s="20">
        <f t="shared" si="7"/>
        <v>268.1882976169623</v>
      </c>
      <c r="BH36" s="59">
        <f t="shared" si="8"/>
        <v>561.52163095029562</v>
      </c>
      <c r="BI36" s="59">
        <f ca="1">AVERAGE(OFFSET($BH$3,0,0,'Données projet'!$E$11+1,1))-AVERAGE(OFFSET($H$3,0,0,'Données projet'!$E$11+1,1))</f>
        <v>393.01180019332998</v>
      </c>
      <c r="BJ36" s="59">
        <f t="shared" si="38"/>
        <v>283.82782416294748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4.4084545753191264</v>
      </c>
      <c r="BQ36" s="21">
        <f>EXP(-LN(2)/25)*BQ35+(1-EXP(-LN(2)/25))/(LN(2)/25)*Calculateur!BL36*Calculateur!BN36*VLOOKUP('Données projet'!$B$11,Paramètres!$A$1:$I$89,3,0)*0.475*44/12</f>
        <v>12.791047715058857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17.199502290377986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14.6</v>
      </c>
      <c r="BY36" s="12">
        <f>IF('Données projet'!$A$114&gt;35,BY35+BX36-CG35,IF(A36&lt;'Données projet'!$A$114,$BV$205^A36,IF(A36='Données projet'!$A$114,'Données projet'!$B$114,BY35+BX36-CG35)))</f>
        <v>203.80000000000004</v>
      </c>
      <c r="BZ36" s="13">
        <f>BY36*VLOOKUP('Données projet'!$B$12,Paramètres!$A$1:$I$89,3,0)*VLOOKUP('Données projet'!$B$12,Paramètres!$A$1:$I$89,5,0)</f>
        <v>121.87240000000003</v>
      </c>
      <c r="CA36" s="13">
        <f t="shared" si="39"/>
        <v>32.111311550408985</v>
      </c>
      <c r="CB36" s="20">
        <f t="shared" si="10"/>
        <v>268.1882976169623</v>
      </c>
      <c r="CC36" s="59">
        <f t="shared" si="11"/>
        <v>561.52163095029562</v>
      </c>
      <c r="CD36" s="59">
        <f ca="1">AVERAGE(OFFSET($CC$3,0,0,'Données projet'!$E$12+1,1))-AVERAGE(OFFSET($H$3,0,0,'Données projet'!$E$12+1,1))</f>
        <v>393.01180019332998</v>
      </c>
      <c r="CE36" s="59">
        <f t="shared" si="40"/>
        <v>283.82782416294748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4.4084545753191264</v>
      </c>
      <c r="CL36" s="21">
        <f>EXP(-LN(2)/25)*CL35+(1-EXP(-LN(2)/25))/(LN(2)/25)*Calculateur!CG36*Calculateur!CI36*VLOOKUP('Données projet'!$B$12,Paramètres!$A$1:$I$89,3,0)*0.475*44/12</f>
        <v>12.791047715058857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17.199502290377986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14.6</v>
      </c>
      <c r="CT36" s="12">
        <f>IF('Données projet'!$A$140&gt;35,CT35+CS36-DB35,IF(A36&lt;'Données projet'!$A$140,$CQ$205^A36,IF(A36='Données projet'!$A$140,'Données projet'!$B$140,CT35+CS36-DB35)))</f>
        <v>203.80000000000004</v>
      </c>
      <c r="CU36" s="17">
        <f>CT36*VLOOKUP('Données projet'!$B$13,Paramètres!$A$1:$I$89,3,0)*VLOOKUP('Données projet'!$B$13,Paramètres!$A$1:$I$89,5,0)</f>
        <v>121.87240000000003</v>
      </c>
      <c r="CV36" s="13">
        <f t="shared" si="41"/>
        <v>32.111311550408985</v>
      </c>
      <c r="CW36" s="20">
        <f t="shared" si="13"/>
        <v>268.1882976169623</v>
      </c>
      <c r="CX36" s="59">
        <f t="shared" si="14"/>
        <v>561.52163095029562</v>
      </c>
      <c r="CY36" s="59">
        <f ca="1">AVERAGE(OFFSET($CX$3,0,0,'Données projet'!$E$13+1,1))-AVERAGE(OFFSET($H$3,0,0,'Données projet'!$E$13+1,1))</f>
        <v>393.01180019332998</v>
      </c>
      <c r="CZ36" s="59">
        <f t="shared" si="42"/>
        <v>283.82782416294748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4.4084545753191264</v>
      </c>
      <c r="DG36" s="21">
        <f>EXP(-LN(2)/25)*DG35+(1-EXP(-LN(2)/25))/(LN(2)/25)*Calculateur!DB36*Calculateur!DD36*VLOOKUP('Données projet'!$B$13,Paramètres!$A$1:$I$89,3,0)*0.475*44/12</f>
        <v>12.791047715058857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17.199502290377986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14.6</v>
      </c>
      <c r="DO36" s="12">
        <f>IF('Données projet'!$A$166&gt;35,DO35+DN36-DW35,IF(A36&lt;'Données projet'!$A$166,$DL$205^A36,IF(A36='Données projet'!$A$166,'Données projet'!$B$166,DO35+DN36-DW35)))</f>
        <v>203.80000000000004</v>
      </c>
      <c r="DP36" s="17">
        <f>DO36*VLOOKUP('Données projet'!$B$14,Paramètres!$A$1:$I$89,3,0)*VLOOKUP('Données projet'!$B$14,Paramètres!$A$1:$I$89,5,0)</f>
        <v>121.87240000000003</v>
      </c>
      <c r="DQ36" s="13">
        <f t="shared" si="43"/>
        <v>32.111311550408985</v>
      </c>
      <c r="DR36" s="20">
        <f t="shared" si="16"/>
        <v>268.1882976169623</v>
      </c>
      <c r="DS36" s="59">
        <f t="shared" si="17"/>
        <v>561.52163095029562</v>
      </c>
      <c r="DT36" s="59">
        <f ca="1">AVERAGE(OFFSET($DS$3,0,0,'Données projet'!$E$14+1,1))-AVERAGE(OFFSET($H$3,0,0,'Données projet'!$E$14+1,1))</f>
        <v>393.01180019332998</v>
      </c>
      <c r="DU36" s="59">
        <f t="shared" si="44"/>
        <v>283.82782416294748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4.4084545753191264</v>
      </c>
      <c r="EB36" s="21">
        <f>EXP(-LN(2)/25)*EB35+(1-EXP(-LN(2)/25))/(LN(2)/25)*Calculateur!DW36*Calculateur!DY36*VLOOKUP('Données projet'!$B$14,Paramètres!$A$1:$I$89,3,0)*0.475*44/12</f>
        <v>12.791047715058857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17.199502290377986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3.92496</v>
      </c>
      <c r="D37" s="11">
        <f t="shared" si="32"/>
        <v>1.5426410314631775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8.44120860997824</v>
      </c>
      <c r="H37" s="67">
        <f t="shared" si="1"/>
        <v>266.18940512979839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</v>
      </c>
      <c r="N37" s="13">
        <f>IF('Données projet'!$A$36&gt;35,N36+M37-V36,IF(A37&lt;'Données projet'!$A$36,$K$205^A37,IF(A37='Données projet'!$A$36,'Données projet'!$B$36,N36+M37-V36)))</f>
        <v>186.02499999999992</v>
      </c>
      <c r="O37" s="13">
        <f>N37*VLOOKUP('Données projet'!$B$9,Paramètres!$A$1:$I$89,3,0)*VLOOKUP('Données projet'!$B$9,Paramètres!$A$1:$I$89,5,0)</f>
        <v>87.059699999999964</v>
      </c>
      <c r="P37" s="13">
        <f t="shared" si="33"/>
        <v>23.854730419729592</v>
      </c>
      <c r="Q37" s="20">
        <f t="shared" si="53"/>
        <v>193.17596631436231</v>
      </c>
      <c r="R37" s="59">
        <f t="shared" si="0"/>
        <v>486.50929964769563</v>
      </c>
      <c r="S37" s="59">
        <f ca="1">AVERAGE(OFFSET($R$3,0,0,'Données projet'!$E$9+1,1))-AVERAGE(OFFSET($H$3,0,0,'Données projet'!$E$9+1,1))</f>
        <v>189.8770435341392</v>
      </c>
      <c r="T37" s="59">
        <f t="shared" si="34"/>
        <v>230.18380961122767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27.574835823772116</v>
      </c>
      <c r="AB37" s="21">
        <f>EXP(-LN(2)/2)*AB36+(1-EXP(-LN(2)/2))/(LN(2)/2)*V37*Y37*VLOOKUP('Données projet'!$B$9,Paramètres!$A$1:$I$89,3,0)*0.475*44/12</f>
        <v>0</v>
      </c>
      <c r="AC37" s="22">
        <f t="shared" si="3"/>
        <v>27.574835823772116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14.421599999999998</v>
      </c>
      <c r="AI37" s="13">
        <f>IF('Données projet'!$A$62&gt;35,AI36+AH37-AQ36,IF(A37&lt;'Données projet'!$A$62,$AF$205^A37,IF(A37='Données projet'!$A$62,'Données projet'!$B$62,AI36+AH37-AQ36)))</f>
        <v>179.18838</v>
      </c>
      <c r="AJ37" s="13">
        <f>AI37*VLOOKUP('Données projet'!$B$10,Paramètres!$A$1:$I$89,3,0)*VLOOKUP('Données projet'!$B$10,Paramètres!$A$1:$I$89,5,0)</f>
        <v>79.201263960000006</v>
      </c>
      <c r="AK37" s="13">
        <f t="shared" si="35"/>
        <v>21.941775108435781</v>
      </c>
      <c r="AL37" s="20">
        <f t="shared" si="4"/>
        <v>176.157459710859</v>
      </c>
      <c r="AM37" s="59">
        <f t="shared" si="5"/>
        <v>469.49079304419229</v>
      </c>
      <c r="AN37" s="59">
        <f ca="1">AVERAGE(OFFSET($AM$3,0,0,'Données projet'!$E$10+1,1))-AVERAGE(OFFSET($H$3,0,0,'Données projet'!$E$10+1,1))</f>
        <v>207.77463758757142</v>
      </c>
      <c r="AO37" s="59">
        <f t="shared" si="36"/>
        <v>180.50802165484066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23.692871548717203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23.692871548717203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14.6</v>
      </c>
      <c r="BD37" s="12">
        <f>IF('Données projet'!$A$88&gt;35,BD36+BC37-BL36,IF(A37&lt;'Données projet'!$A$88,$BA$205^A37,IF(A37='Données projet'!$A$88,'Données projet'!$B$88,BD36+BC37-BL36)))</f>
        <v>218.40000000000003</v>
      </c>
      <c r="BE37" s="13">
        <f>BD37*VLOOKUP('Données projet'!$B$11,Paramètres!$A$1:$I$89,3,0)*VLOOKUP('Données projet'!$B$11,Paramètres!$A$1:$I$89,5,0)</f>
        <v>130.60320000000004</v>
      </c>
      <c r="BF37" s="13">
        <f t="shared" si="37"/>
        <v>34.135703567016428</v>
      </c>
      <c r="BG37" s="20">
        <f t="shared" si="7"/>
        <v>286.92025704588701</v>
      </c>
      <c r="BH37" s="59">
        <f t="shared" si="8"/>
        <v>580.25359037922033</v>
      </c>
      <c r="BI37" s="59">
        <f ca="1">AVERAGE(OFFSET($BH$3,0,0,'Données projet'!$E$11+1,1))-AVERAGE(OFFSET($H$3,0,0,'Données projet'!$E$11+1,1))</f>
        <v>393.01180019332998</v>
      </c>
      <c r="BJ37" s="59">
        <f t="shared" si="38"/>
        <v>283.82782416294748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4.3220074699889031</v>
      </c>
      <c r="BQ37" s="21">
        <f>EXP(-LN(2)/25)*BQ36+(1-EXP(-LN(2)/25))/(LN(2)/25)*Calculateur!BL37*Calculateur!BN37*VLOOKUP('Données projet'!$B$11,Paramètres!$A$1:$I$89,3,0)*0.475*44/12</f>
        <v>12.441275842638607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16.763283312627511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14.6</v>
      </c>
      <c r="BY37" s="12">
        <f>IF('Données projet'!$A$114&gt;35,BY36+BX37-CG36,IF(A37&lt;'Données projet'!$A$114,$BV$205^A37,IF(A37='Données projet'!$A$114,'Données projet'!$B$114,BY36+BX37-CG36)))</f>
        <v>218.40000000000003</v>
      </c>
      <c r="BZ37" s="13">
        <f>BY37*VLOOKUP('Données projet'!$B$12,Paramètres!$A$1:$I$89,3,0)*VLOOKUP('Données projet'!$B$12,Paramètres!$A$1:$I$89,5,0)</f>
        <v>130.60320000000004</v>
      </c>
      <c r="CA37" s="13">
        <f t="shared" si="39"/>
        <v>34.135703567016428</v>
      </c>
      <c r="CB37" s="20">
        <f t="shared" si="10"/>
        <v>286.92025704588701</v>
      </c>
      <c r="CC37" s="59">
        <f t="shared" si="11"/>
        <v>580.25359037922033</v>
      </c>
      <c r="CD37" s="59">
        <f ca="1">AVERAGE(OFFSET($CC$3,0,0,'Données projet'!$E$12+1,1))-AVERAGE(OFFSET($H$3,0,0,'Données projet'!$E$12+1,1))</f>
        <v>393.01180019332998</v>
      </c>
      <c r="CE37" s="59">
        <f t="shared" si="40"/>
        <v>283.82782416294748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4.3220074699889031</v>
      </c>
      <c r="CL37" s="21">
        <f>EXP(-LN(2)/25)*CL36+(1-EXP(-LN(2)/25))/(LN(2)/25)*Calculateur!CG37*Calculateur!CI37*VLOOKUP('Données projet'!$B$12,Paramètres!$A$1:$I$89,3,0)*0.475*44/12</f>
        <v>12.441275842638607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16.763283312627511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14.6</v>
      </c>
      <c r="CT37" s="12">
        <f>IF('Données projet'!$A$140&gt;35,CT36+CS37-DB36,IF(A37&lt;'Données projet'!$A$140,$CQ$205^A37,IF(A37='Données projet'!$A$140,'Données projet'!$B$140,CT36+CS37-DB36)))</f>
        <v>218.40000000000003</v>
      </c>
      <c r="CU37" s="17">
        <f>CT37*VLOOKUP('Données projet'!$B$13,Paramètres!$A$1:$I$89,3,0)*VLOOKUP('Données projet'!$B$13,Paramètres!$A$1:$I$89,5,0)</f>
        <v>130.60320000000004</v>
      </c>
      <c r="CV37" s="13">
        <f t="shared" si="41"/>
        <v>34.135703567016428</v>
      </c>
      <c r="CW37" s="20">
        <f t="shared" si="13"/>
        <v>286.92025704588701</v>
      </c>
      <c r="CX37" s="59">
        <f t="shared" si="14"/>
        <v>580.25359037922033</v>
      </c>
      <c r="CY37" s="59">
        <f ca="1">AVERAGE(OFFSET($CX$3,0,0,'Données projet'!$E$13+1,1))-AVERAGE(OFFSET($H$3,0,0,'Données projet'!$E$13+1,1))</f>
        <v>393.01180019332998</v>
      </c>
      <c r="CZ37" s="59">
        <f t="shared" si="42"/>
        <v>283.82782416294748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4.3220074699889031</v>
      </c>
      <c r="DG37" s="21">
        <f>EXP(-LN(2)/25)*DG36+(1-EXP(-LN(2)/25))/(LN(2)/25)*Calculateur!DB37*Calculateur!DD37*VLOOKUP('Données projet'!$B$13,Paramètres!$A$1:$I$89,3,0)*0.475*44/12</f>
        <v>12.441275842638607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16.763283312627511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14.6</v>
      </c>
      <c r="DO37" s="12">
        <f>IF('Données projet'!$A$166&gt;35,DO36+DN37-DW36,IF(A37&lt;'Données projet'!$A$166,$DL$205^A37,IF(A37='Données projet'!$A$166,'Données projet'!$B$166,DO36+DN37-DW36)))</f>
        <v>218.40000000000003</v>
      </c>
      <c r="DP37" s="17">
        <f>DO37*VLOOKUP('Données projet'!$B$14,Paramètres!$A$1:$I$89,3,0)*VLOOKUP('Données projet'!$B$14,Paramètres!$A$1:$I$89,5,0)</f>
        <v>130.60320000000004</v>
      </c>
      <c r="DQ37" s="13">
        <f t="shared" si="43"/>
        <v>34.135703567016428</v>
      </c>
      <c r="DR37" s="20">
        <f t="shared" si="16"/>
        <v>286.92025704588701</v>
      </c>
      <c r="DS37" s="59">
        <f t="shared" si="17"/>
        <v>580.25359037922033</v>
      </c>
      <c r="DT37" s="59">
        <f ca="1">AVERAGE(OFFSET($DS$3,0,0,'Données projet'!$E$14+1,1))-AVERAGE(OFFSET($H$3,0,0,'Données projet'!$E$14+1,1))</f>
        <v>393.01180019332998</v>
      </c>
      <c r="DU37" s="59">
        <f t="shared" si="44"/>
        <v>283.82782416294748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4.3220074699889031</v>
      </c>
      <c r="EB37" s="21">
        <f>EXP(-LN(2)/25)*EB36+(1-EXP(-LN(2)/25))/(LN(2)/25)*Calculateur!DW37*Calculateur!DY37*VLOOKUP('Données projet'!$B$14,Paramètres!$A$1:$I$89,3,0)*0.475*44/12</f>
        <v>12.441275842638607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16.763283312627511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4.0404</v>
      </c>
      <c r="D38" s="11">
        <f t="shared" si="32"/>
        <v>1.5826636636638696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8.6812210947793087</v>
      </c>
      <c r="H38" s="67">
        <f t="shared" si="1"/>
        <v>266.4601692142146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10</v>
      </c>
      <c r="N38" s="13">
        <f>IF('Données projet'!$A$36&gt;35,N37+M38-V37,IF(A38&lt;'Données projet'!$A$36,$K$205^A38,IF(A38='Données projet'!$A$36,'Données projet'!$B$36,N37+M38-V37)))</f>
        <v>196.02499999999992</v>
      </c>
      <c r="O38" s="13">
        <f>N38*VLOOKUP('Données projet'!$B$9,Paramètres!$A$1:$I$89,3,0)*VLOOKUP('Données projet'!$B$9,Paramètres!$A$1:$I$89,5,0)</f>
        <v>91.739699999999971</v>
      </c>
      <c r="P38" s="13">
        <f t="shared" si="33"/>
        <v>24.98433008014544</v>
      </c>
      <c r="Q38" s="20">
        <f t="shared" si="53"/>
        <v>203.29435238958658</v>
      </c>
      <c r="R38" s="59">
        <f t="shared" si="0"/>
        <v>496.62768572291986</v>
      </c>
      <c r="S38" s="59">
        <f ca="1">AVERAGE(OFFSET($R$3,0,0,'Données projet'!$E$9+1,1))-AVERAGE(OFFSET($H$3,0,0,'Données projet'!$E$9+1,1))</f>
        <v>189.8770435341392</v>
      </c>
      <c r="T38" s="59">
        <f t="shared" si="34"/>
        <v>230.18380961122767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26.820800488073473</v>
      </c>
      <c r="AB38" s="21">
        <f>EXP(-LN(2)/2)*AB37+(1-EXP(-LN(2)/2))/(LN(2)/2)*V38*Y38*VLOOKUP('Données projet'!$B$9,Paramètres!$A$1:$I$89,3,0)*0.475*44/12</f>
        <v>0</v>
      </c>
      <c r="AC38" s="22">
        <f t="shared" si="3"/>
        <v>26.820800488073473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193.60998000000001</v>
      </c>
      <c r="AG38" s="12">
        <f>VLOOKUP(A38,'Données projet'!$A$61:$I$81,9,0)</f>
        <v>14.421599999999998</v>
      </c>
      <c r="AH38" s="12">
        <f t="array" ref="AH38">INDEX(AG:AG,MIN(IF(ISNUMBER(AG38:AG234),ROW(AG38:AG234),"")))</f>
        <v>14.421599999999998</v>
      </c>
      <c r="AI38" s="13">
        <f>IF('Données projet'!$A$62&gt;35,AI37+AH38-AQ37,IF(A38&lt;'Données projet'!$A$62,$AF$205^A38,IF(A38='Données projet'!$A$62,'Données projet'!$B$62,AI37+AH38-AQ37)))</f>
        <v>193.60998000000001</v>
      </c>
      <c r="AJ38" s="13">
        <f>AI38*VLOOKUP('Données projet'!$B$10,Paramètres!$A$1:$I$89,3,0)*VLOOKUP('Données projet'!$B$10,Paramètres!$A$1:$I$89,5,0)</f>
        <v>85.575611160000008</v>
      </c>
      <c r="AK38" s="13">
        <f t="shared" si="35"/>
        <v>23.495058635890697</v>
      </c>
      <c r="AL38" s="20">
        <f t="shared" si="4"/>
        <v>189.96474989450965</v>
      </c>
      <c r="AM38" s="59">
        <f t="shared" si="5"/>
        <v>483.29808322784299</v>
      </c>
      <c r="AN38" s="59">
        <f ca="1">AVERAGE(OFFSET($AM$3,0,0,'Données projet'!$E$10+1,1))-AVERAGE(OFFSET($H$3,0,0,'Données projet'!$E$10+1,1))</f>
        <v>207.77463758757142</v>
      </c>
      <c r="AO38" s="59">
        <f t="shared" si="36"/>
        <v>180.50802165484066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32.809139999999999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0.55000000000000004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33.583877086976095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33.583877086976095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233</v>
      </c>
      <c r="BB38" s="12">
        <f>VLOOKUP(A38,'Données projet'!$A$87:$I$107,9,0)</f>
        <v>14.6</v>
      </c>
      <c r="BC38" s="12">
        <f t="array" ref="BC38">INDEX(BB:BB,MIN(IF(ISNUMBER(BB38:BB234),ROW(BB38:BB234),"")))</f>
        <v>14.6</v>
      </c>
      <c r="BD38" s="12">
        <f>IF('Données projet'!$A$88&gt;35,BD37+BC38-BL37,IF(A38&lt;'Données projet'!$A$88,$BA$205^A38,IF(A38='Données projet'!$A$88,'Données projet'!$B$88,BD37+BC38-BL37)))</f>
        <v>233.00000000000003</v>
      </c>
      <c r="BE38" s="13">
        <f>BD38*VLOOKUP('Données projet'!$B$11,Paramètres!$A$1:$I$89,3,0)*VLOOKUP('Données projet'!$B$11,Paramètres!$A$1:$I$89,5,0)</f>
        <v>139.33400000000003</v>
      </c>
      <c r="BF38" s="13">
        <f t="shared" si="37"/>
        <v>36.144391930570897</v>
      </c>
      <c r="BG38" s="20">
        <f t="shared" si="7"/>
        <v>305.62486594574438</v>
      </c>
      <c r="BH38" s="59">
        <f t="shared" si="8"/>
        <v>598.95819927907769</v>
      </c>
      <c r="BI38" s="59">
        <f ca="1">AVERAGE(OFFSET($BH$3,0,0,'Données projet'!$E$11+1,1))-AVERAGE(OFFSET($H$3,0,0,'Données projet'!$E$11+1,1))</f>
        <v>393.01180019332998</v>
      </c>
      <c r="BJ38" s="59">
        <f t="shared" si="38"/>
        <v>283.82782416294748</v>
      </c>
      <c r="BK38" s="15">
        <f>IF(ISNA(VLOOKUP(A38,'Données projet'!$A$87:$I$107,3,0)),0,VLOOKUP(A38,'Données projet'!$A$87:$I$107,3,0))</f>
        <v>4</v>
      </c>
      <c r="BL38" s="15">
        <f>IF(ISNA(VLOOKUP(A38,'Données projet'!$A$87:$I$107,4,0)),0,VLOOKUP(A38,'Données projet'!$A$87:$I$107,4,0))</f>
        <v>41</v>
      </c>
      <c r="BM38" s="16">
        <f>IF(ISNA(VLOOKUP(A38,'Données projet'!$A$87:$I$107,5,0)),0%,VLOOKUP(A38,'Données projet'!$A$87:$I$107,5,0)*VLOOKUP('Données projet'!$B$11,Paramètres!$A$1:$I$89,7,0))</f>
        <v>0.13500000000000001</v>
      </c>
      <c r="BN38" s="16">
        <f>IF(ISNA(VLOOKUP(A38,'Données projet'!$A$87:$I$107,6,0)),0%,VLOOKUP(A38,'Données projet'!$A$87:$I$107,6,0)*VLOOKUP('Données projet'!$B$11,Paramètres!$A$1:$I$89,7,0))</f>
        <v>0.22500000000000001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8.6280910276596749</v>
      </c>
      <c r="BQ38" s="21">
        <f>EXP(-LN(2)/25)*BQ37+(1-EXP(-LN(2)/25))/(LN(2)/25)*Calculateur!BL38*Calculateur!BN38*VLOOKUP('Données projet'!$B$11,Paramètres!$A$1:$I$89,3,0)*0.475*44/12</f>
        <v>19.390313659858869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28.018404687518544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233</v>
      </c>
      <c r="BW38" s="12">
        <f>VLOOKUP(A38,'Données projet'!$A$113:$I$133,9,0)</f>
        <v>14.6</v>
      </c>
      <c r="BX38" s="12">
        <f t="array" ref="BX38">INDEX(BW:BW,MIN(IF(ISNUMBER(BW38:BW234),ROW(BW38:BW234),"")))</f>
        <v>14.6</v>
      </c>
      <c r="BY38" s="12">
        <f>IF('Données projet'!$A$114&gt;35,BY37+BX38-CG37,IF(A38&lt;'Données projet'!$A$114,$BV$205^A38,IF(A38='Données projet'!$A$114,'Données projet'!$B$114,BY37+BX38-CG37)))</f>
        <v>233.00000000000003</v>
      </c>
      <c r="BZ38" s="13">
        <f>BY38*VLOOKUP('Données projet'!$B$12,Paramètres!$A$1:$I$89,3,0)*VLOOKUP('Données projet'!$B$12,Paramètres!$A$1:$I$89,5,0)</f>
        <v>139.33400000000003</v>
      </c>
      <c r="CA38" s="13">
        <f t="shared" si="39"/>
        <v>36.144391930570897</v>
      </c>
      <c r="CB38" s="20">
        <f t="shared" si="10"/>
        <v>305.62486594574438</v>
      </c>
      <c r="CC38" s="59">
        <f t="shared" si="11"/>
        <v>598.95819927907769</v>
      </c>
      <c r="CD38" s="59">
        <f ca="1">AVERAGE(OFFSET($CC$3,0,0,'Données projet'!$E$12+1,1))-AVERAGE(OFFSET($H$3,0,0,'Données projet'!$E$12+1,1))</f>
        <v>393.01180019332998</v>
      </c>
      <c r="CE38" s="59">
        <f t="shared" si="40"/>
        <v>283.82782416294748</v>
      </c>
      <c r="CF38" s="15">
        <f>IF(ISNA(VLOOKUP(A38,'Données projet'!$A$113:$I$133,3,0)),0,VLOOKUP(A38,'Données projet'!$A$113:$I$133,3,0))</f>
        <v>4</v>
      </c>
      <c r="CG38" s="15">
        <f>IF(ISNA(VLOOKUP(A38,'Données projet'!$A$113:$I$133,4,0)),0,VLOOKUP(A38,'Données projet'!$A$113:$I$133,4,0))</f>
        <v>41</v>
      </c>
      <c r="CH38" s="16">
        <f>IF(ISNA(VLOOKUP(A38,'Données projet'!$A$113:$I$133,5,0)),0%,VLOOKUP(A38,'Données projet'!$A$113:$I$133,5,0)*VLOOKUP('Données projet'!$B$12,Paramètres!$A$1:$I$89,7,0))</f>
        <v>0.13500000000000001</v>
      </c>
      <c r="CI38" s="16">
        <f>IF(ISNA(VLOOKUP(A38,'Données projet'!$A$113:$I$133,6,0)),0%,VLOOKUP(A38,'Données projet'!$A$113:$I$133,6,0)*VLOOKUP('Données projet'!$B$12,Paramètres!$A$1:$I$89,7,0))</f>
        <v>0.22500000000000001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8.6280910276596749</v>
      </c>
      <c r="CL38" s="21">
        <f>EXP(-LN(2)/25)*CL37+(1-EXP(-LN(2)/25))/(LN(2)/25)*Calculateur!CG38*Calculateur!CI38*VLOOKUP('Données projet'!$B$12,Paramètres!$A$1:$I$89,3,0)*0.475*44/12</f>
        <v>19.390313659858869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28.018404687518544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233</v>
      </c>
      <c r="CR38" s="12">
        <f>VLOOKUP(A38,'Données projet'!$A$139:$I$159,9,0)</f>
        <v>14.6</v>
      </c>
      <c r="CS38" s="12">
        <f t="array" ref="CS38">INDEX(CR:CR,MIN(IF(ISNUMBER(CR38:CR234),ROW(CR38:CR234),"")))</f>
        <v>14.6</v>
      </c>
      <c r="CT38" s="12">
        <f>IF('Données projet'!$A$140&gt;35,CT37+CS38-DB37,IF(A38&lt;'Données projet'!$A$140,$CQ$205^A38,IF(A38='Données projet'!$A$140,'Données projet'!$B$140,CT37+CS38-DB37)))</f>
        <v>233.00000000000003</v>
      </c>
      <c r="CU38" s="17">
        <f>CT38*VLOOKUP('Données projet'!$B$13,Paramètres!$A$1:$I$89,3,0)*VLOOKUP('Données projet'!$B$13,Paramètres!$A$1:$I$89,5,0)</f>
        <v>139.33400000000003</v>
      </c>
      <c r="CV38" s="13">
        <f t="shared" si="41"/>
        <v>36.144391930570897</v>
      </c>
      <c r="CW38" s="20">
        <f t="shared" si="13"/>
        <v>305.62486594574438</v>
      </c>
      <c r="CX38" s="59">
        <f t="shared" si="14"/>
        <v>598.95819927907769</v>
      </c>
      <c r="CY38" s="59">
        <f ca="1">AVERAGE(OFFSET($CX$3,0,0,'Données projet'!$E$13+1,1))-AVERAGE(OFFSET($H$3,0,0,'Données projet'!$E$13+1,1))</f>
        <v>393.01180019332998</v>
      </c>
      <c r="CZ38" s="59">
        <f t="shared" si="42"/>
        <v>283.82782416294748</v>
      </c>
      <c r="DA38" s="15">
        <f>IF(ISNA(VLOOKUP(A38,'Données projet'!$A$139:$I$159,3,0)),0,VLOOKUP(A38,'Données projet'!$A$139:$I$159,3,0))</f>
        <v>4</v>
      </c>
      <c r="DB38" s="15">
        <f>IF(ISNA(VLOOKUP(A38,'Données projet'!$A$139:$I$159,4,0)),0,VLOOKUP(A38,'Données projet'!$A$139:$I$159,4,0))</f>
        <v>41</v>
      </c>
      <c r="DC38" s="16">
        <f>IF(ISNA(VLOOKUP(A38,'Données projet'!$A$139:$I$159,5,0)),0%,VLOOKUP(A38,'Données projet'!$A$139:$I$159,5,0)*VLOOKUP('Données projet'!$B$13,Paramètres!$A$1:$I$89,7,0))</f>
        <v>0.13500000000000001</v>
      </c>
      <c r="DD38" s="16">
        <f>IF(ISNA(VLOOKUP(A38,'Données projet'!$A$139:$I$159,6,0)),0%,VLOOKUP(A38,'Données projet'!$A$139:$I$159,6,0)*VLOOKUP('Données projet'!$B$13,Paramètres!$A$1:$I$89,7,0))</f>
        <v>0.22500000000000001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8.6280910276596749</v>
      </c>
      <c r="DG38" s="21">
        <f>EXP(-LN(2)/25)*DG37+(1-EXP(-LN(2)/25))/(LN(2)/25)*Calculateur!DB38*Calculateur!DD38*VLOOKUP('Données projet'!$B$13,Paramètres!$A$1:$I$89,3,0)*0.475*44/12</f>
        <v>19.390313659858869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28.018404687518544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233</v>
      </c>
      <c r="DM38" s="12">
        <f>VLOOKUP(A38,'Données projet'!$A$165:$I$185,9,0)</f>
        <v>14.6</v>
      </c>
      <c r="DN38" s="12">
        <f t="array" ref="DN38">INDEX(DM:DM,MIN(IF(ISNUMBER(DM38:DM234),ROW(DM38:DM234),"")))</f>
        <v>14.6</v>
      </c>
      <c r="DO38" s="12">
        <f>IF('Données projet'!$A$166&gt;35,DO37+DN38-DW37,IF(A38&lt;'Données projet'!$A$166,$DL$205^A38,IF(A38='Données projet'!$A$166,'Données projet'!$B$166,DO37+DN38-DW37)))</f>
        <v>233.00000000000003</v>
      </c>
      <c r="DP38" s="17">
        <f>DO38*VLOOKUP('Données projet'!$B$14,Paramètres!$A$1:$I$89,3,0)*VLOOKUP('Données projet'!$B$14,Paramètres!$A$1:$I$89,5,0)</f>
        <v>139.33400000000003</v>
      </c>
      <c r="DQ38" s="13">
        <f t="shared" si="43"/>
        <v>36.144391930570897</v>
      </c>
      <c r="DR38" s="20">
        <f t="shared" si="16"/>
        <v>305.62486594574438</v>
      </c>
      <c r="DS38" s="59">
        <f t="shared" si="17"/>
        <v>598.95819927907769</v>
      </c>
      <c r="DT38" s="59">
        <f ca="1">AVERAGE(OFFSET($DS$3,0,0,'Données projet'!$E$14+1,1))-AVERAGE(OFFSET($H$3,0,0,'Données projet'!$E$14+1,1))</f>
        <v>393.01180019332998</v>
      </c>
      <c r="DU38" s="59">
        <f t="shared" si="44"/>
        <v>283.82782416294748</v>
      </c>
      <c r="DV38" s="15">
        <f>IF(ISNA(VLOOKUP(A38,'Données projet'!$A$165:$I$185,3,0)),0,VLOOKUP(A38,'Données projet'!$A$165:$I$185,3,0))</f>
        <v>4</v>
      </c>
      <c r="DW38" s="15">
        <f>IF(ISNA(VLOOKUP(A38,'Données projet'!$A$165:$I$185,4,0)),0,VLOOKUP(A38,'Données projet'!$A$165:$I$185,4,0))</f>
        <v>41</v>
      </c>
      <c r="DX38" s="16">
        <f>IF(ISNA(VLOOKUP(A38,'Données projet'!$A$165:$I$185,5,0)),0%,VLOOKUP(A38,'Données projet'!$A$165:$I$185,5,0)*VLOOKUP('Données projet'!$B$14,Paramètres!$A$1:$I$89,7,0))</f>
        <v>0.13500000000000001</v>
      </c>
      <c r="DY38" s="16">
        <f>IF(ISNA(VLOOKUP(A38,'Données projet'!$A$165:$I$185,6,0)),0%,VLOOKUP(A38,'Données projet'!$A$165:$I$185,6,0)*VLOOKUP('Données projet'!$B$14,Paramètres!$A$1:$I$89,7,0))</f>
        <v>0.22500000000000001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8.6280910276596749</v>
      </c>
      <c r="EB38" s="21">
        <f>EXP(-LN(2)/25)*EB37+(1-EXP(-LN(2)/25))/(LN(2)/25)*Calculateur!DW38*Calculateur!DY38*VLOOKUP('Données projet'!$B$14,Paramètres!$A$1:$I$89,3,0)*0.475*44/12</f>
        <v>19.390313659858869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28.018404687518544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4.1558400000000004</v>
      </c>
      <c r="D39" s="11">
        <f t="shared" si="32"/>
        <v>1.6225533940061789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8.9210283977639264</v>
      </c>
      <c r="H39" s="67">
        <f t="shared" si="1"/>
        <v>266.73070182789411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10</v>
      </c>
      <c r="N39" s="13">
        <f>IF('Données projet'!$A$36&gt;35,N38+M39-V38,IF(A39&lt;'Données projet'!$A$36,$K$205^A39,IF(A39='Données projet'!$A$36,'Données projet'!$B$36,N38+M39-V38)))</f>
        <v>206.02499999999992</v>
      </c>
      <c r="O39" s="13">
        <f>N39*VLOOKUP('Données projet'!$B$9,Paramètres!$A$1:$I$89,3,0)*VLOOKUP('Données projet'!$B$9,Paramètres!$A$1:$I$89,5,0)</f>
        <v>96.419699999999963</v>
      </c>
      <c r="P39" s="13">
        <f t="shared" si="33"/>
        <v>26.107238969082097</v>
      </c>
      <c r="Q39" s="20">
        <f t="shared" si="53"/>
        <v>213.40108537115125</v>
      </c>
      <c r="R39" s="59">
        <f t="shared" si="0"/>
        <v>506.7344187044846</v>
      </c>
      <c r="S39" s="59">
        <f ca="1">AVERAGE(OFFSET($R$3,0,0,'Données projet'!$E$9+1,1))-AVERAGE(OFFSET($H$3,0,0,'Données projet'!$E$9+1,1))</f>
        <v>189.8770435341392</v>
      </c>
      <c r="T39" s="59">
        <f t="shared" si="34"/>
        <v>230.18380961122767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26.087384288282507</v>
      </c>
      <c r="AB39" s="21">
        <f>EXP(-LN(2)/2)*AB38+(1-EXP(-LN(2)/2))/(LN(2)/2)*V39*Y39*VLOOKUP('Données projet'!$B$9,Paramètres!$A$1:$I$89,3,0)*0.475*44/12</f>
        <v>0</v>
      </c>
      <c r="AC39" s="22">
        <f t="shared" si="3"/>
        <v>26.087384288282507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13.303926000000001</v>
      </c>
      <c r="AI39" s="13">
        <f>IF('Données projet'!$A$62&gt;35,AI38+AH39-AQ38,IF(A39&lt;'Données projet'!$A$62,$AF$205^A39,IF(A39='Données projet'!$A$62,'Données projet'!$B$62,AI38+AH39-AQ38)))</f>
        <v>174.10476599999998</v>
      </c>
      <c r="AJ39" s="13">
        <f>AI39*VLOOKUP('Données projet'!$B$10,Paramètres!$A$1:$I$89,3,0)*VLOOKUP('Données projet'!$B$10,Paramètres!$A$1:$I$89,5,0)</f>
        <v>76.954306572000007</v>
      </c>
      <c r="AK39" s="13">
        <f t="shared" si="35"/>
        <v>21.390822356345264</v>
      </c>
      <c r="AL39" s="20">
        <f t="shared" si="4"/>
        <v>171.28443288353469</v>
      </c>
      <c r="AM39" s="59">
        <f t="shared" si="5"/>
        <v>464.61776621686801</v>
      </c>
      <c r="AN39" s="59">
        <f ca="1">AVERAGE(OFFSET($AM$3,0,0,'Données projet'!$E$10+1,1))-AVERAGE(OFFSET($H$3,0,0,'Données projet'!$E$10+1,1))</f>
        <v>207.77463758757142</v>
      </c>
      <c r="AO39" s="59">
        <f t="shared" si="36"/>
        <v>180.50802165484066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32.665524201933394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32.665524201933394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14.4</v>
      </c>
      <c r="BD39" s="12">
        <f>IF('Données projet'!$A$88&gt;35,BD38+BC39-BL38,IF(A39&lt;'Données projet'!$A$88,$BA$205^A39,IF(A39='Données projet'!$A$88,'Données projet'!$B$88,BD38+BC39-BL38)))</f>
        <v>206.40000000000003</v>
      </c>
      <c r="BE39" s="13">
        <f>BD39*VLOOKUP('Données projet'!$B$11,Paramètres!$A$1:$I$89,3,0)*VLOOKUP('Données projet'!$B$11,Paramètres!$A$1:$I$89,5,0)</f>
        <v>123.42720000000003</v>
      </c>
      <c r="BF39" s="13">
        <f t="shared" si="37"/>
        <v>32.473022671122074</v>
      </c>
      <c r="BG39" s="20">
        <f t="shared" si="7"/>
        <v>271.5262211522043</v>
      </c>
      <c r="BH39" s="59">
        <f t="shared" si="8"/>
        <v>564.85955448553761</v>
      </c>
      <c r="BI39" s="59">
        <f ca="1">AVERAGE(OFFSET($BH$3,0,0,'Données projet'!$E$11+1,1))-AVERAGE(OFFSET($H$3,0,0,'Données projet'!$E$11+1,1))</f>
        <v>393.01180019332998</v>
      </c>
      <c r="BJ39" s="59">
        <f t="shared" si="38"/>
        <v>283.82782416294748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8.4588994252231551</v>
      </c>
      <c r="BQ39" s="21">
        <f>EXP(-LN(2)/25)*BQ38+(1-EXP(-LN(2)/25))/(LN(2)/25)*Calculateur!BL39*Calculateur!BN39*VLOOKUP('Données projet'!$B$11,Paramètres!$A$1:$I$89,3,0)*0.475*44/12</f>
        <v>18.86008451313775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27.318983938360905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14.4</v>
      </c>
      <c r="BY39" s="12">
        <f>IF('Données projet'!$A$114&gt;35,BY38+BX39-CG38,IF(A39&lt;'Données projet'!$A$114,$BV$205^A39,IF(A39='Données projet'!$A$114,'Données projet'!$B$114,BY38+BX39-CG38)))</f>
        <v>206.40000000000003</v>
      </c>
      <c r="BZ39" s="13">
        <f>BY39*VLOOKUP('Données projet'!$B$12,Paramètres!$A$1:$I$89,3,0)*VLOOKUP('Données projet'!$B$12,Paramètres!$A$1:$I$89,5,0)</f>
        <v>123.42720000000003</v>
      </c>
      <c r="CA39" s="13">
        <f t="shared" si="39"/>
        <v>32.473022671122074</v>
      </c>
      <c r="CB39" s="20">
        <f t="shared" si="10"/>
        <v>271.5262211522043</v>
      </c>
      <c r="CC39" s="59">
        <f t="shared" si="11"/>
        <v>564.85955448553761</v>
      </c>
      <c r="CD39" s="59">
        <f ca="1">AVERAGE(OFFSET($CC$3,0,0,'Données projet'!$E$12+1,1))-AVERAGE(OFFSET($H$3,0,0,'Données projet'!$E$12+1,1))</f>
        <v>393.01180019332998</v>
      </c>
      <c r="CE39" s="59">
        <f t="shared" si="40"/>
        <v>283.82782416294748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8.4588994252231551</v>
      </c>
      <c r="CL39" s="21">
        <f>EXP(-LN(2)/25)*CL38+(1-EXP(-LN(2)/25))/(LN(2)/25)*Calculateur!CG39*Calculateur!CI39*VLOOKUP('Données projet'!$B$12,Paramètres!$A$1:$I$89,3,0)*0.475*44/12</f>
        <v>18.86008451313775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27.318983938360905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14.4</v>
      </c>
      <c r="CT39" s="12">
        <f>IF('Données projet'!$A$140&gt;35,CT38+CS39-DB38,IF(A39&lt;'Données projet'!$A$140,$CQ$205^A39,IF(A39='Données projet'!$A$140,'Données projet'!$B$140,CT38+CS39-DB38)))</f>
        <v>206.40000000000003</v>
      </c>
      <c r="CU39" s="17">
        <f>CT39*VLOOKUP('Données projet'!$B$13,Paramètres!$A$1:$I$89,3,0)*VLOOKUP('Données projet'!$B$13,Paramètres!$A$1:$I$89,5,0)</f>
        <v>123.42720000000003</v>
      </c>
      <c r="CV39" s="13">
        <f t="shared" si="41"/>
        <v>32.473022671122074</v>
      </c>
      <c r="CW39" s="20">
        <f t="shared" si="13"/>
        <v>271.5262211522043</v>
      </c>
      <c r="CX39" s="59">
        <f t="shared" si="14"/>
        <v>564.85955448553761</v>
      </c>
      <c r="CY39" s="59">
        <f ca="1">AVERAGE(OFFSET($CX$3,0,0,'Données projet'!$E$13+1,1))-AVERAGE(OFFSET($H$3,0,0,'Données projet'!$E$13+1,1))</f>
        <v>393.01180019332998</v>
      </c>
      <c r="CZ39" s="59">
        <f t="shared" si="42"/>
        <v>283.82782416294748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8.4588994252231551</v>
      </c>
      <c r="DG39" s="21">
        <f>EXP(-LN(2)/25)*DG38+(1-EXP(-LN(2)/25))/(LN(2)/25)*Calculateur!DB39*Calculateur!DD39*VLOOKUP('Données projet'!$B$13,Paramètres!$A$1:$I$89,3,0)*0.475*44/12</f>
        <v>18.86008451313775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27.318983938360905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14.4</v>
      </c>
      <c r="DO39" s="12">
        <f>IF('Données projet'!$A$166&gt;35,DO38+DN39-DW38,IF(A39&lt;'Données projet'!$A$166,$DL$205^A39,IF(A39='Données projet'!$A$166,'Données projet'!$B$166,DO38+DN39-DW38)))</f>
        <v>206.40000000000003</v>
      </c>
      <c r="DP39" s="17">
        <f>DO39*VLOOKUP('Données projet'!$B$14,Paramètres!$A$1:$I$89,3,0)*VLOOKUP('Données projet'!$B$14,Paramètres!$A$1:$I$89,5,0)</f>
        <v>123.42720000000003</v>
      </c>
      <c r="DQ39" s="13">
        <f t="shared" si="43"/>
        <v>32.473022671122074</v>
      </c>
      <c r="DR39" s="20">
        <f t="shared" si="16"/>
        <v>271.5262211522043</v>
      </c>
      <c r="DS39" s="59">
        <f t="shared" si="17"/>
        <v>564.85955448553761</v>
      </c>
      <c r="DT39" s="59">
        <f ca="1">AVERAGE(OFFSET($DS$3,0,0,'Données projet'!$E$14+1,1))-AVERAGE(OFFSET($H$3,0,0,'Données projet'!$E$14+1,1))</f>
        <v>393.01180019332998</v>
      </c>
      <c r="DU39" s="59">
        <f t="shared" si="44"/>
        <v>283.82782416294748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8.4588994252231551</v>
      </c>
      <c r="EB39" s="21">
        <f>EXP(-LN(2)/25)*EB38+(1-EXP(-LN(2)/25))/(LN(2)/25)*Calculateur!DW39*Calculateur!DY39*VLOOKUP('Données projet'!$B$14,Paramètres!$A$1:$I$89,3,0)*0.475*44/12</f>
        <v>18.86008451313775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27.318983938360905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4.2712800000000009</v>
      </c>
      <c r="D40" s="11">
        <f t="shared" si="32"/>
        <v>1.6623143383408014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9.1606368732279044</v>
      </c>
      <c r="H40" s="67">
        <f t="shared" si="1"/>
        <v>267.0010101392769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10</v>
      </c>
      <c r="N40" s="13">
        <f>IF('Données projet'!$A$36&gt;35,N39+M40-V39,IF(A40&lt;'Données projet'!$A$36,$K$205^A40,IF(A40='Données projet'!$A$36,'Données projet'!$B$36,N39+M40-V39)))</f>
        <v>216.02499999999992</v>
      </c>
      <c r="O40" s="13">
        <f>N40*VLOOKUP('Données projet'!$B$9,Paramètres!$A$1:$I$89,3,0)*VLOOKUP('Données projet'!$B$9,Paramètres!$A$1:$I$89,5,0)</f>
        <v>101.09969999999996</v>
      </c>
      <c r="P40" s="13">
        <f t="shared" si="33"/>
        <v>27.223818911890113</v>
      </c>
      <c r="Q40" s="20">
        <f t="shared" si="53"/>
        <v>223.49679543820852</v>
      </c>
      <c r="R40" s="59">
        <f t="shared" si="0"/>
        <v>516.83012877154181</v>
      </c>
      <c r="S40" s="59">
        <f ca="1">AVERAGE(OFFSET($R$3,0,0,'Données projet'!$E$9+1,1))-AVERAGE(OFFSET($H$3,0,0,'Données projet'!$E$9+1,1))</f>
        <v>189.8770435341392</v>
      </c>
      <c r="T40" s="59">
        <f t="shared" si="34"/>
        <v>230.18380961122767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25.374023393043505</v>
      </c>
      <c r="AB40" s="21">
        <f>EXP(-LN(2)/2)*AB39+(1-EXP(-LN(2)/2))/(LN(2)/2)*V40*Y40*VLOOKUP('Données projet'!$B$9,Paramètres!$A$1:$I$89,3,0)*0.475*44/12</f>
        <v>0</v>
      </c>
      <c r="AC40" s="22">
        <f t="shared" si="3"/>
        <v>25.374023393043505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13.303926000000001</v>
      </c>
      <c r="AI40" s="13">
        <f>IF('Données projet'!$A$62&gt;35,AI39+AH40-AQ39,IF(A40&lt;'Données projet'!$A$62,$AF$205^A40,IF(A40='Données projet'!$A$62,'Données projet'!$B$62,AI39+AH40-AQ39)))</f>
        <v>187.40869199999997</v>
      </c>
      <c r="AJ40" s="13">
        <f>AI40*VLOOKUP('Données projet'!$B$10,Paramètres!$A$1:$I$89,3,0)*VLOOKUP('Données projet'!$B$10,Paramètres!$A$1:$I$89,5,0)</f>
        <v>82.834641863999991</v>
      </c>
      <c r="AK40" s="13">
        <f t="shared" si="35"/>
        <v>22.828858020815392</v>
      </c>
      <c r="AL40" s="20">
        <f t="shared" si="4"/>
        <v>184.03059563272015</v>
      </c>
      <c r="AM40" s="59">
        <f t="shared" si="5"/>
        <v>477.36392896605344</v>
      </c>
      <c r="AN40" s="59">
        <f ca="1">AVERAGE(OFFSET($AM$3,0,0,'Données projet'!$E$10+1,1))-AVERAGE(OFFSET($H$3,0,0,'Données projet'!$E$10+1,1))</f>
        <v>207.77463758757142</v>
      </c>
      <c r="AO40" s="59">
        <f t="shared" si="36"/>
        <v>180.50802165484066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31.772283724826266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31.772283724826266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14.4</v>
      </c>
      <c r="BD40" s="12">
        <f>IF('Données projet'!$A$88&gt;35,BD39+BC40-BL39,IF(A40&lt;'Données projet'!$A$88,$BA$205^A40,IF(A40='Données projet'!$A$88,'Données projet'!$B$88,BD39+BC40-BL39)))</f>
        <v>220.80000000000004</v>
      </c>
      <c r="BE40" s="13">
        <f>BD40*VLOOKUP('Données projet'!$B$11,Paramètres!$A$1:$I$89,3,0)*VLOOKUP('Données projet'!$B$11,Paramètres!$A$1:$I$89,5,0)</f>
        <v>132.03840000000005</v>
      </c>
      <c r="BF40" s="13">
        <f t="shared" si="37"/>
        <v>34.466946374534373</v>
      </c>
      <c r="BG40" s="20">
        <f t="shared" si="7"/>
        <v>289.99681160231415</v>
      </c>
      <c r="BH40" s="59">
        <f t="shared" si="8"/>
        <v>583.33014493564747</v>
      </c>
      <c r="BI40" s="59">
        <f ca="1">AVERAGE(OFFSET($BH$3,0,0,'Données projet'!$E$11+1,1))-AVERAGE(OFFSET($H$3,0,0,'Données projet'!$E$11+1,1))</f>
        <v>393.01180019332998</v>
      </c>
      <c r="BJ40" s="59">
        <f t="shared" si="38"/>
        <v>283.82782416294748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8.2930255669137285</v>
      </c>
      <c r="BQ40" s="21">
        <f>EXP(-LN(2)/25)*BQ39+(1-EXP(-LN(2)/25))/(LN(2)/25)*Calculateur!BL40*Calculateur!BN40*VLOOKUP('Données projet'!$B$11,Paramètres!$A$1:$I$89,3,0)*0.475*44/12</f>
        <v>18.34435451031726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26.637380077230986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14.4</v>
      </c>
      <c r="BY40" s="12">
        <f>IF('Données projet'!$A$114&gt;35,BY39+BX40-CG39,IF(A40&lt;'Données projet'!$A$114,$BV$205^A40,IF(A40='Données projet'!$A$114,'Données projet'!$B$114,BY39+BX40-CG39)))</f>
        <v>220.80000000000004</v>
      </c>
      <c r="BZ40" s="13">
        <f>BY40*VLOOKUP('Données projet'!$B$12,Paramètres!$A$1:$I$89,3,0)*VLOOKUP('Données projet'!$B$12,Paramètres!$A$1:$I$89,5,0)</f>
        <v>132.03840000000005</v>
      </c>
      <c r="CA40" s="13">
        <f t="shared" si="39"/>
        <v>34.466946374534373</v>
      </c>
      <c r="CB40" s="20">
        <f t="shared" si="10"/>
        <v>289.99681160231415</v>
      </c>
      <c r="CC40" s="59">
        <f t="shared" si="11"/>
        <v>583.33014493564747</v>
      </c>
      <c r="CD40" s="59">
        <f ca="1">AVERAGE(OFFSET($CC$3,0,0,'Données projet'!$E$12+1,1))-AVERAGE(OFFSET($H$3,0,0,'Données projet'!$E$12+1,1))</f>
        <v>393.01180019332998</v>
      </c>
      <c r="CE40" s="59">
        <f t="shared" si="40"/>
        <v>283.82782416294748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8.2930255669137285</v>
      </c>
      <c r="CL40" s="21">
        <f>EXP(-LN(2)/25)*CL39+(1-EXP(-LN(2)/25))/(LN(2)/25)*Calculateur!CG40*Calculateur!CI40*VLOOKUP('Données projet'!$B$12,Paramètres!$A$1:$I$89,3,0)*0.475*44/12</f>
        <v>18.34435451031726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26.637380077230986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14.4</v>
      </c>
      <c r="CT40" s="12">
        <f>IF('Données projet'!$A$140&gt;35,CT39+CS40-DB39,IF(A40&lt;'Données projet'!$A$140,$CQ$205^A40,IF(A40='Données projet'!$A$140,'Données projet'!$B$140,CT39+CS40-DB39)))</f>
        <v>220.80000000000004</v>
      </c>
      <c r="CU40" s="17">
        <f>CT40*VLOOKUP('Données projet'!$B$13,Paramètres!$A$1:$I$89,3,0)*VLOOKUP('Données projet'!$B$13,Paramètres!$A$1:$I$89,5,0)</f>
        <v>132.03840000000005</v>
      </c>
      <c r="CV40" s="13">
        <f t="shared" si="41"/>
        <v>34.466946374534373</v>
      </c>
      <c r="CW40" s="20">
        <f t="shared" si="13"/>
        <v>289.99681160231415</v>
      </c>
      <c r="CX40" s="59">
        <f t="shared" si="14"/>
        <v>583.33014493564747</v>
      </c>
      <c r="CY40" s="59">
        <f ca="1">AVERAGE(OFFSET($CX$3,0,0,'Données projet'!$E$13+1,1))-AVERAGE(OFFSET($H$3,0,0,'Données projet'!$E$13+1,1))</f>
        <v>393.01180019332998</v>
      </c>
      <c r="CZ40" s="59">
        <f t="shared" si="42"/>
        <v>283.82782416294748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8.2930255669137285</v>
      </c>
      <c r="DG40" s="21">
        <f>EXP(-LN(2)/25)*DG39+(1-EXP(-LN(2)/25))/(LN(2)/25)*Calculateur!DB40*Calculateur!DD40*VLOOKUP('Données projet'!$B$13,Paramètres!$A$1:$I$89,3,0)*0.475*44/12</f>
        <v>18.34435451031726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26.637380077230986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14.4</v>
      </c>
      <c r="DO40" s="12">
        <f>IF('Données projet'!$A$166&gt;35,DO39+DN40-DW39,IF(A40&lt;'Données projet'!$A$166,$DL$205^A40,IF(A40='Données projet'!$A$166,'Données projet'!$B$166,DO39+DN40-DW39)))</f>
        <v>220.80000000000004</v>
      </c>
      <c r="DP40" s="17">
        <f>DO40*VLOOKUP('Données projet'!$B$14,Paramètres!$A$1:$I$89,3,0)*VLOOKUP('Données projet'!$B$14,Paramètres!$A$1:$I$89,5,0)</f>
        <v>132.03840000000005</v>
      </c>
      <c r="DQ40" s="13">
        <f t="shared" si="43"/>
        <v>34.466946374534373</v>
      </c>
      <c r="DR40" s="20">
        <f t="shared" si="16"/>
        <v>289.99681160231415</v>
      </c>
      <c r="DS40" s="59">
        <f t="shared" si="17"/>
        <v>583.33014493564747</v>
      </c>
      <c r="DT40" s="59">
        <f ca="1">AVERAGE(OFFSET($DS$3,0,0,'Données projet'!$E$14+1,1))-AVERAGE(OFFSET($H$3,0,0,'Données projet'!$E$14+1,1))</f>
        <v>393.01180019332998</v>
      </c>
      <c r="DU40" s="59">
        <f t="shared" si="44"/>
        <v>283.82782416294748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8.2930255669137285</v>
      </c>
      <c r="EB40" s="21">
        <f>EXP(-LN(2)/25)*EB39+(1-EXP(-LN(2)/25))/(LN(2)/25)*Calculateur!DW40*Calculateur!DY40*VLOOKUP('Données projet'!$B$14,Paramètres!$A$1:$I$89,3,0)*0.475*44/12</f>
        <v>18.34435451031726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26.637380077230986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4.3867200000000013</v>
      </c>
      <c r="D41" s="11">
        <f t="shared" si="32"/>
        <v>1.701950377375224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9.4000525124389451</v>
      </c>
      <c r="H41" s="67">
        <f t="shared" si="1"/>
        <v>267.27110090726188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10</v>
      </c>
      <c r="N41" s="13">
        <f>IF('Données projet'!$A$36&gt;35,N40+M41-V40,IF(A41&lt;'Données projet'!$A$36,$K$205^A41,IF(A41='Données projet'!$A$36,'Données projet'!$B$36,N40+M41-V40)))</f>
        <v>226.02499999999992</v>
      </c>
      <c r="O41" s="13">
        <f>N41*VLOOKUP('Données projet'!$B$9,Paramètres!$A$1:$I$89,3,0)*VLOOKUP('Données projet'!$B$9,Paramètres!$A$1:$I$89,5,0)</f>
        <v>105.77969999999996</v>
      </c>
      <c r="P41" s="13">
        <f t="shared" si="33"/>
        <v>28.334396342195824</v>
      </c>
      <c r="Q41" s="20">
        <f t="shared" si="53"/>
        <v>233.58205112932433</v>
      </c>
      <c r="R41" s="59">
        <f t="shared" si="0"/>
        <v>526.91538446265758</v>
      </c>
      <c r="S41" s="59">
        <f ca="1">AVERAGE(OFFSET($R$3,0,0,'Données projet'!$E$9+1,1))-AVERAGE(OFFSET($H$3,0,0,'Données projet'!$E$9+1,1))</f>
        <v>189.8770435341392</v>
      </c>
      <c r="T41" s="59">
        <f t="shared" si="34"/>
        <v>230.18380961122767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24.680169388998834</v>
      </c>
      <c r="AB41" s="21">
        <f>EXP(-LN(2)/2)*AB40+(1-EXP(-LN(2)/2))/(LN(2)/2)*V41*Y41*VLOOKUP('Données projet'!$B$9,Paramètres!$A$1:$I$89,3,0)*0.475*44/12</f>
        <v>0</v>
      </c>
      <c r="AC41" s="22">
        <f t="shared" si="3"/>
        <v>24.680169388998834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13.303926000000001</v>
      </c>
      <c r="AI41" s="13">
        <f>IF('Données projet'!$A$62&gt;35,AI40+AH41-AQ40,IF(A41&lt;'Données projet'!$A$62,$AF$205^A41,IF(A41='Données projet'!$A$62,'Données projet'!$B$62,AI40+AH41-AQ40)))</f>
        <v>200.71261799999996</v>
      </c>
      <c r="AJ41" s="13">
        <f>AI41*VLOOKUP('Données projet'!$B$10,Paramètres!$A$1:$I$89,3,0)*VLOOKUP('Données projet'!$B$10,Paramètres!$A$1:$I$89,5,0)</f>
        <v>88.714977155999989</v>
      </c>
      <c r="AK41" s="13">
        <f t="shared" si="35"/>
        <v>24.255049513507554</v>
      </c>
      <c r="AL41" s="20">
        <f t="shared" si="4"/>
        <v>196.75612978272565</v>
      </c>
      <c r="AM41" s="59">
        <f t="shared" si="5"/>
        <v>490.08946311605894</v>
      </c>
      <c r="AN41" s="59">
        <f ca="1">AVERAGE(OFFSET($AM$3,0,0,'Données projet'!$E$10+1,1))-AVERAGE(OFFSET($H$3,0,0,'Données projet'!$E$10+1,1))</f>
        <v>207.77463758757142</v>
      </c>
      <c r="AO41" s="59">
        <f t="shared" si="36"/>
        <v>180.50802165484066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30.903468955539108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30.903468955539108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14.4</v>
      </c>
      <c r="BD41" s="12">
        <f>IF('Données projet'!$A$88&gt;35,BD40+BC41-BL40,IF(A41&lt;'Données projet'!$A$88,$BA$205^A41,IF(A41='Données projet'!$A$88,'Données projet'!$B$88,BD40+BC41-BL40)))</f>
        <v>235.20000000000005</v>
      </c>
      <c r="BE41" s="13">
        <f>BD41*VLOOKUP('Données projet'!$B$11,Paramètres!$A$1:$I$89,3,0)*VLOOKUP('Données projet'!$B$11,Paramètres!$A$1:$I$89,5,0)</f>
        <v>140.64960000000002</v>
      </c>
      <c r="BF41" s="13">
        <f t="shared" si="37"/>
        <v>36.445779615258601</v>
      </c>
      <c r="BG41" s="20">
        <f t="shared" si="7"/>
        <v>308.44111949657542</v>
      </c>
      <c r="BH41" s="59">
        <f t="shared" si="8"/>
        <v>601.7744528299088</v>
      </c>
      <c r="BI41" s="59">
        <f ca="1">AVERAGE(OFFSET($BH$3,0,0,'Données projet'!$E$11+1,1))-AVERAGE(OFFSET($H$3,0,0,'Données projet'!$E$11+1,1))</f>
        <v>393.01180019332998</v>
      </c>
      <c r="BJ41" s="59">
        <f t="shared" si="38"/>
        <v>283.82782416294748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8.130404393792686</v>
      </c>
      <c r="BQ41" s="21">
        <f>EXP(-LN(2)/25)*BQ40+(1-EXP(-LN(2)/25))/(LN(2)/25)*Calculateur!BL41*Calculateur!BN41*VLOOKUP('Données projet'!$B$11,Paramètres!$A$1:$I$89,3,0)*0.475*44/12</f>
        <v>17.842727171544958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25.973131565337646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14.4</v>
      </c>
      <c r="BY41" s="12">
        <f>IF('Données projet'!$A$114&gt;35,BY40+BX41-CG40,IF(A41&lt;'Données projet'!$A$114,$BV$205^A41,IF(A41='Données projet'!$A$114,'Données projet'!$B$114,BY40+BX41-CG40)))</f>
        <v>235.20000000000005</v>
      </c>
      <c r="BZ41" s="13">
        <f>BY41*VLOOKUP('Données projet'!$B$12,Paramètres!$A$1:$I$89,3,0)*VLOOKUP('Données projet'!$B$12,Paramètres!$A$1:$I$89,5,0)</f>
        <v>140.64960000000002</v>
      </c>
      <c r="CA41" s="13">
        <f t="shared" si="39"/>
        <v>36.445779615258601</v>
      </c>
      <c r="CB41" s="20">
        <f t="shared" si="10"/>
        <v>308.44111949657542</v>
      </c>
      <c r="CC41" s="59">
        <f t="shared" si="11"/>
        <v>601.7744528299088</v>
      </c>
      <c r="CD41" s="59">
        <f ca="1">AVERAGE(OFFSET($CC$3,0,0,'Données projet'!$E$12+1,1))-AVERAGE(OFFSET($H$3,0,0,'Données projet'!$E$12+1,1))</f>
        <v>393.01180019332998</v>
      </c>
      <c r="CE41" s="59">
        <f t="shared" si="40"/>
        <v>283.82782416294748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8.130404393792686</v>
      </c>
      <c r="CL41" s="21">
        <f>EXP(-LN(2)/25)*CL40+(1-EXP(-LN(2)/25))/(LN(2)/25)*Calculateur!CG41*Calculateur!CI41*VLOOKUP('Données projet'!$B$12,Paramètres!$A$1:$I$89,3,0)*0.475*44/12</f>
        <v>17.842727171544958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25.973131565337646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14.4</v>
      </c>
      <c r="CT41" s="12">
        <f>IF('Données projet'!$A$140&gt;35,CT40+CS41-DB40,IF(A41&lt;'Données projet'!$A$140,$CQ$205^A41,IF(A41='Données projet'!$A$140,'Données projet'!$B$140,CT40+CS41-DB40)))</f>
        <v>235.20000000000005</v>
      </c>
      <c r="CU41" s="17">
        <f>CT41*VLOOKUP('Données projet'!$B$13,Paramètres!$A$1:$I$89,3,0)*VLOOKUP('Données projet'!$B$13,Paramètres!$A$1:$I$89,5,0)</f>
        <v>140.64960000000002</v>
      </c>
      <c r="CV41" s="13">
        <f t="shared" si="41"/>
        <v>36.445779615258601</v>
      </c>
      <c r="CW41" s="20">
        <f t="shared" si="13"/>
        <v>308.44111949657542</v>
      </c>
      <c r="CX41" s="59">
        <f t="shared" si="14"/>
        <v>601.7744528299088</v>
      </c>
      <c r="CY41" s="59">
        <f ca="1">AVERAGE(OFFSET($CX$3,0,0,'Données projet'!$E$13+1,1))-AVERAGE(OFFSET($H$3,0,0,'Données projet'!$E$13+1,1))</f>
        <v>393.01180019332998</v>
      </c>
      <c r="CZ41" s="59">
        <f t="shared" si="42"/>
        <v>283.82782416294748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8.130404393792686</v>
      </c>
      <c r="DG41" s="21">
        <f>EXP(-LN(2)/25)*DG40+(1-EXP(-LN(2)/25))/(LN(2)/25)*Calculateur!DB41*Calculateur!DD41*VLOOKUP('Données projet'!$B$13,Paramètres!$A$1:$I$89,3,0)*0.475*44/12</f>
        <v>17.842727171544958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25.973131565337646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14.4</v>
      </c>
      <c r="DO41" s="12">
        <f>IF('Données projet'!$A$166&gt;35,DO40+DN41-DW40,IF(A41&lt;'Données projet'!$A$166,$DL$205^A41,IF(A41='Données projet'!$A$166,'Données projet'!$B$166,DO40+DN41-DW40)))</f>
        <v>235.20000000000005</v>
      </c>
      <c r="DP41" s="17">
        <f>DO41*VLOOKUP('Données projet'!$B$14,Paramètres!$A$1:$I$89,3,0)*VLOOKUP('Données projet'!$B$14,Paramètres!$A$1:$I$89,5,0)</f>
        <v>140.64960000000002</v>
      </c>
      <c r="DQ41" s="13">
        <f t="shared" si="43"/>
        <v>36.445779615258601</v>
      </c>
      <c r="DR41" s="20">
        <f t="shared" si="16"/>
        <v>308.44111949657542</v>
      </c>
      <c r="DS41" s="59">
        <f t="shared" si="17"/>
        <v>601.7744528299088</v>
      </c>
      <c r="DT41" s="59">
        <f ca="1">AVERAGE(OFFSET($DS$3,0,0,'Données projet'!$E$14+1,1))-AVERAGE(OFFSET($H$3,0,0,'Données projet'!$E$14+1,1))</f>
        <v>393.01180019332998</v>
      </c>
      <c r="DU41" s="59">
        <f t="shared" si="44"/>
        <v>283.82782416294748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8.130404393792686</v>
      </c>
      <c r="EB41" s="21">
        <f>EXP(-LN(2)/25)*EB40+(1-EXP(-LN(2)/25))/(LN(2)/25)*Calculateur!DW41*Calculateur!DY41*VLOOKUP('Données projet'!$B$14,Paramètres!$A$1:$I$89,3,0)*0.475*44/12</f>
        <v>17.842727171544958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25.973131565337646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4.5021600000000017</v>
      </c>
      <c r="D42" s="11">
        <f t="shared" si="32"/>
        <v>1.7414651759374233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9.6392809733770797</v>
      </c>
      <c r="H42" s="67">
        <f t="shared" si="1"/>
        <v>267.54098051475768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10</v>
      </c>
      <c r="N42" s="13">
        <f>IF('Données projet'!$A$36&gt;35,N41+M42-V41,IF(A42&lt;'Données projet'!$A$36,$K$205^A42,IF(A42='Données projet'!$A$36,'Données projet'!$B$36,N41+M42-V41)))</f>
        <v>236.02499999999992</v>
      </c>
      <c r="O42" s="13">
        <f>N42*VLOOKUP('Données projet'!$B$9,Paramètres!$A$1:$I$89,3,0)*VLOOKUP('Données projet'!$B$9,Paramètres!$A$1:$I$89,5,0)</f>
        <v>110.45969999999996</v>
      </c>
      <c r="P42" s="13">
        <f t="shared" si="33"/>
        <v>29.439267175737907</v>
      </c>
      <c r="Q42" s="20">
        <f t="shared" si="53"/>
        <v>243.65736783107673</v>
      </c>
      <c r="R42" s="59">
        <f t="shared" si="0"/>
        <v>536.99070116440998</v>
      </c>
      <c r="S42" s="59">
        <f ca="1">AVERAGE(OFFSET($R$3,0,0,'Données projet'!$E$9+1,1))-AVERAGE(OFFSET($H$3,0,0,'Données projet'!$E$9+1,1))</f>
        <v>189.8770435341392</v>
      </c>
      <c r="T42" s="59">
        <f t="shared" si="34"/>
        <v>230.18380961122767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24.005288859182961</v>
      </c>
      <c r="AB42" s="21">
        <f>EXP(-LN(2)/2)*AB41+(1-EXP(-LN(2)/2))/(LN(2)/2)*V42*Y42*VLOOKUP('Données projet'!$B$9,Paramètres!$A$1:$I$89,3,0)*0.475*44/12</f>
        <v>0</v>
      </c>
      <c r="AC42" s="22">
        <f t="shared" si="3"/>
        <v>24.005288859182961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13.303926000000001</v>
      </c>
      <c r="AI42" s="13">
        <f>IF('Données projet'!$A$62&gt;35,AI41+AH42-AQ41,IF(A42&lt;'Données projet'!$A$62,$AF$205^A42,IF(A42='Données projet'!$A$62,'Données projet'!$B$62,AI41+AH42-AQ41)))</f>
        <v>214.01654399999995</v>
      </c>
      <c r="AJ42" s="13">
        <f>AI42*VLOOKUP('Données projet'!$B$10,Paramètres!$A$1:$I$89,3,0)*VLOOKUP('Données projet'!$B$10,Paramètres!$A$1:$I$89,5,0)</f>
        <v>94.595312447999987</v>
      </c>
      <c r="AK42" s="13">
        <f t="shared" si="35"/>
        <v>25.670271239825531</v>
      </c>
      <c r="AL42" s="20">
        <f t="shared" si="4"/>
        <v>209.46255825629609</v>
      </c>
      <c r="AM42" s="59">
        <f t="shared" si="5"/>
        <v>502.79589158962938</v>
      </c>
      <c r="AN42" s="59">
        <f ca="1">AVERAGE(OFFSET($AM$3,0,0,'Données projet'!$E$10+1,1))-AVERAGE(OFFSET($H$3,0,0,'Données projet'!$E$10+1,1))</f>
        <v>207.77463758757142</v>
      </c>
      <c r="AO42" s="59">
        <f t="shared" si="36"/>
        <v>180.50802165484066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30.058411971807089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30.058411971807089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14.4</v>
      </c>
      <c r="BD42" s="12">
        <f>IF('Données projet'!$A$88&gt;35,BD41+BC42-BL41,IF(A42&lt;'Données projet'!$A$88,$BA$205^A42,IF(A42='Données projet'!$A$88,'Données projet'!$B$88,BD41+BC42-BL41)))</f>
        <v>249.60000000000005</v>
      </c>
      <c r="BE42" s="13">
        <f>BD42*VLOOKUP('Données projet'!$B$11,Paramètres!$A$1:$I$89,3,0)*VLOOKUP('Données projet'!$B$11,Paramètres!$A$1:$I$89,5,0)</f>
        <v>149.26080000000005</v>
      </c>
      <c r="BF42" s="13">
        <f t="shared" si="37"/>
        <v>38.410551499792909</v>
      </c>
      <c r="BG42" s="20">
        <f t="shared" si="7"/>
        <v>326.86093719547273</v>
      </c>
      <c r="BH42" s="59">
        <f t="shared" si="8"/>
        <v>620.1942705288061</v>
      </c>
      <c r="BI42" s="59">
        <f ca="1">AVERAGE(OFFSET($BH$3,0,0,'Données projet'!$E$11+1,1))-AVERAGE(OFFSET($H$3,0,0,'Données projet'!$E$11+1,1))</f>
        <v>393.01180019332998</v>
      </c>
      <c r="BJ42" s="59">
        <f t="shared" si="38"/>
        <v>283.82782416294748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7.9709721226874253</v>
      </c>
      <c r="BQ42" s="21">
        <f>EXP(-LN(2)/25)*BQ41+(1-EXP(-LN(2)/25))/(LN(2)/25)*Calculateur!BL42*Calculateur!BN42*VLOOKUP('Données projet'!$B$11,Paramètres!$A$1:$I$89,3,0)*0.475*44/12</f>
        <v>17.354816858730818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25.325788981418242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14.4</v>
      </c>
      <c r="BY42" s="12">
        <f>IF('Données projet'!$A$114&gt;35,BY41+BX42-CG41,IF(A42&lt;'Données projet'!$A$114,$BV$205^A42,IF(A42='Données projet'!$A$114,'Données projet'!$B$114,BY41+BX42-CG41)))</f>
        <v>249.60000000000005</v>
      </c>
      <c r="BZ42" s="13">
        <f>BY42*VLOOKUP('Données projet'!$B$12,Paramètres!$A$1:$I$89,3,0)*VLOOKUP('Données projet'!$B$12,Paramètres!$A$1:$I$89,5,0)</f>
        <v>149.26080000000005</v>
      </c>
      <c r="CA42" s="13">
        <f t="shared" si="39"/>
        <v>38.410551499792909</v>
      </c>
      <c r="CB42" s="20">
        <f t="shared" si="10"/>
        <v>326.86093719547273</v>
      </c>
      <c r="CC42" s="59">
        <f t="shared" si="11"/>
        <v>620.1942705288061</v>
      </c>
      <c r="CD42" s="59">
        <f ca="1">AVERAGE(OFFSET($CC$3,0,0,'Données projet'!$E$12+1,1))-AVERAGE(OFFSET($H$3,0,0,'Données projet'!$E$12+1,1))</f>
        <v>393.01180019332998</v>
      </c>
      <c r="CE42" s="59">
        <f t="shared" si="40"/>
        <v>283.82782416294748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7.9709721226874253</v>
      </c>
      <c r="CL42" s="21">
        <f>EXP(-LN(2)/25)*CL41+(1-EXP(-LN(2)/25))/(LN(2)/25)*Calculateur!CG42*Calculateur!CI42*VLOOKUP('Données projet'!$B$12,Paramètres!$A$1:$I$89,3,0)*0.475*44/12</f>
        <v>17.354816858730818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25.325788981418242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14.4</v>
      </c>
      <c r="CT42" s="12">
        <f>IF('Données projet'!$A$140&gt;35,CT41+CS42-DB41,IF(A42&lt;'Données projet'!$A$140,$CQ$205^A42,IF(A42='Données projet'!$A$140,'Données projet'!$B$140,CT41+CS42-DB41)))</f>
        <v>249.60000000000005</v>
      </c>
      <c r="CU42" s="17">
        <f>CT42*VLOOKUP('Données projet'!$B$13,Paramètres!$A$1:$I$89,3,0)*VLOOKUP('Données projet'!$B$13,Paramètres!$A$1:$I$89,5,0)</f>
        <v>149.26080000000005</v>
      </c>
      <c r="CV42" s="13">
        <f t="shared" si="41"/>
        <v>38.410551499792909</v>
      </c>
      <c r="CW42" s="20">
        <f t="shared" si="13"/>
        <v>326.86093719547273</v>
      </c>
      <c r="CX42" s="59">
        <f t="shared" si="14"/>
        <v>620.1942705288061</v>
      </c>
      <c r="CY42" s="59">
        <f ca="1">AVERAGE(OFFSET($CX$3,0,0,'Données projet'!$E$13+1,1))-AVERAGE(OFFSET($H$3,0,0,'Données projet'!$E$13+1,1))</f>
        <v>393.01180019332998</v>
      </c>
      <c r="CZ42" s="59">
        <f t="shared" si="42"/>
        <v>283.82782416294748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7.9709721226874253</v>
      </c>
      <c r="DG42" s="21">
        <f>EXP(-LN(2)/25)*DG41+(1-EXP(-LN(2)/25))/(LN(2)/25)*Calculateur!DB42*Calculateur!DD42*VLOOKUP('Données projet'!$B$13,Paramètres!$A$1:$I$89,3,0)*0.475*44/12</f>
        <v>17.354816858730818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25.325788981418242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14.4</v>
      </c>
      <c r="DO42" s="12">
        <f>IF('Données projet'!$A$166&gt;35,DO41+DN42-DW41,IF(A42&lt;'Données projet'!$A$166,$DL$205^A42,IF(A42='Données projet'!$A$166,'Données projet'!$B$166,DO41+DN42-DW41)))</f>
        <v>249.60000000000005</v>
      </c>
      <c r="DP42" s="17">
        <f>DO42*VLOOKUP('Données projet'!$B$14,Paramètres!$A$1:$I$89,3,0)*VLOOKUP('Données projet'!$B$14,Paramètres!$A$1:$I$89,5,0)</f>
        <v>149.26080000000005</v>
      </c>
      <c r="DQ42" s="13">
        <f t="shared" si="43"/>
        <v>38.410551499792909</v>
      </c>
      <c r="DR42" s="20">
        <f t="shared" si="16"/>
        <v>326.86093719547273</v>
      </c>
      <c r="DS42" s="59">
        <f t="shared" si="17"/>
        <v>620.1942705288061</v>
      </c>
      <c r="DT42" s="59">
        <f ca="1">AVERAGE(OFFSET($DS$3,0,0,'Données projet'!$E$14+1,1))-AVERAGE(OFFSET($H$3,0,0,'Données projet'!$E$14+1,1))</f>
        <v>393.01180019332998</v>
      </c>
      <c r="DU42" s="59">
        <f t="shared" si="44"/>
        <v>283.82782416294748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7.9709721226874253</v>
      </c>
      <c r="EB42" s="21">
        <f>EXP(-LN(2)/25)*EB41+(1-EXP(-LN(2)/25))/(LN(2)/25)*Calculateur!DW42*Calculateur!DY42*VLOOKUP('Données projet'!$B$14,Paramètres!$A$1:$I$89,3,0)*0.475*44/12</f>
        <v>17.354816858730818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25.325788981418242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4.6176000000000021</v>
      </c>
      <c r="D43" s="11">
        <f t="shared" si="32"/>
        <v>1.7808622002082062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9.8783276073389903</v>
      </c>
      <c r="H43" s="67">
        <f t="shared" si="1"/>
        <v>267.81065499869601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246.02499999999998</v>
      </c>
      <c r="L43" s="12">
        <f>VLOOKUP(A43,'Données projet'!$A$35:$I$55,9,0)</f>
        <v>10</v>
      </c>
      <c r="M43" s="12">
        <f t="array" ref="M43">INDEX(L:L,MIN(IF(ISNUMBER(L43:L239),ROW(L43:L239),"")))</f>
        <v>10</v>
      </c>
      <c r="N43" s="13">
        <f>IF('Données projet'!$A$36&gt;35,N42+M43-V42,IF(A43&lt;'Données projet'!$A$36,$K$205^A43,IF(A43='Données projet'!$A$36,'Données projet'!$B$36,N42+M43-V42)))</f>
        <v>246.02499999999992</v>
      </c>
      <c r="O43" s="13">
        <f>N43*VLOOKUP('Données projet'!$B$9,Paramètres!$A$1:$I$89,3,0)*VLOOKUP('Données projet'!$B$9,Paramètres!$A$1:$I$89,5,0)</f>
        <v>115.13969999999998</v>
      </c>
      <c r="P43" s="13">
        <f t="shared" si="33"/>
        <v>30.538700834930708</v>
      </c>
      <c r="Q43" s="20">
        <f t="shared" si="53"/>
        <v>253.72321478750428</v>
      </c>
      <c r="R43" s="59">
        <f t="shared" si="0"/>
        <v>547.05654812083753</v>
      </c>
      <c r="S43" s="59">
        <f ca="1">AVERAGE(OFFSET($R$3,0,0,'Données projet'!$E$9+1,1))-AVERAGE(OFFSET($H$3,0,0,'Données projet'!$E$9+1,1))</f>
        <v>189.8770435341392</v>
      </c>
      <c r="T43" s="59">
        <f t="shared" si="34"/>
        <v>230.18380961122767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49.204999999999998</v>
      </c>
      <c r="W43" s="16">
        <f>IF(ISNA(VLOOKUP(A43,'Données projet'!$A$35:$I$55,5,0)),0%,VLOOKUP(A43,'Données projet'!$A$35:$I$55,5,0)*VLOOKUP('Données projet'!$B$9,Paramètres!$A$1:$I$89,7,0))</f>
        <v>0.27500000000000002</v>
      </c>
      <c r="X43" s="16">
        <f>IF(ISNA(VLOOKUP(A43,'Données projet'!$A$35:$I$55,6,0)),0%,VLOOKUP(A43,'Données projet'!$A$35:$I$55,6,0)*VLOOKUP('Données projet'!$B$9,Paramètres!$A$1:$I$89,7,0))</f>
        <v>0.27500000000000002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8.4007128386484613</v>
      </c>
      <c r="AA43" s="21">
        <f>EXP(-LN(2)/25)*AA42+(1-EXP(-LN(2)/25))/(LN(2)/25)*Calculateur!V43*Calculateur!X43*VLOOKUP('Données projet'!$B$9,Paramètres!$A$1:$I$89,3,0)*0.475*44/12</f>
        <v>31.71649900422549</v>
      </c>
      <c r="AB43" s="21">
        <f>EXP(-LN(2)/2)*AB42+(1-EXP(-LN(2)/2))/(LN(2)/2)*V43*Y43*VLOOKUP('Données projet'!$B$9,Paramètres!$A$1:$I$89,3,0)*0.475*44/12</f>
        <v>0</v>
      </c>
      <c r="AC43" s="22">
        <f t="shared" si="3"/>
        <v>40.117211842873949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227.32047</v>
      </c>
      <c r="AG43" s="12">
        <f>VLOOKUP(A43,'Données projet'!$A$61:$I$81,9,0)</f>
        <v>13.303926000000001</v>
      </c>
      <c r="AH43" s="12">
        <f t="array" ref="AH43">INDEX(AG:AG,MIN(IF(ISNUMBER(AG43:AG239),ROW(AG43:AG239),"")))</f>
        <v>13.303926000000001</v>
      </c>
      <c r="AI43" s="13">
        <f>IF('Données projet'!$A$62&gt;35,AI42+AH43-AQ42,IF(A43&lt;'Données projet'!$A$62,$AF$205^A43,IF(A43='Données projet'!$A$62,'Données projet'!$B$62,AI42+AH43-AQ42)))</f>
        <v>227.32046999999994</v>
      </c>
      <c r="AJ43" s="13">
        <f>AI43*VLOOKUP('Données projet'!$B$10,Paramètres!$A$1:$I$89,3,0)*VLOOKUP('Données projet'!$B$10,Paramètres!$A$1:$I$89,5,0)</f>
        <v>100.47564773999999</v>
      </c>
      <c r="AK43" s="13">
        <f t="shared" si="35"/>
        <v>27.075282749700179</v>
      </c>
      <c r="AL43" s="20">
        <f t="shared" si="4"/>
        <v>222.1512039362278</v>
      </c>
      <c r="AM43" s="59">
        <f t="shared" si="5"/>
        <v>515.48453726956109</v>
      </c>
      <c r="AN43" s="59">
        <f ca="1">AVERAGE(OFFSET($AM$3,0,0,'Données projet'!$E$10+1,1))-AVERAGE(OFFSET($H$3,0,0,'Données projet'!$E$10+1,1))</f>
        <v>207.77463758757142</v>
      </c>
      <c r="AO43" s="59">
        <f t="shared" si="36"/>
        <v>180.50802165484066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32.809139999999999</v>
      </c>
      <c r="AR43" s="16">
        <f>IF(ISNA(VLOOKUP(A43,'Données projet'!$A$61:$I$81,5,0)),0%,VLOOKUP(A43,'Données projet'!$A$61:$I$81,5,0)*VLOOKUP('Données projet'!$B$10,Paramètres!$A$1:$I$89,7,0))</f>
        <v>0.27500000000000002</v>
      </c>
      <c r="AS43" s="16">
        <f>IF(ISNA(VLOOKUP(A43,'Données projet'!$A$61:$I$81,6,0)),0%,VLOOKUP(A43,'Données projet'!$A$61:$I$81,6,0)*VLOOKUP('Données projet'!$B$10,Paramètres!$A$1:$I$89,7,0))</f>
        <v>0.27500000000000002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5.2902740028579442</v>
      </c>
      <c r="AV43" s="21">
        <f>EXP(-LN(2)/25)*AV42+(1-EXP(-LN(2)/25))/(LN(2)/25)*Calculateur!AQ43*Calculateur!AS43*VLOOKUP('Données projet'!$B$10,Paramètres!$A$1:$I$89,3,0)*0.475*44/12</f>
        <v>34.505907294091102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39.796181296949044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264</v>
      </c>
      <c r="BB43" s="12">
        <f>VLOOKUP(A43,'Données projet'!$A$87:$I$107,9,0)</f>
        <v>14.4</v>
      </c>
      <c r="BC43" s="12">
        <f t="array" ref="BC43">INDEX(BB:BB,MIN(IF(ISNUMBER(BB43:BB239),ROW(BB43:BB239),"")))</f>
        <v>14.4</v>
      </c>
      <c r="BD43" s="12">
        <f>IF('Données projet'!$A$88&gt;35,BD42+BC43-BL42,IF(A43&lt;'Données projet'!$A$88,$BA$205^A43,IF(A43='Données projet'!$A$88,'Données projet'!$B$88,BD42+BC43-BL42)))</f>
        <v>264.00000000000006</v>
      </c>
      <c r="BE43" s="13">
        <f>BD43*VLOOKUP('Données projet'!$B$11,Paramètres!$A$1:$I$89,3,0)*VLOOKUP('Données projet'!$B$11,Paramètres!$A$1:$I$89,5,0)</f>
        <v>157.87200000000004</v>
      </c>
      <c r="BF43" s="13">
        <f t="shared" si="37"/>
        <v>40.362165684361159</v>
      </c>
      <c r="BG43" s="20">
        <f t="shared" si="7"/>
        <v>345.25783856692902</v>
      </c>
      <c r="BH43" s="59">
        <f t="shared" si="8"/>
        <v>638.59117190026234</v>
      </c>
      <c r="BI43" s="59">
        <f ca="1">AVERAGE(OFFSET($BH$3,0,0,'Données projet'!$E$11+1,1))-AVERAGE(OFFSET($H$3,0,0,'Données projet'!$E$11+1,1))</f>
        <v>393.01180019332998</v>
      </c>
      <c r="BJ43" s="59">
        <f t="shared" si="38"/>
        <v>283.82782416294748</v>
      </c>
      <c r="BK43" s="15">
        <f>IF(ISNA(VLOOKUP(A43,'Données projet'!$A$87:$I$107,3,0)),0,VLOOKUP(A43,'Données projet'!$A$87:$I$107,3,0))</f>
        <v>5</v>
      </c>
      <c r="BL43" s="15">
        <f>IF(ISNA(VLOOKUP(A43,'Données projet'!$A$87:$I$107,4,0)),0,VLOOKUP(A43,'Données projet'!$A$87:$I$107,4,0))</f>
        <v>41</v>
      </c>
      <c r="BM43" s="16">
        <f>IF(ISNA(VLOOKUP(A43,'Données projet'!$A$87:$I$107,5,0)),0%,VLOOKUP(A43,'Données projet'!$A$87:$I$107,5,0)*VLOOKUP('Données projet'!$B$11,Paramètres!$A$1:$I$89,7,0))</f>
        <v>0.13500000000000001</v>
      </c>
      <c r="BN43" s="16">
        <f>IF(ISNA(VLOOKUP(A43,'Données projet'!$A$87:$I$107,6,0)),0%,VLOOKUP(A43,'Données projet'!$A$87:$I$107,6,0)*VLOOKUP('Données projet'!$B$11,Paramètres!$A$1:$I$89,7,0))</f>
        <v>0.22500000000000001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12.205501709167454</v>
      </c>
      <c r="BQ43" s="21">
        <f>EXP(-LN(2)/25)*BQ42+(1-EXP(-LN(2)/25))/(LN(2)/25)*Calculateur!BL43*Calculateur!BN43*VLOOKUP('Données projet'!$B$11,Paramètres!$A$1:$I$89,3,0)*0.475*44/12</f>
        <v>24.169493638474144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36.374995347641601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264</v>
      </c>
      <c r="BW43" s="12">
        <f>VLOOKUP(A43,'Données projet'!$A$113:$I$133,9,0)</f>
        <v>14.4</v>
      </c>
      <c r="BX43" s="12">
        <f t="array" ref="BX43">INDEX(BW:BW,MIN(IF(ISNUMBER(BW43:BW239),ROW(BW43:BW239),"")))</f>
        <v>14.4</v>
      </c>
      <c r="BY43" s="12">
        <f>IF('Données projet'!$A$114&gt;35,BY42+BX43-CG42,IF(A43&lt;'Données projet'!$A$114,$BV$205^A43,IF(A43='Données projet'!$A$114,'Données projet'!$B$114,BY42+BX43-CG42)))</f>
        <v>264.00000000000006</v>
      </c>
      <c r="BZ43" s="13">
        <f>BY43*VLOOKUP('Données projet'!$B$12,Paramètres!$A$1:$I$89,3,0)*VLOOKUP('Données projet'!$B$12,Paramètres!$A$1:$I$89,5,0)</f>
        <v>157.87200000000004</v>
      </c>
      <c r="CA43" s="13">
        <f t="shared" si="39"/>
        <v>40.362165684361159</v>
      </c>
      <c r="CB43" s="20">
        <f t="shared" si="10"/>
        <v>345.25783856692902</v>
      </c>
      <c r="CC43" s="59">
        <f t="shared" si="11"/>
        <v>638.59117190026234</v>
      </c>
      <c r="CD43" s="59">
        <f ca="1">AVERAGE(OFFSET($CC$3,0,0,'Données projet'!$E$12+1,1))-AVERAGE(OFFSET($H$3,0,0,'Données projet'!$E$12+1,1))</f>
        <v>393.01180019332998</v>
      </c>
      <c r="CE43" s="59">
        <f t="shared" si="40"/>
        <v>283.82782416294748</v>
      </c>
      <c r="CF43" s="15">
        <f>IF(ISNA(VLOOKUP(A43,'Données projet'!$A$113:$I$133,3,0)),0,VLOOKUP(A43,'Données projet'!$A$113:$I$133,3,0))</f>
        <v>5</v>
      </c>
      <c r="CG43" s="15">
        <f>IF(ISNA(VLOOKUP(A43,'Données projet'!$A$113:$I$133,4,0)),0,VLOOKUP(A43,'Données projet'!$A$113:$I$133,4,0))</f>
        <v>41</v>
      </c>
      <c r="CH43" s="16">
        <f>IF(ISNA(VLOOKUP(A43,'Données projet'!$A$113:$I$133,5,0)),0%,VLOOKUP(A43,'Données projet'!$A$113:$I$133,5,0)*VLOOKUP('Données projet'!$B$12,Paramètres!$A$1:$I$89,7,0))</f>
        <v>0.13500000000000001</v>
      </c>
      <c r="CI43" s="16">
        <f>IF(ISNA(VLOOKUP(A43,'Données projet'!$A$113:$I$133,6,0)),0%,VLOOKUP(A43,'Données projet'!$A$113:$I$133,6,0)*VLOOKUP('Données projet'!$B$12,Paramètres!$A$1:$I$89,7,0))</f>
        <v>0.22500000000000001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12.205501709167454</v>
      </c>
      <c r="CL43" s="21">
        <f>EXP(-LN(2)/25)*CL42+(1-EXP(-LN(2)/25))/(LN(2)/25)*Calculateur!CG43*Calculateur!CI43*VLOOKUP('Données projet'!$B$12,Paramètres!$A$1:$I$89,3,0)*0.475*44/12</f>
        <v>24.169493638474144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36.374995347641601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264</v>
      </c>
      <c r="CR43" s="12">
        <f>VLOOKUP(A43,'Données projet'!$A$139:$I$159,9,0)</f>
        <v>14.4</v>
      </c>
      <c r="CS43" s="12">
        <f t="array" ref="CS43">INDEX(CR:CR,MIN(IF(ISNUMBER(CR43:CR239),ROW(CR43:CR239),"")))</f>
        <v>14.4</v>
      </c>
      <c r="CT43" s="12">
        <f>IF('Données projet'!$A$140&gt;35,CT42+CS43-DB42,IF(A43&lt;'Données projet'!$A$140,$CQ$205^A43,IF(A43='Données projet'!$A$140,'Données projet'!$B$140,CT42+CS43-DB42)))</f>
        <v>264.00000000000006</v>
      </c>
      <c r="CU43" s="17">
        <f>CT43*VLOOKUP('Données projet'!$B$13,Paramètres!$A$1:$I$89,3,0)*VLOOKUP('Données projet'!$B$13,Paramètres!$A$1:$I$89,5,0)</f>
        <v>157.87200000000004</v>
      </c>
      <c r="CV43" s="13">
        <f t="shared" si="41"/>
        <v>40.362165684361159</v>
      </c>
      <c r="CW43" s="20">
        <f t="shared" si="13"/>
        <v>345.25783856692902</v>
      </c>
      <c r="CX43" s="59">
        <f t="shared" si="14"/>
        <v>638.59117190026234</v>
      </c>
      <c r="CY43" s="59">
        <f ca="1">AVERAGE(OFFSET($CX$3,0,0,'Données projet'!$E$13+1,1))-AVERAGE(OFFSET($H$3,0,0,'Données projet'!$E$13+1,1))</f>
        <v>393.01180019332998</v>
      </c>
      <c r="CZ43" s="59">
        <f t="shared" si="42"/>
        <v>283.82782416294748</v>
      </c>
      <c r="DA43" s="15">
        <f>IF(ISNA(VLOOKUP(A43,'Données projet'!$A$139:$I$159,3,0)),0,VLOOKUP(A43,'Données projet'!$A$139:$I$159,3,0))</f>
        <v>5</v>
      </c>
      <c r="DB43" s="15">
        <f>IF(ISNA(VLOOKUP(A43,'Données projet'!$A$139:$I$159,4,0)),0,VLOOKUP(A43,'Données projet'!$A$139:$I$159,4,0))</f>
        <v>41</v>
      </c>
      <c r="DC43" s="16">
        <f>IF(ISNA(VLOOKUP(A43,'Données projet'!$A$139:$I$159,5,0)),0%,VLOOKUP(A43,'Données projet'!$A$139:$I$159,5,0)*VLOOKUP('Données projet'!$B$13,Paramètres!$A$1:$I$89,7,0))</f>
        <v>0.13500000000000001</v>
      </c>
      <c r="DD43" s="16">
        <f>IF(ISNA(VLOOKUP(A43,'Données projet'!$A$139:$I$159,6,0)),0%,VLOOKUP(A43,'Données projet'!$A$139:$I$159,6,0)*VLOOKUP('Données projet'!$B$13,Paramètres!$A$1:$I$89,7,0))</f>
        <v>0.22500000000000001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12.205501709167454</v>
      </c>
      <c r="DG43" s="21">
        <f>EXP(-LN(2)/25)*DG42+(1-EXP(-LN(2)/25))/(LN(2)/25)*Calculateur!DB43*Calculateur!DD43*VLOOKUP('Données projet'!$B$13,Paramètres!$A$1:$I$89,3,0)*0.475*44/12</f>
        <v>24.169493638474144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36.374995347641601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264</v>
      </c>
      <c r="DM43" s="12">
        <f>VLOOKUP(A43,'Données projet'!$A$165:$I$185,9,0)</f>
        <v>14.4</v>
      </c>
      <c r="DN43" s="12">
        <f t="array" ref="DN43">INDEX(DM:DM,MIN(IF(ISNUMBER(DM43:DM239),ROW(DM43:DM239),"")))</f>
        <v>14.4</v>
      </c>
      <c r="DO43" s="12">
        <f>IF('Données projet'!$A$166&gt;35,DO42+DN43-DW42,IF(A43&lt;'Données projet'!$A$166,$DL$205^A43,IF(A43='Données projet'!$A$166,'Données projet'!$B$166,DO42+DN43-DW42)))</f>
        <v>264.00000000000006</v>
      </c>
      <c r="DP43" s="17">
        <f>DO43*VLOOKUP('Données projet'!$B$14,Paramètres!$A$1:$I$89,3,0)*VLOOKUP('Données projet'!$B$14,Paramètres!$A$1:$I$89,5,0)</f>
        <v>157.87200000000004</v>
      </c>
      <c r="DQ43" s="13">
        <f t="shared" si="43"/>
        <v>40.362165684361159</v>
      </c>
      <c r="DR43" s="20">
        <f t="shared" si="16"/>
        <v>345.25783856692902</v>
      </c>
      <c r="DS43" s="59">
        <f t="shared" si="17"/>
        <v>638.59117190026234</v>
      </c>
      <c r="DT43" s="59">
        <f ca="1">AVERAGE(OFFSET($DS$3,0,0,'Données projet'!$E$14+1,1))-AVERAGE(OFFSET($H$3,0,0,'Données projet'!$E$14+1,1))</f>
        <v>393.01180019332998</v>
      </c>
      <c r="DU43" s="59">
        <f t="shared" si="44"/>
        <v>283.82782416294748</v>
      </c>
      <c r="DV43" s="15">
        <f>IF(ISNA(VLOOKUP(A43,'Données projet'!$A$165:$I$185,3,0)),0,VLOOKUP(A43,'Données projet'!$A$165:$I$185,3,0))</f>
        <v>5</v>
      </c>
      <c r="DW43" s="15">
        <f>IF(ISNA(VLOOKUP(A43,'Données projet'!$A$165:$I$185,4,0)),0,VLOOKUP(A43,'Données projet'!$A$165:$I$185,4,0))</f>
        <v>41</v>
      </c>
      <c r="DX43" s="16">
        <f>IF(ISNA(VLOOKUP(A43,'Données projet'!$A$165:$I$185,5,0)),0%,VLOOKUP(A43,'Données projet'!$A$165:$I$185,5,0)*VLOOKUP('Données projet'!$B$14,Paramètres!$A$1:$I$89,7,0))</f>
        <v>0.13500000000000001</v>
      </c>
      <c r="DY43" s="16">
        <f>IF(ISNA(VLOOKUP(A43,'Données projet'!$A$165:$I$185,6,0)),0%,VLOOKUP(A43,'Données projet'!$A$165:$I$185,6,0)*VLOOKUP('Données projet'!$B$14,Paramètres!$A$1:$I$89,7,0))</f>
        <v>0.22500000000000001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12.205501709167454</v>
      </c>
      <c r="EB43" s="21">
        <f>EXP(-LN(2)/25)*EB42+(1-EXP(-LN(2)/25))/(LN(2)/25)*Calculateur!DW43*Calculateur!DY43*VLOOKUP('Données projet'!$B$14,Paramètres!$A$1:$I$89,3,0)*0.475*44/12</f>
        <v>24.169493638474144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36.374995347641601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4.7330400000000026</v>
      </c>
      <c r="D44" s="11">
        <f t="shared" si="32"/>
        <v>1.8201447331818088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10.117197482807009</v>
      </c>
      <c r="H44" s="67">
        <f t="shared" si="1"/>
        <v>268.08013007695831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11.5</v>
      </c>
      <c r="N44" s="13">
        <f>IF('Données projet'!$A$36&gt;35,N43+M44-V43,IF(A44&lt;'Données projet'!$A$36,$K$205^A44,IF(A44='Données projet'!$A$36,'Données projet'!$B$36,N43+M44-V43)))</f>
        <v>208.31999999999994</v>
      </c>
      <c r="O44" s="13">
        <f>N44*VLOOKUP('Données projet'!$B$9,Paramètres!$A$1:$I$89,3,0)*VLOOKUP('Données projet'!$B$9,Paramètres!$A$1:$I$89,5,0)</f>
        <v>97.493759999999966</v>
      </c>
      <c r="P44" s="13">
        <f t="shared" si="33"/>
        <v>26.364041280888848</v>
      </c>
      <c r="Q44" s="20">
        <f t="shared" si="53"/>
        <v>215.71900389754799</v>
      </c>
      <c r="R44" s="59">
        <f t="shared" si="0"/>
        <v>509.05233723088134</v>
      </c>
      <c r="S44" s="59">
        <f ca="1">AVERAGE(OFFSET($R$3,0,0,'Données projet'!$E$9+1,1))-AVERAGE(OFFSET($H$3,0,0,'Données projet'!$E$9+1,1))</f>
        <v>189.8770435341392</v>
      </c>
      <c r="T44" s="59">
        <f t="shared" si="34"/>
        <v>230.18380961122767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8.2359799838114505</v>
      </c>
      <c r="AA44" s="21">
        <f>EXP(-LN(2)/25)*AA43+(1-EXP(-LN(2)/25))/(LN(2)/25)*Calculateur!V44*Calculateur!X44*VLOOKUP('Données projet'!$B$9,Paramètres!$A$1:$I$89,3,0)*0.475*44/12</f>
        <v>30.849209671056752</v>
      </c>
      <c r="AB44" s="21">
        <f>EXP(-LN(2)/2)*AB43+(1-EXP(-LN(2)/2))/(LN(2)/2)*V44*Y44*VLOOKUP('Données projet'!$B$9,Paramètres!$A$1:$I$89,3,0)*0.475*44/12</f>
        <v>0</v>
      </c>
      <c r="AC44" s="22">
        <f t="shared" si="3"/>
        <v>39.085189654868202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12.078090000000008</v>
      </c>
      <c r="AI44" s="13">
        <f>IF('Données projet'!$A$62&gt;35,AI43+AH44-AQ43,IF(A44&lt;'Données projet'!$A$62,$AF$205^A44,IF(A44='Données projet'!$A$62,'Données projet'!$B$62,AI43+AH44-AQ43)))</f>
        <v>206.58941999999996</v>
      </c>
      <c r="AJ44" s="13">
        <f>AI44*VLOOKUP('Données projet'!$B$10,Paramètres!$A$1:$I$89,3,0)*VLOOKUP('Données projet'!$B$10,Paramètres!$A$1:$I$89,5,0)</f>
        <v>91.312523639999995</v>
      </c>
      <c r="AK44" s="13">
        <f t="shared" si="35"/>
        <v>24.881506861456295</v>
      </c>
      <c r="AL44" s="20">
        <f t="shared" si="4"/>
        <v>202.37126979003634</v>
      </c>
      <c r="AM44" s="59">
        <f t="shared" si="5"/>
        <v>495.70460312336968</v>
      </c>
      <c r="AN44" s="59">
        <f ca="1">AVERAGE(OFFSET($AM$3,0,0,'Données projet'!$E$10+1,1))-AVERAGE(OFFSET($H$3,0,0,'Données projet'!$E$10+1,1))</f>
        <v>207.77463758757142</v>
      </c>
      <c r="AO44" s="59">
        <f t="shared" si="36"/>
        <v>180.50802165484066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5.1865349564104264</v>
      </c>
      <c r="AV44" s="21">
        <f>EXP(-LN(2)/25)*AV43+(1-EXP(-LN(2)/25))/(LN(2)/25)*Calculateur!AQ44*Calculateur!AS44*VLOOKUP('Données projet'!$B$10,Paramètres!$A$1:$I$89,3,0)*0.475*44/12</f>
        <v>33.562341444547378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38.748876400957805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19</v>
      </c>
      <c r="BD44" s="12">
        <f>IF('Données projet'!$A$88&gt;35,BD43+BC44-BL43,IF(A44&lt;'Données projet'!$A$88,$BA$205^A44,IF(A44='Données projet'!$A$88,'Données projet'!$B$88,BD43+BC44-BL43)))</f>
        <v>242.00000000000006</v>
      </c>
      <c r="BE44" s="13">
        <f>BD44*VLOOKUP('Données projet'!$B$11,Paramètres!$A$1:$I$89,3,0)*VLOOKUP('Données projet'!$B$11,Paramètres!$A$1:$I$89,5,0)</f>
        <v>144.71600000000007</v>
      </c>
      <c r="BF44" s="13">
        <f t="shared" si="37"/>
        <v>37.375282885096105</v>
      </c>
      <c r="BG44" s="20">
        <f t="shared" si="7"/>
        <v>317.14231769154247</v>
      </c>
      <c r="BH44" s="59">
        <f t="shared" si="8"/>
        <v>610.47565102487579</v>
      </c>
      <c r="BI44" s="59">
        <f ca="1">AVERAGE(OFFSET($BH$3,0,0,'Données projet'!$E$11+1,1))-AVERAGE(OFFSET($H$3,0,0,'Données projet'!$E$11+1,1))</f>
        <v>393.01180019332998</v>
      </c>
      <c r="BJ44" s="59">
        <f t="shared" si="38"/>
        <v>283.82782416294748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11.966159265271628</v>
      </c>
      <c r="BQ44" s="21">
        <f>EXP(-LN(2)/25)*BQ43+(1-EXP(-LN(2)/25))/(LN(2)/25)*Calculateur!BL44*Calculateur!BN44*VLOOKUP('Données projet'!$B$11,Paramètres!$A$1:$I$89,3,0)*0.475*44/12</f>
        <v>23.508577563911636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35.474736829183264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19</v>
      </c>
      <c r="BY44" s="12">
        <f>IF('Données projet'!$A$114&gt;35,BY43+BX44-CG43,IF(A44&lt;'Données projet'!$A$114,$BV$205^A44,IF(A44='Données projet'!$A$114,'Données projet'!$B$114,BY43+BX44-CG43)))</f>
        <v>242.00000000000006</v>
      </c>
      <c r="BZ44" s="13">
        <f>BY44*VLOOKUP('Données projet'!$B$12,Paramètres!$A$1:$I$89,3,0)*VLOOKUP('Données projet'!$B$12,Paramètres!$A$1:$I$89,5,0)</f>
        <v>144.71600000000007</v>
      </c>
      <c r="CA44" s="13">
        <f t="shared" si="39"/>
        <v>37.375282885096105</v>
      </c>
      <c r="CB44" s="20">
        <f t="shared" si="10"/>
        <v>317.14231769154247</v>
      </c>
      <c r="CC44" s="59">
        <f t="shared" si="11"/>
        <v>610.47565102487579</v>
      </c>
      <c r="CD44" s="59">
        <f ca="1">AVERAGE(OFFSET($CC$3,0,0,'Données projet'!$E$12+1,1))-AVERAGE(OFFSET($H$3,0,0,'Données projet'!$E$12+1,1))</f>
        <v>393.01180019332998</v>
      </c>
      <c r="CE44" s="59">
        <f t="shared" si="40"/>
        <v>283.82782416294748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11.966159265271628</v>
      </c>
      <c r="CL44" s="21">
        <f>EXP(-LN(2)/25)*CL43+(1-EXP(-LN(2)/25))/(LN(2)/25)*Calculateur!CG44*Calculateur!CI44*VLOOKUP('Données projet'!$B$12,Paramètres!$A$1:$I$89,3,0)*0.475*44/12</f>
        <v>23.508577563911636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35.474736829183264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19</v>
      </c>
      <c r="CT44" s="12">
        <f>IF('Données projet'!$A$140&gt;35,CT43+CS44-DB43,IF(A44&lt;'Données projet'!$A$140,$CQ$205^A44,IF(A44='Données projet'!$A$140,'Données projet'!$B$140,CT43+CS44-DB43)))</f>
        <v>242.00000000000006</v>
      </c>
      <c r="CU44" s="17">
        <f>CT44*VLOOKUP('Données projet'!$B$13,Paramètres!$A$1:$I$89,3,0)*VLOOKUP('Données projet'!$B$13,Paramètres!$A$1:$I$89,5,0)</f>
        <v>144.71600000000007</v>
      </c>
      <c r="CV44" s="13">
        <f t="shared" si="41"/>
        <v>37.375282885096105</v>
      </c>
      <c r="CW44" s="20">
        <f t="shared" si="13"/>
        <v>317.14231769154247</v>
      </c>
      <c r="CX44" s="59">
        <f t="shared" si="14"/>
        <v>610.47565102487579</v>
      </c>
      <c r="CY44" s="59">
        <f ca="1">AVERAGE(OFFSET($CX$3,0,0,'Données projet'!$E$13+1,1))-AVERAGE(OFFSET($H$3,0,0,'Données projet'!$E$13+1,1))</f>
        <v>393.01180019332998</v>
      </c>
      <c r="CZ44" s="59">
        <f t="shared" si="42"/>
        <v>283.82782416294748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11.966159265271628</v>
      </c>
      <c r="DG44" s="21">
        <f>EXP(-LN(2)/25)*DG43+(1-EXP(-LN(2)/25))/(LN(2)/25)*Calculateur!DB44*Calculateur!DD44*VLOOKUP('Données projet'!$B$13,Paramètres!$A$1:$I$89,3,0)*0.475*44/12</f>
        <v>23.508577563911636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35.474736829183264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19</v>
      </c>
      <c r="DO44" s="12">
        <f>IF('Données projet'!$A$166&gt;35,DO43+DN44-DW43,IF(A44&lt;'Données projet'!$A$166,$DL$205^A44,IF(A44='Données projet'!$A$166,'Données projet'!$B$166,DO43+DN44-DW43)))</f>
        <v>242.00000000000006</v>
      </c>
      <c r="DP44" s="17">
        <f>DO44*VLOOKUP('Données projet'!$B$14,Paramètres!$A$1:$I$89,3,0)*VLOOKUP('Données projet'!$B$14,Paramètres!$A$1:$I$89,5,0)</f>
        <v>144.71600000000007</v>
      </c>
      <c r="DQ44" s="13">
        <f t="shared" si="43"/>
        <v>37.375282885096105</v>
      </c>
      <c r="DR44" s="20">
        <f t="shared" si="16"/>
        <v>317.14231769154247</v>
      </c>
      <c r="DS44" s="59">
        <f t="shared" si="17"/>
        <v>610.47565102487579</v>
      </c>
      <c r="DT44" s="59">
        <f ca="1">AVERAGE(OFFSET($DS$3,0,0,'Données projet'!$E$14+1,1))-AVERAGE(OFFSET($H$3,0,0,'Données projet'!$E$14+1,1))</f>
        <v>393.01180019332998</v>
      </c>
      <c r="DU44" s="59">
        <f t="shared" si="44"/>
        <v>283.82782416294748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11.966159265271628</v>
      </c>
      <c r="EB44" s="21">
        <f>EXP(-LN(2)/25)*EB43+(1-EXP(-LN(2)/25))/(LN(2)/25)*Calculateur!DW44*Calculateur!DY44*VLOOKUP('Données projet'!$B$14,Paramètres!$A$1:$I$89,3,0)*0.475*44/12</f>
        <v>23.508577563911636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35.474736829183264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4.848480000000003</v>
      </c>
      <c r="D45" s="11">
        <f t="shared" si="32"/>
        <v>1.859315888575672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10.355895406923851</v>
      </c>
      <c r="H45" s="67">
        <f t="shared" si="1"/>
        <v>268.34941117260263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11.5</v>
      </c>
      <c r="N45" s="13">
        <f>IF('Données projet'!$A$36&gt;35,N44+M45-V44,IF(A45&lt;'Données projet'!$A$36,$K$205^A45,IF(A45='Données projet'!$A$36,'Données projet'!$B$36,N44+M45-V44)))</f>
        <v>219.81999999999994</v>
      </c>
      <c r="O45" s="13">
        <f>N45*VLOOKUP('Données projet'!$B$9,Paramètres!$A$1:$I$89,3,0)*VLOOKUP('Données projet'!$B$9,Paramètres!$A$1:$I$89,5,0)</f>
        <v>102.87575999999996</v>
      </c>
      <c r="P45" s="13">
        <f t="shared" si="33"/>
        <v>27.645973136743791</v>
      </c>
      <c r="Q45" s="20">
        <f t="shared" si="53"/>
        <v>227.32535187982873</v>
      </c>
      <c r="R45" s="59">
        <f t="shared" si="0"/>
        <v>520.65868521316202</v>
      </c>
      <c r="S45" s="59">
        <f ca="1">AVERAGE(OFFSET($R$3,0,0,'Données projet'!$E$9+1,1))-AVERAGE(OFFSET($H$3,0,0,'Données projet'!$E$9+1,1))</f>
        <v>189.8770435341392</v>
      </c>
      <c r="T45" s="59">
        <f t="shared" si="34"/>
        <v>230.18380961122767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8.074477439780674</v>
      </c>
      <c r="AA45" s="21">
        <f>EXP(-LN(2)/25)*AA44+(1-EXP(-LN(2)/25))/(LN(2)/25)*Calculateur!V45*Calculateur!X45*VLOOKUP('Données projet'!$B$9,Paramètres!$A$1:$I$89,3,0)*0.475*44/12</f>
        <v>30.005636410312274</v>
      </c>
      <c r="AB45" s="21">
        <f>EXP(-LN(2)/2)*AB44+(1-EXP(-LN(2)/2))/(LN(2)/2)*V45*Y45*VLOOKUP('Données projet'!$B$9,Paramètres!$A$1:$I$89,3,0)*0.475*44/12</f>
        <v>0</v>
      </c>
      <c r="AC45" s="22">
        <f t="shared" si="3"/>
        <v>38.08011385009295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12.078090000000008</v>
      </c>
      <c r="AI45" s="13">
        <f>IF('Données projet'!$A$62&gt;35,AI44+AH45-AQ44,IF(A45&lt;'Données projet'!$A$62,$AF$205^A45,IF(A45='Données projet'!$A$62,'Données projet'!$B$62,AI44+AH45-AQ44)))</f>
        <v>218.66750999999996</v>
      </c>
      <c r="AJ45" s="13">
        <f>AI45*VLOOKUP('Données projet'!$B$10,Paramètres!$A$1:$I$89,3,0)*VLOOKUP('Données projet'!$B$10,Paramètres!$A$1:$I$89,5,0)</f>
        <v>96.651039419999989</v>
      </c>
      <c r="AK45" s="13">
        <f t="shared" si="35"/>
        <v>26.16257906704007</v>
      </c>
      <c r="AL45" s="20">
        <f t="shared" si="4"/>
        <v>213.90038553159476</v>
      </c>
      <c r="AM45" s="59">
        <f t="shared" si="5"/>
        <v>507.23371886492805</v>
      </c>
      <c r="AN45" s="59">
        <f ca="1">AVERAGE(OFFSET($AM$3,0,0,'Données projet'!$E$10+1,1))-AVERAGE(OFFSET($H$3,0,0,'Données projet'!$E$10+1,1))</f>
        <v>207.77463758757142</v>
      </c>
      <c r="AO45" s="59">
        <f t="shared" si="36"/>
        <v>180.50802165484066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5.084830169389174</v>
      </c>
      <c r="AV45" s="21">
        <f>EXP(-LN(2)/25)*AV44+(1-EXP(-LN(2)/25))/(LN(2)/25)*Calculateur!AQ45*Calculateur!AS45*VLOOKUP('Données projet'!$B$10,Paramètres!$A$1:$I$89,3,0)*0.475*44/12</f>
        <v>32.644577452779401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37.729407622168573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19</v>
      </c>
      <c r="BD45" s="12">
        <f>IF('Données projet'!$A$88&gt;35,BD44+BC45-BL44,IF(A45&lt;'Données projet'!$A$88,$BA$205^A45,IF(A45='Données projet'!$A$88,'Données projet'!$B$88,BD44+BC45-BL44)))</f>
        <v>261.00000000000006</v>
      </c>
      <c r="BE45" s="13">
        <f>BD45*VLOOKUP('Données projet'!$B$11,Paramètres!$A$1:$I$89,3,0)*VLOOKUP('Données projet'!$B$11,Paramètres!$A$1:$I$89,5,0)</f>
        <v>156.07800000000003</v>
      </c>
      <c r="BF45" s="13">
        <f t="shared" si="37"/>
        <v>39.956623674978466</v>
      </c>
      <c r="BG45" s="20">
        <f t="shared" si="7"/>
        <v>341.42696956725422</v>
      </c>
      <c r="BH45" s="59">
        <f t="shared" si="8"/>
        <v>634.76030290058748</v>
      </c>
      <c r="BI45" s="59">
        <f ca="1">AVERAGE(OFFSET($BH$3,0,0,'Données projet'!$E$11+1,1))-AVERAGE(OFFSET($H$3,0,0,'Données projet'!$E$11+1,1))</f>
        <v>393.01180019332998</v>
      </c>
      <c r="BJ45" s="59">
        <f t="shared" si="38"/>
        <v>283.82782416294748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11.731510180716123</v>
      </c>
      <c r="BQ45" s="21">
        <f>EXP(-LN(2)/25)*BQ44+(1-EXP(-LN(2)/25))/(LN(2)/25)*Calculateur!BL45*Calculateur!BN45*VLOOKUP('Données projet'!$B$11,Paramètres!$A$1:$I$89,3,0)*0.475*44/12</f>
        <v>22.865734274164108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34.597244454880233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19</v>
      </c>
      <c r="BY45" s="12">
        <f>IF('Données projet'!$A$114&gt;35,BY44+BX45-CG44,IF(A45&lt;'Données projet'!$A$114,$BV$205^A45,IF(A45='Données projet'!$A$114,'Données projet'!$B$114,BY44+BX45-CG44)))</f>
        <v>261.00000000000006</v>
      </c>
      <c r="BZ45" s="13">
        <f>BY45*VLOOKUP('Données projet'!$B$12,Paramètres!$A$1:$I$89,3,0)*VLOOKUP('Données projet'!$B$12,Paramètres!$A$1:$I$89,5,0)</f>
        <v>156.07800000000003</v>
      </c>
      <c r="CA45" s="13">
        <f t="shared" si="39"/>
        <v>39.956623674978466</v>
      </c>
      <c r="CB45" s="20">
        <f t="shared" si="10"/>
        <v>341.42696956725422</v>
      </c>
      <c r="CC45" s="59">
        <f t="shared" si="11"/>
        <v>634.76030290058748</v>
      </c>
      <c r="CD45" s="59">
        <f ca="1">AVERAGE(OFFSET($CC$3,0,0,'Données projet'!$E$12+1,1))-AVERAGE(OFFSET($H$3,0,0,'Données projet'!$E$12+1,1))</f>
        <v>393.01180019332998</v>
      </c>
      <c r="CE45" s="59">
        <f t="shared" si="40"/>
        <v>283.82782416294748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11.731510180716123</v>
      </c>
      <c r="CL45" s="21">
        <f>EXP(-LN(2)/25)*CL44+(1-EXP(-LN(2)/25))/(LN(2)/25)*Calculateur!CG45*Calculateur!CI45*VLOOKUP('Données projet'!$B$12,Paramètres!$A$1:$I$89,3,0)*0.475*44/12</f>
        <v>22.865734274164108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34.597244454880233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19</v>
      </c>
      <c r="CT45" s="12">
        <f>IF('Données projet'!$A$140&gt;35,CT44+CS45-DB44,IF(A45&lt;'Données projet'!$A$140,$CQ$205^A45,IF(A45='Données projet'!$A$140,'Données projet'!$B$140,CT44+CS45-DB44)))</f>
        <v>261.00000000000006</v>
      </c>
      <c r="CU45" s="17">
        <f>CT45*VLOOKUP('Données projet'!$B$13,Paramètres!$A$1:$I$89,3,0)*VLOOKUP('Données projet'!$B$13,Paramètres!$A$1:$I$89,5,0)</f>
        <v>156.07800000000003</v>
      </c>
      <c r="CV45" s="13">
        <f t="shared" si="41"/>
        <v>39.956623674978466</v>
      </c>
      <c r="CW45" s="20">
        <f t="shared" si="13"/>
        <v>341.42696956725422</v>
      </c>
      <c r="CX45" s="59">
        <f t="shared" si="14"/>
        <v>634.76030290058748</v>
      </c>
      <c r="CY45" s="59">
        <f ca="1">AVERAGE(OFFSET($CX$3,0,0,'Données projet'!$E$13+1,1))-AVERAGE(OFFSET($H$3,0,0,'Données projet'!$E$13+1,1))</f>
        <v>393.01180019332998</v>
      </c>
      <c r="CZ45" s="59">
        <f t="shared" si="42"/>
        <v>283.82782416294748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11.731510180716123</v>
      </c>
      <c r="DG45" s="21">
        <f>EXP(-LN(2)/25)*DG44+(1-EXP(-LN(2)/25))/(LN(2)/25)*Calculateur!DB45*Calculateur!DD45*VLOOKUP('Données projet'!$B$13,Paramètres!$A$1:$I$89,3,0)*0.475*44/12</f>
        <v>22.865734274164108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34.597244454880233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19</v>
      </c>
      <c r="DO45" s="12">
        <f>IF('Données projet'!$A$166&gt;35,DO44+DN45-DW44,IF(A45&lt;'Données projet'!$A$166,$DL$205^A45,IF(A45='Données projet'!$A$166,'Données projet'!$B$166,DO44+DN45-DW44)))</f>
        <v>261.00000000000006</v>
      </c>
      <c r="DP45" s="17">
        <f>DO45*VLOOKUP('Données projet'!$B$14,Paramètres!$A$1:$I$89,3,0)*VLOOKUP('Données projet'!$B$14,Paramètres!$A$1:$I$89,5,0)</f>
        <v>156.07800000000003</v>
      </c>
      <c r="DQ45" s="13">
        <f t="shared" si="43"/>
        <v>39.956623674978466</v>
      </c>
      <c r="DR45" s="20">
        <f t="shared" si="16"/>
        <v>341.42696956725422</v>
      </c>
      <c r="DS45" s="59">
        <f t="shared" si="17"/>
        <v>634.76030290058748</v>
      </c>
      <c r="DT45" s="59">
        <f ca="1">AVERAGE(OFFSET($DS$3,0,0,'Données projet'!$E$14+1,1))-AVERAGE(OFFSET($H$3,0,0,'Données projet'!$E$14+1,1))</f>
        <v>393.01180019332998</v>
      </c>
      <c r="DU45" s="59">
        <f t="shared" si="44"/>
        <v>283.82782416294748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11.731510180716123</v>
      </c>
      <c r="EB45" s="21">
        <f>EXP(-LN(2)/25)*EB44+(1-EXP(-LN(2)/25))/(LN(2)/25)*Calculateur!DW45*Calculateur!DY45*VLOOKUP('Données projet'!$B$14,Paramètres!$A$1:$I$89,3,0)*0.475*44/12</f>
        <v>22.865734274164108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34.597244454880233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4.9639200000000034</v>
      </c>
      <c r="D46" s="11">
        <f t="shared" si="32"/>
        <v>1.8983786233781665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10.594425944864545</v>
      </c>
      <c r="H46" s="67">
        <f t="shared" si="1"/>
        <v>268.618503435717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11.5</v>
      </c>
      <c r="N46" s="13">
        <f>IF('Données projet'!$A$36&gt;35,N45+M46-V45,IF(A46&lt;'Données projet'!$A$36,$K$205^A46,IF(A46='Données projet'!$A$36,'Données projet'!$B$36,N45+M46-V45)))</f>
        <v>231.31999999999994</v>
      </c>
      <c r="O46" s="13">
        <f>N46*VLOOKUP('Données projet'!$B$9,Paramètres!$A$1:$I$89,3,0)*VLOOKUP('Données projet'!$B$9,Paramètres!$A$1:$I$89,5,0)</f>
        <v>108.25775999999996</v>
      </c>
      <c r="P46" s="13">
        <f t="shared" si="33"/>
        <v>28.920118603728753</v>
      </c>
      <c r="Q46" s="20">
        <f t="shared" si="53"/>
        <v>238.91813856816086</v>
      </c>
      <c r="R46" s="59">
        <f t="shared" si="0"/>
        <v>532.25147190149414</v>
      </c>
      <c r="S46" s="59">
        <f ca="1">AVERAGE(OFFSET($R$3,0,0,'Données projet'!$E$9+1,1))-AVERAGE(OFFSET($H$3,0,0,'Données projet'!$E$9+1,1))</f>
        <v>189.8770435341392</v>
      </c>
      <c r="T46" s="59">
        <f t="shared" si="34"/>
        <v>230.18380961122767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7.9161418621315152</v>
      </c>
      <c r="AA46" s="21">
        <f>EXP(-LN(2)/25)*AA45+(1-EXP(-LN(2)/25))/(LN(2)/25)*Calculateur!V46*Calculateur!X46*VLOOKUP('Données projet'!$B$9,Paramètres!$A$1:$I$89,3,0)*0.475*44/12</f>
        <v>29.185130704744445</v>
      </c>
      <c r="AB46" s="21">
        <f>EXP(-LN(2)/2)*AB45+(1-EXP(-LN(2)/2))/(LN(2)/2)*V46*Y46*VLOOKUP('Données projet'!$B$9,Paramètres!$A$1:$I$89,3,0)*0.475*44/12</f>
        <v>0</v>
      </c>
      <c r="AC46" s="22">
        <f t="shared" si="3"/>
        <v>37.101272566875963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12.078090000000008</v>
      </c>
      <c r="AI46" s="13">
        <f>IF('Données projet'!$A$62&gt;35,AI45+AH46-AQ45,IF(A46&lt;'Données projet'!$A$62,$AF$205^A46,IF(A46='Données projet'!$A$62,'Données projet'!$B$62,AI45+AH46-AQ45)))</f>
        <v>230.74559999999997</v>
      </c>
      <c r="AJ46" s="13">
        <f>AI46*VLOOKUP('Données projet'!$B$10,Paramètres!$A$1:$I$89,3,0)*VLOOKUP('Données projet'!$B$10,Paramètres!$A$1:$I$89,5,0)</f>
        <v>101.9895552</v>
      </c>
      <c r="AK46" s="13">
        <f t="shared" si="35"/>
        <v>27.435436824483606</v>
      </c>
      <c r="AL46" s="20">
        <f t="shared" si="4"/>
        <v>225.41519444264225</v>
      </c>
      <c r="AM46" s="59">
        <f t="shared" si="5"/>
        <v>518.74852777597562</v>
      </c>
      <c r="AN46" s="59">
        <f ca="1">AVERAGE(OFFSET($AM$3,0,0,'Données projet'!$E$10+1,1))-AVERAGE(OFFSET($H$3,0,0,'Données projet'!$E$10+1,1))</f>
        <v>207.77463758757142</v>
      </c>
      <c r="AO46" s="59">
        <f t="shared" si="36"/>
        <v>180.50802165484066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4.9851197512076135</v>
      </c>
      <c r="AV46" s="21">
        <f>EXP(-LN(2)/25)*AV45+(1-EXP(-LN(2)/25))/(LN(2)/25)*Calculateur!AQ46*Calculateur!AS46*VLOOKUP('Données projet'!$B$10,Paramètres!$A$1:$I$89,3,0)*0.475*44/12</f>
        <v>31.751909765629431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36.737029516837048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19</v>
      </c>
      <c r="BD46" s="12">
        <f>IF('Données projet'!$A$88&gt;35,BD45+BC46-BL45,IF(A46&lt;'Données projet'!$A$88,$BA$205^A46,IF(A46='Données projet'!$A$88,'Données projet'!$B$88,BD45+BC46-BL45)))</f>
        <v>280.00000000000006</v>
      </c>
      <c r="BE46" s="13">
        <f>BD46*VLOOKUP('Données projet'!$B$11,Paramètres!$A$1:$I$89,3,0)*VLOOKUP('Données projet'!$B$11,Paramètres!$A$1:$I$89,5,0)</f>
        <v>167.44000000000005</v>
      </c>
      <c r="BF46" s="13">
        <f t="shared" si="37"/>
        <v>42.516163405082935</v>
      </c>
      <c r="BG46" s="20">
        <f t="shared" si="7"/>
        <v>365.67365126385283</v>
      </c>
      <c r="BH46" s="59">
        <f t="shared" si="8"/>
        <v>659.00698459718615</v>
      </c>
      <c r="BI46" s="59">
        <f ca="1">AVERAGE(OFFSET($BH$3,0,0,'Données projet'!$E$11+1,1))-AVERAGE(OFFSET($H$3,0,0,'Données projet'!$E$11+1,1))</f>
        <v>393.01180019332998</v>
      </c>
      <c r="BJ46" s="59">
        <f t="shared" si="38"/>
        <v>283.82782416294748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11.501462421586941</v>
      </c>
      <c r="BQ46" s="21">
        <f>EXP(-LN(2)/25)*BQ45+(1-EXP(-LN(2)/25))/(LN(2)/25)*Calculateur!BL46*Calculateur!BN46*VLOOKUP('Données projet'!$B$11,Paramètres!$A$1:$I$89,3,0)*0.475*44/12</f>
        <v>22.240469567980384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33.741931989567327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19</v>
      </c>
      <c r="BY46" s="12">
        <f>IF('Données projet'!$A$114&gt;35,BY45+BX46-CG45,IF(A46&lt;'Données projet'!$A$114,$BV$205^A46,IF(A46='Données projet'!$A$114,'Données projet'!$B$114,BY45+BX46-CG45)))</f>
        <v>280.00000000000006</v>
      </c>
      <c r="BZ46" s="13">
        <f>BY46*VLOOKUP('Données projet'!$B$12,Paramètres!$A$1:$I$89,3,0)*VLOOKUP('Données projet'!$B$12,Paramètres!$A$1:$I$89,5,0)</f>
        <v>167.44000000000005</v>
      </c>
      <c r="CA46" s="13">
        <f t="shared" si="39"/>
        <v>42.516163405082935</v>
      </c>
      <c r="CB46" s="20">
        <f t="shared" si="10"/>
        <v>365.67365126385283</v>
      </c>
      <c r="CC46" s="59">
        <f t="shared" si="11"/>
        <v>659.00698459718615</v>
      </c>
      <c r="CD46" s="59">
        <f ca="1">AVERAGE(OFFSET($CC$3,0,0,'Données projet'!$E$12+1,1))-AVERAGE(OFFSET($H$3,0,0,'Données projet'!$E$12+1,1))</f>
        <v>393.01180019332998</v>
      </c>
      <c r="CE46" s="59">
        <f t="shared" si="40"/>
        <v>283.82782416294748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11.501462421586941</v>
      </c>
      <c r="CL46" s="21">
        <f>EXP(-LN(2)/25)*CL45+(1-EXP(-LN(2)/25))/(LN(2)/25)*Calculateur!CG46*Calculateur!CI46*VLOOKUP('Données projet'!$B$12,Paramètres!$A$1:$I$89,3,0)*0.475*44/12</f>
        <v>22.240469567980384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33.741931989567327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19</v>
      </c>
      <c r="CT46" s="12">
        <f>IF('Données projet'!$A$140&gt;35,CT45+CS46-DB45,IF(A46&lt;'Données projet'!$A$140,$CQ$205^A46,IF(A46='Données projet'!$A$140,'Données projet'!$B$140,CT45+CS46-DB45)))</f>
        <v>280.00000000000006</v>
      </c>
      <c r="CU46" s="17">
        <f>CT46*VLOOKUP('Données projet'!$B$13,Paramètres!$A$1:$I$89,3,0)*VLOOKUP('Données projet'!$B$13,Paramètres!$A$1:$I$89,5,0)</f>
        <v>167.44000000000005</v>
      </c>
      <c r="CV46" s="13">
        <f t="shared" si="41"/>
        <v>42.516163405082935</v>
      </c>
      <c r="CW46" s="20">
        <f t="shared" si="13"/>
        <v>365.67365126385283</v>
      </c>
      <c r="CX46" s="59">
        <f t="shared" si="14"/>
        <v>659.00698459718615</v>
      </c>
      <c r="CY46" s="59">
        <f ca="1">AVERAGE(OFFSET($CX$3,0,0,'Données projet'!$E$13+1,1))-AVERAGE(OFFSET($H$3,0,0,'Données projet'!$E$13+1,1))</f>
        <v>393.01180019332998</v>
      </c>
      <c r="CZ46" s="59">
        <f t="shared" si="42"/>
        <v>283.82782416294748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11.501462421586941</v>
      </c>
      <c r="DG46" s="21">
        <f>EXP(-LN(2)/25)*DG45+(1-EXP(-LN(2)/25))/(LN(2)/25)*Calculateur!DB46*Calculateur!DD46*VLOOKUP('Données projet'!$B$13,Paramètres!$A$1:$I$89,3,0)*0.475*44/12</f>
        <v>22.240469567980384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33.741931989567327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19</v>
      </c>
      <c r="DO46" s="12">
        <f>IF('Données projet'!$A$166&gt;35,DO45+DN46-DW45,IF(A46&lt;'Données projet'!$A$166,$DL$205^A46,IF(A46='Données projet'!$A$166,'Données projet'!$B$166,DO45+DN46-DW45)))</f>
        <v>280.00000000000006</v>
      </c>
      <c r="DP46" s="17">
        <f>DO46*VLOOKUP('Données projet'!$B$14,Paramètres!$A$1:$I$89,3,0)*VLOOKUP('Données projet'!$B$14,Paramètres!$A$1:$I$89,5,0)</f>
        <v>167.44000000000005</v>
      </c>
      <c r="DQ46" s="13">
        <f t="shared" si="43"/>
        <v>42.516163405082935</v>
      </c>
      <c r="DR46" s="20">
        <f t="shared" si="16"/>
        <v>365.67365126385283</v>
      </c>
      <c r="DS46" s="59">
        <f t="shared" si="17"/>
        <v>659.00698459718615</v>
      </c>
      <c r="DT46" s="59">
        <f ca="1">AVERAGE(OFFSET($DS$3,0,0,'Données projet'!$E$14+1,1))-AVERAGE(OFFSET($H$3,0,0,'Données projet'!$E$14+1,1))</f>
        <v>393.01180019332998</v>
      </c>
      <c r="DU46" s="59">
        <f t="shared" si="44"/>
        <v>283.82782416294748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11.501462421586941</v>
      </c>
      <c r="EB46" s="21">
        <f>EXP(-LN(2)/25)*EB45+(1-EXP(-LN(2)/25))/(LN(2)/25)*Calculateur!DW46*Calculateur!DY46*VLOOKUP('Données projet'!$B$14,Paramètres!$A$1:$I$89,3,0)*0.475*44/12</f>
        <v>22.240469567980384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33.741931989567327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5.0793600000000039</v>
      </c>
      <c r="D47" s="11">
        <f t="shared" si="32"/>
        <v>1.9373357491961922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10.832793437355532</v>
      </c>
      <c r="H47" s="67">
        <f t="shared" si="1"/>
        <v>268.88741176318342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11.5</v>
      </c>
      <c r="N47" s="13">
        <f>IF('Données projet'!$A$36&gt;35,N46+M47-V46,IF(A47&lt;'Données projet'!$A$36,$K$205^A47,IF(A47='Données projet'!$A$36,'Données projet'!$B$36,N46+M47-V46)))</f>
        <v>242.81999999999994</v>
      </c>
      <c r="O47" s="13">
        <f>N47*VLOOKUP('Données projet'!$B$9,Paramètres!$A$1:$I$89,3,0)*VLOOKUP('Données projet'!$B$9,Paramètres!$A$1:$I$89,5,0)</f>
        <v>113.63975999999997</v>
      </c>
      <c r="P47" s="13">
        <f t="shared" si="33"/>
        <v>30.186908953692303</v>
      </c>
      <c r="Q47" s="20">
        <f t="shared" si="53"/>
        <v>250.49811509434733</v>
      </c>
      <c r="R47" s="59">
        <f t="shared" si="0"/>
        <v>543.8314484276807</v>
      </c>
      <c r="S47" s="59">
        <f ca="1">AVERAGE(OFFSET($R$3,0,0,'Données projet'!$E$9+1,1))-AVERAGE(OFFSET($H$3,0,0,'Données projet'!$E$9+1,1))</f>
        <v>189.8770435341392</v>
      </c>
      <c r="T47" s="59">
        <f t="shared" si="34"/>
        <v>230.18380961122767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7.7609111485848903</v>
      </c>
      <c r="AA47" s="21">
        <f>EXP(-LN(2)/25)*AA46+(1-EXP(-LN(2)/25))/(LN(2)/25)*Calculateur!V47*Calculateur!X47*VLOOKUP('Données projet'!$B$9,Paramètres!$A$1:$I$89,3,0)*0.475*44/12</f>
        <v>28.387061770843889</v>
      </c>
      <c r="AB47" s="21">
        <f>EXP(-LN(2)/2)*AB46+(1-EXP(-LN(2)/2))/(LN(2)/2)*V47*Y47*VLOOKUP('Données projet'!$B$9,Paramètres!$A$1:$I$89,3,0)*0.475*44/12</f>
        <v>0</v>
      </c>
      <c r="AC47" s="22">
        <f t="shared" si="3"/>
        <v>36.147972919428781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12.078090000000008</v>
      </c>
      <c r="AI47" s="13">
        <f>IF('Données projet'!$A$62&gt;35,AI46+AH47-AQ46,IF(A47&lt;'Données projet'!$A$62,$AF$205^A47,IF(A47='Données projet'!$A$62,'Données projet'!$B$62,AI46+AH47-AQ46)))</f>
        <v>242.82368999999997</v>
      </c>
      <c r="AJ47" s="13">
        <f>AI47*VLOOKUP('Données projet'!$B$10,Paramètres!$A$1:$I$89,3,0)*VLOOKUP('Données projet'!$B$10,Paramètres!$A$1:$I$89,5,0)</f>
        <v>107.32807098000001</v>
      </c>
      <c r="AK47" s="13">
        <f t="shared" si="35"/>
        <v>28.700559147076927</v>
      </c>
      <c r="AL47" s="20">
        <f t="shared" si="4"/>
        <v>236.91653080465895</v>
      </c>
      <c r="AM47" s="59">
        <f t="shared" si="5"/>
        <v>530.24986413799229</v>
      </c>
      <c r="AN47" s="59">
        <f ca="1">AVERAGE(OFFSET($AM$3,0,0,'Données projet'!$E$10+1,1))-AVERAGE(OFFSET($H$3,0,0,'Données projet'!$E$10+1,1))</f>
        <v>207.77463758757142</v>
      </c>
      <c r="AO47" s="59">
        <f t="shared" si="36"/>
        <v>180.50802165484066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4.8873645935092442</v>
      </c>
      <c r="AV47" s="21">
        <f>EXP(-LN(2)/25)*AV46+(1-EXP(-LN(2)/25))/(LN(2)/25)*Calculateur!AQ47*Calculateur!AS47*VLOOKUP('Données projet'!$B$10,Paramètres!$A$1:$I$89,3,0)*0.475*44/12</f>
        <v>30.883652123327931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35.771016716837174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19</v>
      </c>
      <c r="BD47" s="12">
        <f>IF('Données projet'!$A$88&gt;35,BD46+BC47-BL46,IF(A47&lt;'Données projet'!$A$88,$BA$205^A47,IF(A47='Données projet'!$A$88,'Données projet'!$B$88,BD46+BC47-BL46)))</f>
        <v>299.00000000000006</v>
      </c>
      <c r="BE47" s="13">
        <f>BD47*VLOOKUP('Données projet'!$B$11,Paramètres!$A$1:$I$89,3,0)*VLOOKUP('Données projet'!$B$11,Paramètres!$A$1:$I$89,5,0)</f>
        <v>178.80200000000002</v>
      </c>
      <c r="BF47" s="13">
        <f t="shared" si="37"/>
        <v>45.055549739375941</v>
      </c>
      <c r="BG47" s="20">
        <f t="shared" si="7"/>
        <v>389.88523246274644</v>
      </c>
      <c r="BH47" s="59">
        <f t="shared" si="8"/>
        <v>683.2185657960797</v>
      </c>
      <c r="BI47" s="59">
        <f ca="1">AVERAGE(OFFSET($BH$3,0,0,'Données projet'!$E$11+1,1))-AVERAGE(OFFSET($H$3,0,0,'Données projet'!$E$11+1,1))</f>
        <v>393.01180019332998</v>
      </c>
      <c r="BJ47" s="59">
        <f t="shared" si="38"/>
        <v>283.82782416294748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11.275925758699005</v>
      </c>
      <c r="BQ47" s="21">
        <f>EXP(-LN(2)/25)*BQ46+(1-EXP(-LN(2)/25))/(LN(2)/25)*Calculateur!BL47*Calculateur!BN47*VLOOKUP('Données projet'!$B$11,Paramètres!$A$1:$I$89,3,0)*0.475*44/12</f>
        <v>21.632302758068498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32.908228516767501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19</v>
      </c>
      <c r="BY47" s="12">
        <f>IF('Données projet'!$A$114&gt;35,BY46+BX47-CG46,IF(A47&lt;'Données projet'!$A$114,$BV$205^A47,IF(A47='Données projet'!$A$114,'Données projet'!$B$114,BY46+BX47-CG46)))</f>
        <v>299.00000000000006</v>
      </c>
      <c r="BZ47" s="13">
        <f>BY47*VLOOKUP('Données projet'!$B$12,Paramètres!$A$1:$I$89,3,0)*VLOOKUP('Données projet'!$B$12,Paramètres!$A$1:$I$89,5,0)</f>
        <v>178.80200000000002</v>
      </c>
      <c r="CA47" s="13">
        <f t="shared" si="39"/>
        <v>45.055549739375941</v>
      </c>
      <c r="CB47" s="20">
        <f t="shared" si="10"/>
        <v>389.88523246274644</v>
      </c>
      <c r="CC47" s="59">
        <f t="shared" si="11"/>
        <v>683.2185657960797</v>
      </c>
      <c r="CD47" s="59">
        <f ca="1">AVERAGE(OFFSET($CC$3,0,0,'Données projet'!$E$12+1,1))-AVERAGE(OFFSET($H$3,0,0,'Données projet'!$E$12+1,1))</f>
        <v>393.01180019332998</v>
      </c>
      <c r="CE47" s="59">
        <f t="shared" si="40"/>
        <v>283.82782416294748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11.275925758699005</v>
      </c>
      <c r="CL47" s="21">
        <f>EXP(-LN(2)/25)*CL46+(1-EXP(-LN(2)/25))/(LN(2)/25)*Calculateur!CG47*Calculateur!CI47*VLOOKUP('Données projet'!$B$12,Paramètres!$A$1:$I$89,3,0)*0.475*44/12</f>
        <v>21.632302758068498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32.908228516767501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19</v>
      </c>
      <c r="CT47" s="12">
        <f>IF('Données projet'!$A$140&gt;35,CT46+CS47-DB46,IF(A47&lt;'Données projet'!$A$140,$CQ$205^A47,IF(A47='Données projet'!$A$140,'Données projet'!$B$140,CT46+CS47-DB46)))</f>
        <v>299.00000000000006</v>
      </c>
      <c r="CU47" s="17">
        <f>CT47*VLOOKUP('Données projet'!$B$13,Paramètres!$A$1:$I$89,3,0)*VLOOKUP('Données projet'!$B$13,Paramètres!$A$1:$I$89,5,0)</f>
        <v>178.80200000000002</v>
      </c>
      <c r="CV47" s="13">
        <f t="shared" si="41"/>
        <v>45.055549739375941</v>
      </c>
      <c r="CW47" s="20">
        <f t="shared" si="13"/>
        <v>389.88523246274644</v>
      </c>
      <c r="CX47" s="59">
        <f t="shared" si="14"/>
        <v>683.2185657960797</v>
      </c>
      <c r="CY47" s="59">
        <f ca="1">AVERAGE(OFFSET($CX$3,0,0,'Données projet'!$E$13+1,1))-AVERAGE(OFFSET($H$3,0,0,'Données projet'!$E$13+1,1))</f>
        <v>393.01180019332998</v>
      </c>
      <c r="CZ47" s="59">
        <f t="shared" si="42"/>
        <v>283.82782416294748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11.275925758699005</v>
      </c>
      <c r="DG47" s="21">
        <f>EXP(-LN(2)/25)*DG46+(1-EXP(-LN(2)/25))/(LN(2)/25)*Calculateur!DB47*Calculateur!DD47*VLOOKUP('Données projet'!$B$13,Paramètres!$A$1:$I$89,3,0)*0.475*44/12</f>
        <v>21.632302758068498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32.908228516767501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19</v>
      </c>
      <c r="DO47" s="12">
        <f>IF('Données projet'!$A$166&gt;35,DO46+DN47-DW46,IF(A47&lt;'Données projet'!$A$166,$DL$205^A47,IF(A47='Données projet'!$A$166,'Données projet'!$B$166,DO46+DN47-DW46)))</f>
        <v>299.00000000000006</v>
      </c>
      <c r="DP47" s="17">
        <f>DO47*VLOOKUP('Données projet'!$B$14,Paramètres!$A$1:$I$89,3,0)*VLOOKUP('Données projet'!$B$14,Paramètres!$A$1:$I$89,5,0)</f>
        <v>178.80200000000002</v>
      </c>
      <c r="DQ47" s="13">
        <f t="shared" si="43"/>
        <v>45.055549739375941</v>
      </c>
      <c r="DR47" s="20">
        <f t="shared" si="16"/>
        <v>389.88523246274644</v>
      </c>
      <c r="DS47" s="59">
        <f t="shared" si="17"/>
        <v>683.2185657960797</v>
      </c>
      <c r="DT47" s="59">
        <f ca="1">AVERAGE(OFFSET($DS$3,0,0,'Données projet'!$E$14+1,1))-AVERAGE(OFFSET($H$3,0,0,'Données projet'!$E$14+1,1))</f>
        <v>393.01180019332998</v>
      </c>
      <c r="DU47" s="59">
        <f t="shared" si="44"/>
        <v>283.82782416294748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11.275925758699005</v>
      </c>
      <c r="EB47" s="21">
        <f>EXP(-LN(2)/25)*EB46+(1-EXP(-LN(2)/25))/(LN(2)/25)*Calculateur!DW47*Calculateur!DY47*VLOOKUP('Données projet'!$B$14,Paramètres!$A$1:$I$89,3,0)*0.475*44/12</f>
        <v>21.632302758068498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32.908228516767501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5.1948000000000043</v>
      </c>
      <c r="D48" s="11">
        <f t="shared" si="32"/>
        <v>1.9761899425421021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11.071002016556236</v>
      </c>
      <c r="H48" s="67">
        <f t="shared" si="1"/>
        <v>269.15614081659419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11.5</v>
      </c>
      <c r="N48" s="13">
        <f>IF('Données projet'!$A$36&gt;35,N47+M48-V47,IF(A48&lt;'Données projet'!$A$36,$K$205^A48,IF(A48='Données projet'!$A$36,'Données projet'!$B$36,N47+M48-V47)))</f>
        <v>254.31999999999994</v>
      </c>
      <c r="O48" s="13">
        <f>N48*VLOOKUP('Données projet'!$B$9,Paramètres!$A$1:$I$89,3,0)*VLOOKUP('Données projet'!$B$9,Paramètres!$A$1:$I$89,5,0)</f>
        <v>119.02175999999997</v>
      </c>
      <c r="P48" s="13">
        <f t="shared" si="33"/>
        <v>31.446732299897718</v>
      </c>
      <c r="Q48" s="20">
        <f t="shared" si="53"/>
        <v>262.06595742232179</v>
      </c>
      <c r="R48" s="59">
        <f t="shared" si="0"/>
        <v>555.3992907556551</v>
      </c>
      <c r="S48" s="59">
        <f ca="1">AVERAGE(OFFSET($R$3,0,0,'Données projet'!$E$9+1,1))-AVERAGE(OFFSET($H$3,0,0,'Données projet'!$E$9+1,1))</f>
        <v>189.8770435341392</v>
      </c>
      <c r="T48" s="59">
        <f t="shared" si="34"/>
        <v>230.18380961122767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7.6087244146495285</v>
      </c>
      <c r="AA48" s="21">
        <f>EXP(-LN(2)/25)*AA47+(1-EXP(-LN(2)/25))/(LN(2)/25)*Calculateur!V48*Calculateur!X48*VLOOKUP('Données projet'!$B$9,Paramètres!$A$1:$I$89,3,0)*0.475*44/12</f>
        <v>27.610816073909465</v>
      </c>
      <c r="AB48" s="21">
        <f>EXP(-LN(2)/2)*AB47+(1-EXP(-LN(2)/2))/(LN(2)/2)*V48*Y48*VLOOKUP('Données projet'!$B$9,Paramètres!$A$1:$I$89,3,0)*0.475*44/12</f>
        <v>0</v>
      </c>
      <c r="AC48" s="22">
        <f t="shared" si="3"/>
        <v>35.219540488558991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254.90178000000003</v>
      </c>
      <c r="AG48" s="12">
        <f>VLOOKUP(A48,'Données projet'!$A$61:$I$81,9,0)</f>
        <v>12.078090000000008</v>
      </c>
      <c r="AH48" s="12">
        <f t="array" ref="AH48">INDEX(AG:AG,MIN(IF(ISNUMBER(AG48:AG244),ROW(AG48:AG244),"")))</f>
        <v>12.078090000000008</v>
      </c>
      <c r="AI48" s="13">
        <f>IF('Données projet'!$A$62&gt;35,AI47+AH48-AQ47,IF(A48&lt;'Données projet'!$A$62,$AF$205^A48,IF(A48='Données projet'!$A$62,'Données projet'!$B$62,AI47+AH48-AQ47)))</f>
        <v>254.90177999999997</v>
      </c>
      <c r="AJ48" s="13">
        <f>AI48*VLOOKUP('Données projet'!$B$10,Paramètres!$A$1:$I$89,3,0)*VLOOKUP('Données projet'!$B$10,Paramètres!$A$1:$I$89,5,0)</f>
        <v>112.66658675999999</v>
      </c>
      <c r="AK48" s="13">
        <f t="shared" si="35"/>
        <v>29.958374703783743</v>
      </c>
      <c r="AL48" s="20">
        <f t="shared" si="4"/>
        <v>248.40514121608999</v>
      </c>
      <c r="AM48" s="59">
        <f t="shared" si="5"/>
        <v>541.73847454942324</v>
      </c>
      <c r="AN48" s="59">
        <f ca="1">AVERAGE(OFFSET($AM$3,0,0,'Données projet'!$E$10+1,1))-AVERAGE(OFFSET($H$3,0,0,'Données projet'!$E$10+1,1))</f>
        <v>207.77463758757142</v>
      </c>
      <c r="AO48" s="59">
        <f t="shared" si="36"/>
        <v>180.50802165484066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27.220770000000002</v>
      </c>
      <c r="AR48" s="16">
        <f>IF(ISNA(VLOOKUP(A48,'Données projet'!$A$61:$I$81,5,0)),0%,VLOOKUP(A48,'Données projet'!$A$61:$I$81,5,0)*VLOOKUP('Données projet'!$B$10,Paramètres!$A$1:$I$89,7,0))</f>
        <v>0.27500000000000002</v>
      </c>
      <c r="AS48" s="16">
        <f>IF(ISNA(VLOOKUP(A48,'Données projet'!$A$61:$I$81,6,0)),0%,VLOOKUP(A48,'Données projet'!$A$61:$I$81,6,0)*VLOOKUP('Données projet'!$B$10,Paramètres!$A$1:$I$89,7,0))</f>
        <v>0.27500000000000002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9.1807097308261056</v>
      </c>
      <c r="AV48" s="21">
        <f>EXP(-LN(2)/25)*AV47+(1-EXP(-LN(2)/25))/(LN(2)/25)*Calculateur!AQ48*Calculateur!AS48*VLOOKUP('Données projet'!$B$10,Paramètres!$A$1:$I$89,3,0)*0.475*44/12</f>
        <v>34.411038520551088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43.591748251377197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318</v>
      </c>
      <c r="BB48" s="12">
        <f>VLOOKUP(A48,'Données projet'!$A$87:$I$107,9,0)</f>
        <v>19</v>
      </c>
      <c r="BC48" s="12">
        <f t="array" ref="BC48">INDEX(BB:BB,MIN(IF(ISNUMBER(BB48:BB244),ROW(BB48:BB244),"")))</f>
        <v>19</v>
      </c>
      <c r="BD48" s="12">
        <f>IF('Données projet'!$A$88&gt;35,BD47+BC48-BL47,IF(A48&lt;'Données projet'!$A$88,$BA$205^A48,IF(A48='Données projet'!$A$88,'Données projet'!$B$88,BD47+BC48-BL47)))</f>
        <v>318.00000000000006</v>
      </c>
      <c r="BE48" s="13">
        <f>BD48*VLOOKUP('Données projet'!$B$11,Paramètres!$A$1:$I$89,3,0)*VLOOKUP('Données projet'!$B$11,Paramètres!$A$1:$I$89,5,0)</f>
        <v>190.16400000000004</v>
      </c>
      <c r="BF48" s="13">
        <f t="shared" si="37"/>
        <v>47.576209101852911</v>
      </c>
      <c r="BG48" s="20">
        <f t="shared" si="7"/>
        <v>414.06419751906054</v>
      </c>
      <c r="BH48" s="59">
        <f t="shared" si="8"/>
        <v>707.39753085239386</v>
      </c>
      <c r="BI48" s="59">
        <f ca="1">AVERAGE(OFFSET($BH$3,0,0,'Données projet'!$E$11+1,1))-AVERAGE(OFFSET($H$3,0,0,'Données projet'!$E$11+1,1))</f>
        <v>393.01180019332998</v>
      </c>
      <c r="BJ48" s="59">
        <f t="shared" si="38"/>
        <v>283.82782416294748</v>
      </c>
      <c r="BK48" s="15">
        <f>IF(ISNA(VLOOKUP(A48,'Données projet'!$A$87:$I$107,3,0)),0,VLOOKUP(A48,'Données projet'!$A$87:$I$107,3,0))</f>
        <v>6</v>
      </c>
      <c r="BL48" s="15">
        <f>IF(ISNA(VLOOKUP(A48,'Données projet'!$A$87:$I$107,4,0)),0,VLOOKUP(A48,'Données projet'!$A$87:$I$107,4,0))</f>
        <v>53</v>
      </c>
      <c r="BM48" s="16">
        <f>IF(ISNA(VLOOKUP(A48,'Données projet'!$A$87:$I$107,5,0)),0%,VLOOKUP(A48,'Données projet'!$A$87:$I$107,5,0)*VLOOKUP('Données projet'!$B$11,Paramètres!$A$1:$I$89,7,0))</f>
        <v>0.13500000000000001</v>
      </c>
      <c r="BN48" s="16">
        <f>IF(ISNA(VLOOKUP(A48,'Données projet'!$A$87:$I$107,6,0)),0%,VLOOKUP(A48,'Données projet'!$A$87:$I$107,6,0)*VLOOKUP('Données projet'!$B$11,Paramètres!$A$1:$I$89,7,0))</f>
        <v>0.22500000000000001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16.730769802051128</v>
      </c>
      <c r="BQ48" s="21">
        <f>EXP(-LN(2)/25)*BQ47+(1-EXP(-LN(2)/25))/(LN(2)/25)*Calculateur!BL48*Calculateur!BN48*VLOOKUP('Données projet'!$B$11,Paramètres!$A$1:$I$89,3,0)*0.475*44/12</f>
        <v>30.46344906857917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47.194218870630294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318</v>
      </c>
      <c r="BW48" s="12">
        <f>VLOOKUP(A48,'Données projet'!$A$113:$I$133,9,0)</f>
        <v>19</v>
      </c>
      <c r="BX48" s="12">
        <f t="array" ref="BX48">INDEX(BW:BW,MIN(IF(ISNUMBER(BW48:BW244),ROW(BW48:BW244),"")))</f>
        <v>19</v>
      </c>
      <c r="BY48" s="12">
        <f>IF('Données projet'!$A$114&gt;35,BY47+BX48-CG47,IF(A48&lt;'Données projet'!$A$114,$BV$205^A48,IF(A48='Données projet'!$A$114,'Données projet'!$B$114,BY47+BX48-CG47)))</f>
        <v>318.00000000000006</v>
      </c>
      <c r="BZ48" s="13">
        <f>BY48*VLOOKUP('Données projet'!$B$12,Paramètres!$A$1:$I$89,3,0)*VLOOKUP('Données projet'!$B$12,Paramètres!$A$1:$I$89,5,0)</f>
        <v>190.16400000000004</v>
      </c>
      <c r="CA48" s="13">
        <f t="shared" si="39"/>
        <v>47.576209101852911</v>
      </c>
      <c r="CB48" s="20">
        <f t="shared" si="10"/>
        <v>414.06419751906054</v>
      </c>
      <c r="CC48" s="59">
        <f t="shared" si="11"/>
        <v>707.39753085239386</v>
      </c>
      <c r="CD48" s="59">
        <f ca="1">AVERAGE(OFFSET($CC$3,0,0,'Données projet'!$E$12+1,1))-AVERAGE(OFFSET($H$3,0,0,'Données projet'!$E$12+1,1))</f>
        <v>393.01180019332998</v>
      </c>
      <c r="CE48" s="59">
        <f t="shared" si="40"/>
        <v>283.82782416294748</v>
      </c>
      <c r="CF48" s="15">
        <f>IF(ISNA(VLOOKUP(A48,'Données projet'!$A$113:$I$133,3,0)),0,VLOOKUP(A48,'Données projet'!$A$113:$I$133,3,0))</f>
        <v>6</v>
      </c>
      <c r="CG48" s="15">
        <f>IF(ISNA(VLOOKUP(A48,'Données projet'!$A$113:$I$133,4,0)),0,VLOOKUP(A48,'Données projet'!$A$113:$I$133,4,0))</f>
        <v>53</v>
      </c>
      <c r="CH48" s="16">
        <f>IF(ISNA(VLOOKUP(A48,'Données projet'!$A$113:$I$133,5,0)),0%,VLOOKUP(A48,'Données projet'!$A$113:$I$133,5,0)*VLOOKUP('Données projet'!$B$12,Paramètres!$A$1:$I$89,7,0))</f>
        <v>0.13500000000000001</v>
      </c>
      <c r="CI48" s="16">
        <f>IF(ISNA(VLOOKUP(A48,'Données projet'!$A$113:$I$133,6,0)),0%,VLOOKUP(A48,'Données projet'!$A$113:$I$133,6,0)*VLOOKUP('Données projet'!$B$12,Paramètres!$A$1:$I$89,7,0))</f>
        <v>0.22500000000000001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16.730769802051128</v>
      </c>
      <c r="CL48" s="21">
        <f>EXP(-LN(2)/25)*CL47+(1-EXP(-LN(2)/25))/(LN(2)/25)*Calculateur!CG48*Calculateur!CI48*VLOOKUP('Données projet'!$B$12,Paramètres!$A$1:$I$89,3,0)*0.475*44/12</f>
        <v>30.46344906857917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47.194218870630294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318</v>
      </c>
      <c r="CR48" s="12">
        <f>VLOOKUP(A48,'Données projet'!$A$139:$I$159,9,0)</f>
        <v>19</v>
      </c>
      <c r="CS48" s="12">
        <f t="array" ref="CS48">INDEX(CR:CR,MIN(IF(ISNUMBER(CR48:CR244),ROW(CR48:CR244),"")))</f>
        <v>19</v>
      </c>
      <c r="CT48" s="12">
        <f>IF('Données projet'!$A$140&gt;35,CT47+CS48-DB47,IF(A48&lt;'Données projet'!$A$140,$CQ$205^A48,IF(A48='Données projet'!$A$140,'Données projet'!$B$140,CT47+CS48-DB47)))</f>
        <v>318.00000000000006</v>
      </c>
      <c r="CU48" s="17">
        <f>CT48*VLOOKUP('Données projet'!$B$13,Paramètres!$A$1:$I$89,3,0)*VLOOKUP('Données projet'!$B$13,Paramètres!$A$1:$I$89,5,0)</f>
        <v>190.16400000000004</v>
      </c>
      <c r="CV48" s="13">
        <f t="shared" si="41"/>
        <v>47.576209101852911</v>
      </c>
      <c r="CW48" s="20">
        <f t="shared" si="13"/>
        <v>414.06419751906054</v>
      </c>
      <c r="CX48" s="59">
        <f t="shared" si="14"/>
        <v>707.39753085239386</v>
      </c>
      <c r="CY48" s="59">
        <f ca="1">AVERAGE(OFFSET($CX$3,0,0,'Données projet'!$E$13+1,1))-AVERAGE(OFFSET($H$3,0,0,'Données projet'!$E$13+1,1))</f>
        <v>393.01180019332998</v>
      </c>
      <c r="CZ48" s="59">
        <f t="shared" si="42"/>
        <v>283.82782416294748</v>
      </c>
      <c r="DA48" s="15">
        <f>IF(ISNA(VLOOKUP(A48,'Données projet'!$A$139:$I$159,3,0)),0,VLOOKUP(A48,'Données projet'!$A$139:$I$159,3,0))</f>
        <v>6</v>
      </c>
      <c r="DB48" s="15">
        <f>IF(ISNA(VLOOKUP(A48,'Données projet'!$A$139:$I$159,4,0)),0,VLOOKUP(A48,'Données projet'!$A$139:$I$159,4,0))</f>
        <v>53</v>
      </c>
      <c r="DC48" s="16">
        <f>IF(ISNA(VLOOKUP(A48,'Données projet'!$A$139:$I$159,5,0)),0%,VLOOKUP(A48,'Données projet'!$A$139:$I$159,5,0)*VLOOKUP('Données projet'!$B$13,Paramètres!$A$1:$I$89,7,0))</f>
        <v>0.13500000000000001</v>
      </c>
      <c r="DD48" s="16">
        <f>IF(ISNA(VLOOKUP(A48,'Données projet'!$A$139:$I$159,6,0)),0%,VLOOKUP(A48,'Données projet'!$A$139:$I$159,6,0)*VLOOKUP('Données projet'!$B$13,Paramètres!$A$1:$I$89,7,0))</f>
        <v>0.22500000000000001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16.730769802051128</v>
      </c>
      <c r="DG48" s="21">
        <f>EXP(-LN(2)/25)*DG47+(1-EXP(-LN(2)/25))/(LN(2)/25)*Calculateur!DB48*Calculateur!DD48*VLOOKUP('Données projet'!$B$13,Paramètres!$A$1:$I$89,3,0)*0.475*44/12</f>
        <v>30.46344906857917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47.194218870630294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318</v>
      </c>
      <c r="DM48" s="12">
        <f>VLOOKUP(A48,'Données projet'!$A$165:$I$185,9,0)</f>
        <v>19</v>
      </c>
      <c r="DN48" s="12">
        <f t="array" ref="DN48">INDEX(DM:DM,MIN(IF(ISNUMBER(DM48:DM244),ROW(DM48:DM244),"")))</f>
        <v>19</v>
      </c>
      <c r="DO48" s="12">
        <f>IF('Données projet'!$A$166&gt;35,DO47+DN48-DW47,IF(A48&lt;'Données projet'!$A$166,$DL$205^A48,IF(A48='Données projet'!$A$166,'Données projet'!$B$166,DO47+DN48-DW47)))</f>
        <v>318.00000000000006</v>
      </c>
      <c r="DP48" s="17">
        <f>DO48*VLOOKUP('Données projet'!$B$14,Paramètres!$A$1:$I$89,3,0)*VLOOKUP('Données projet'!$B$14,Paramètres!$A$1:$I$89,5,0)</f>
        <v>190.16400000000004</v>
      </c>
      <c r="DQ48" s="13">
        <f t="shared" si="43"/>
        <v>47.576209101852911</v>
      </c>
      <c r="DR48" s="20">
        <f t="shared" si="16"/>
        <v>414.06419751906054</v>
      </c>
      <c r="DS48" s="59">
        <f t="shared" si="17"/>
        <v>707.39753085239386</v>
      </c>
      <c r="DT48" s="59">
        <f ca="1">AVERAGE(OFFSET($DS$3,0,0,'Données projet'!$E$14+1,1))-AVERAGE(OFFSET($H$3,0,0,'Données projet'!$E$14+1,1))</f>
        <v>393.01180019332998</v>
      </c>
      <c r="DU48" s="59">
        <f t="shared" si="44"/>
        <v>283.82782416294748</v>
      </c>
      <c r="DV48" s="15">
        <f>IF(ISNA(VLOOKUP(A48,'Données projet'!$A$165:$I$185,3,0)),0,VLOOKUP(A48,'Données projet'!$A$165:$I$185,3,0))</f>
        <v>6</v>
      </c>
      <c r="DW48" s="15">
        <f>IF(ISNA(VLOOKUP(A48,'Données projet'!$A$165:$I$185,4,0)),0,VLOOKUP(A48,'Données projet'!$A$165:$I$185,4,0))</f>
        <v>53</v>
      </c>
      <c r="DX48" s="16">
        <f>IF(ISNA(VLOOKUP(A48,'Données projet'!$A$165:$I$185,5,0)),0%,VLOOKUP(A48,'Données projet'!$A$165:$I$185,5,0)*VLOOKUP('Données projet'!$B$14,Paramètres!$A$1:$I$89,7,0))</f>
        <v>0.13500000000000001</v>
      </c>
      <c r="DY48" s="16">
        <f>IF(ISNA(VLOOKUP(A48,'Données projet'!$A$165:$I$185,6,0)),0%,VLOOKUP(A48,'Données projet'!$A$165:$I$185,6,0)*VLOOKUP('Données projet'!$B$14,Paramètres!$A$1:$I$89,7,0))</f>
        <v>0.22500000000000001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16.730769802051128</v>
      </c>
      <c r="EB48" s="21">
        <f>EXP(-LN(2)/25)*EB47+(1-EXP(-LN(2)/25))/(LN(2)/25)*Calculateur!DW48*Calculateur!DY48*VLOOKUP('Données projet'!$B$14,Paramètres!$A$1:$I$89,3,0)*0.475*44/12</f>
        <v>30.46344906857917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47.194218870630294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5.3102400000000047</v>
      </c>
      <c r="D49" s="11">
        <f t="shared" si="32"/>
        <v>2.0149437541804507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11.309055620489127</v>
      </c>
      <c r="H49" s="67">
        <f t="shared" si="1"/>
        <v>269.42469503853096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11.5</v>
      </c>
      <c r="N49" s="13">
        <f>IF('Données projet'!$A$36&gt;35,N48+M49-V48,IF(A49&lt;'Données projet'!$A$36,$K$205^A49,IF(A49='Données projet'!$A$36,'Données projet'!$B$36,N48+M49-V48)))</f>
        <v>265.81999999999994</v>
      </c>
      <c r="O49" s="13">
        <f>N49*VLOOKUP('Données projet'!$B$9,Paramètres!$A$1:$I$89,3,0)*VLOOKUP('Données projet'!$B$9,Paramètres!$A$1:$I$89,5,0)</f>
        <v>124.40375999999996</v>
      </c>
      <c r="P49" s="13">
        <f t="shared" si="33"/>
        <v>32.699939671557111</v>
      </c>
      <c r="Q49" s="20">
        <f t="shared" si="53"/>
        <v>273.62227692796188</v>
      </c>
      <c r="R49" s="59">
        <f t="shared" si="0"/>
        <v>566.95561026129519</v>
      </c>
      <c r="S49" s="59">
        <f ca="1">AVERAGE(OFFSET($R$3,0,0,'Données projet'!$E$9+1,1))-AVERAGE(OFFSET($H$3,0,0,'Données projet'!$E$9+1,1))</f>
        <v>189.8770435341392</v>
      </c>
      <c r="T49" s="59">
        <f t="shared" si="34"/>
        <v>230.18380961122767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7.4595219697418971</v>
      </c>
      <c r="AA49" s="21">
        <f>EXP(-LN(2)/25)*AA48+(1-EXP(-LN(2)/25))/(LN(2)/25)*Calculateur!V49*Calculateur!X49*VLOOKUP('Données projet'!$B$9,Paramètres!$A$1:$I$89,3,0)*0.475*44/12</f>
        <v>26.855796856378699</v>
      </c>
      <c r="AB49" s="21">
        <f>EXP(-LN(2)/2)*AB48+(1-EXP(-LN(2)/2))/(LN(2)/2)*V49*Y49*VLOOKUP('Données projet'!$B$9,Paramètres!$A$1:$I$89,3,0)*0.475*44/12</f>
        <v>0</v>
      </c>
      <c r="AC49" s="22">
        <f t="shared" si="3"/>
        <v>34.315318826120595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10.816200000000004</v>
      </c>
      <c r="AI49" s="13">
        <f>IF('Données projet'!$A$62&gt;35,AI48+AH49-AQ48,IF(A49&lt;'Données projet'!$A$62,$AF$205^A49,IF(A49='Données projet'!$A$62,'Données projet'!$B$62,AI48+AH49-AQ48)))</f>
        <v>238.49720999999994</v>
      </c>
      <c r="AJ49" s="13">
        <f>AI49*VLOOKUP('Données projet'!$B$10,Paramètres!$A$1:$I$89,3,0)*VLOOKUP('Données projet'!$B$10,Paramètres!$A$1:$I$89,5,0)</f>
        <v>105.41576681999999</v>
      </c>
      <c r="AK49" s="13">
        <f t="shared" si="35"/>
        <v>28.248242220916438</v>
      </c>
      <c r="AL49" s="20">
        <f t="shared" si="4"/>
        <v>232.7981490795961</v>
      </c>
      <c r="AM49" s="59">
        <f t="shared" si="5"/>
        <v>526.13148241292947</v>
      </c>
      <c r="AN49" s="59">
        <f ca="1">AVERAGE(OFFSET($AM$3,0,0,'Données projet'!$E$10+1,1))-AVERAGE(OFFSET($H$3,0,0,'Données projet'!$E$10+1,1))</f>
        <v>207.77463758757142</v>
      </c>
      <c r="AO49" s="59">
        <f t="shared" si="36"/>
        <v>180.50802165484066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9.0006816126846196</v>
      </c>
      <c r="AV49" s="21">
        <f>EXP(-LN(2)/25)*AV48+(1-EXP(-LN(2)/25))/(LN(2)/25)*Calculateur!AQ49*Calculateur!AS49*VLOOKUP('Données projet'!$B$10,Paramètres!$A$1:$I$89,3,0)*0.475*44/12</f>
        <v>33.470066862608753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42.470748475293377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17.399999999999999</v>
      </c>
      <c r="BD49" s="12">
        <f>IF('Données projet'!$A$88&gt;35,BD48+BC49-BL48,IF(A49&lt;'Données projet'!$A$88,$BA$205^A49,IF(A49='Données projet'!$A$88,'Données projet'!$B$88,BD48+BC49-BL48)))</f>
        <v>282.40000000000003</v>
      </c>
      <c r="BE49" s="13">
        <f>BD49*VLOOKUP('Données projet'!$B$11,Paramètres!$A$1:$I$89,3,0)*VLOOKUP('Données projet'!$B$11,Paramètres!$A$1:$I$89,5,0)</f>
        <v>168.87520000000004</v>
      </c>
      <c r="BF49" s="13">
        <f t="shared" si="37"/>
        <v>42.838008554673955</v>
      </c>
      <c r="BG49" s="20">
        <f t="shared" si="7"/>
        <v>368.73383823272388</v>
      </c>
      <c r="BH49" s="59">
        <f t="shared" si="8"/>
        <v>662.06717156605714</v>
      </c>
      <c r="BI49" s="59">
        <f ca="1">AVERAGE(OFFSET($BH$3,0,0,'Données projet'!$E$11+1,1))-AVERAGE(OFFSET($H$3,0,0,'Données projet'!$E$11+1,1))</f>
        <v>393.01180019332998</v>
      </c>
      <c r="BJ49" s="59">
        <f t="shared" si="38"/>
        <v>283.82782416294748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16.402689610994848</v>
      </c>
      <c r="BQ49" s="21">
        <f>EXP(-LN(2)/25)*BQ48+(1-EXP(-LN(2)/25))/(LN(2)/25)*Calculateur!BL49*Calculateur!BN49*VLOOKUP('Données projet'!$B$11,Paramètres!$A$1:$I$89,3,0)*0.475*44/12</f>
        <v>29.630424451795712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46.03311406279056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17.399999999999999</v>
      </c>
      <c r="BY49" s="12">
        <f>IF('Données projet'!$A$114&gt;35,BY48+BX49-CG48,IF(A49&lt;'Données projet'!$A$114,$BV$205^A49,IF(A49='Données projet'!$A$114,'Données projet'!$B$114,BY48+BX49-CG48)))</f>
        <v>282.40000000000003</v>
      </c>
      <c r="BZ49" s="13">
        <f>BY49*VLOOKUP('Données projet'!$B$12,Paramètres!$A$1:$I$89,3,0)*VLOOKUP('Données projet'!$B$12,Paramètres!$A$1:$I$89,5,0)</f>
        <v>168.87520000000004</v>
      </c>
      <c r="CA49" s="13">
        <f t="shared" si="39"/>
        <v>42.838008554673955</v>
      </c>
      <c r="CB49" s="20">
        <f t="shared" si="10"/>
        <v>368.73383823272388</v>
      </c>
      <c r="CC49" s="59">
        <f t="shared" si="11"/>
        <v>662.06717156605714</v>
      </c>
      <c r="CD49" s="59">
        <f ca="1">AVERAGE(OFFSET($CC$3,0,0,'Données projet'!$E$12+1,1))-AVERAGE(OFFSET($H$3,0,0,'Données projet'!$E$12+1,1))</f>
        <v>393.01180019332998</v>
      </c>
      <c r="CE49" s="59">
        <f t="shared" si="40"/>
        <v>283.82782416294748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16.402689610994848</v>
      </c>
      <c r="CL49" s="21">
        <f>EXP(-LN(2)/25)*CL48+(1-EXP(-LN(2)/25))/(LN(2)/25)*Calculateur!CG49*Calculateur!CI49*VLOOKUP('Données projet'!$B$12,Paramètres!$A$1:$I$89,3,0)*0.475*44/12</f>
        <v>29.630424451795712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46.03311406279056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17.399999999999999</v>
      </c>
      <c r="CT49" s="12">
        <f>IF('Données projet'!$A$140&gt;35,CT48+CS49-DB48,IF(A49&lt;'Données projet'!$A$140,$CQ$205^A49,IF(A49='Données projet'!$A$140,'Données projet'!$B$140,CT48+CS49-DB48)))</f>
        <v>282.40000000000003</v>
      </c>
      <c r="CU49" s="17">
        <f>CT49*VLOOKUP('Données projet'!$B$13,Paramètres!$A$1:$I$89,3,0)*VLOOKUP('Données projet'!$B$13,Paramètres!$A$1:$I$89,5,0)</f>
        <v>168.87520000000004</v>
      </c>
      <c r="CV49" s="13">
        <f t="shared" si="41"/>
        <v>42.838008554673955</v>
      </c>
      <c r="CW49" s="20">
        <f t="shared" si="13"/>
        <v>368.73383823272388</v>
      </c>
      <c r="CX49" s="59">
        <f t="shared" si="14"/>
        <v>662.06717156605714</v>
      </c>
      <c r="CY49" s="59">
        <f ca="1">AVERAGE(OFFSET($CX$3,0,0,'Données projet'!$E$13+1,1))-AVERAGE(OFFSET($H$3,0,0,'Données projet'!$E$13+1,1))</f>
        <v>393.01180019332998</v>
      </c>
      <c r="CZ49" s="59">
        <f t="shared" si="42"/>
        <v>283.82782416294748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16.402689610994848</v>
      </c>
      <c r="DG49" s="21">
        <f>EXP(-LN(2)/25)*DG48+(1-EXP(-LN(2)/25))/(LN(2)/25)*Calculateur!DB49*Calculateur!DD49*VLOOKUP('Données projet'!$B$13,Paramètres!$A$1:$I$89,3,0)*0.475*44/12</f>
        <v>29.630424451795712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46.03311406279056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17.399999999999999</v>
      </c>
      <c r="DO49" s="12">
        <f>IF('Données projet'!$A$166&gt;35,DO48+DN49-DW48,IF(A49&lt;'Données projet'!$A$166,$DL$205^A49,IF(A49='Données projet'!$A$166,'Données projet'!$B$166,DO48+DN49-DW48)))</f>
        <v>282.40000000000003</v>
      </c>
      <c r="DP49" s="17">
        <f>DO49*VLOOKUP('Données projet'!$B$14,Paramètres!$A$1:$I$89,3,0)*VLOOKUP('Données projet'!$B$14,Paramètres!$A$1:$I$89,5,0)</f>
        <v>168.87520000000004</v>
      </c>
      <c r="DQ49" s="13">
        <f t="shared" si="43"/>
        <v>42.838008554673955</v>
      </c>
      <c r="DR49" s="20">
        <f t="shared" si="16"/>
        <v>368.73383823272388</v>
      </c>
      <c r="DS49" s="59">
        <f t="shared" si="17"/>
        <v>662.06717156605714</v>
      </c>
      <c r="DT49" s="59">
        <f ca="1">AVERAGE(OFFSET($DS$3,0,0,'Données projet'!$E$14+1,1))-AVERAGE(OFFSET($H$3,0,0,'Données projet'!$E$14+1,1))</f>
        <v>393.01180019332998</v>
      </c>
      <c r="DU49" s="59">
        <f t="shared" si="44"/>
        <v>283.82782416294748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16.402689610994848</v>
      </c>
      <c r="EB49" s="21">
        <f>EXP(-LN(2)/25)*EB48+(1-EXP(-LN(2)/25))/(LN(2)/25)*Calculateur!DW49*Calculateur!DY49*VLOOKUP('Données projet'!$B$14,Paramètres!$A$1:$I$89,3,0)*0.475*44/12</f>
        <v>29.630424451795712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46.03311406279056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5.4256800000000052</v>
      </c>
      <c r="D50" s="11">
        <f t="shared" si="32"/>
        <v>2.0535996176390539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11.546958006179601</v>
      </c>
      <c r="H50" s="67">
        <f t="shared" si="1"/>
        <v>269.69307866738802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11.5</v>
      </c>
      <c r="N50" s="13">
        <f>IF('Données projet'!$A$36&gt;35,N49+M50-V49,IF(A50&lt;'Données projet'!$A$36,$K$205^A50,IF(A50='Données projet'!$A$36,'Données projet'!$B$36,N49+M50-V49)))</f>
        <v>277.31999999999994</v>
      </c>
      <c r="O50" s="13">
        <f>N50*VLOOKUP('Données projet'!$B$9,Paramètres!$A$1:$I$89,3,0)*VLOOKUP('Données projet'!$B$9,Paramètres!$A$1:$I$89,5,0)</f>
        <v>129.78575999999998</v>
      </c>
      <c r="P50" s="13">
        <f t="shared" si="33"/>
        <v>33.946850007514598</v>
      </c>
      <c r="Q50" s="20">
        <f t="shared" si="53"/>
        <v>285.16762909642119</v>
      </c>
      <c r="R50" s="59">
        <f t="shared" si="0"/>
        <v>578.50096242975451</v>
      </c>
      <c r="S50" s="59">
        <f ca="1">AVERAGE(OFFSET($R$3,0,0,'Données projet'!$E$9+1,1))-AVERAGE(OFFSET($H$3,0,0,'Données projet'!$E$9+1,1))</f>
        <v>189.8770435341392</v>
      </c>
      <c r="T50" s="59">
        <f t="shared" si="34"/>
        <v>230.18380961122767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7.3132452937743988</v>
      </c>
      <c r="AA50" s="21">
        <f>EXP(-LN(2)/25)*AA49+(1-EXP(-LN(2)/25))/(LN(2)/25)*Calculateur!V50*Calculateur!X50*VLOOKUP('Données projet'!$B$9,Paramètres!$A$1:$I$89,3,0)*0.475*44/12</f>
        <v>26.121423679056047</v>
      </c>
      <c r="AB50" s="21">
        <f>EXP(-LN(2)/2)*AB49+(1-EXP(-LN(2)/2))/(LN(2)/2)*V50*Y50*VLOOKUP('Données projet'!$B$9,Paramètres!$A$1:$I$89,3,0)*0.475*44/12</f>
        <v>0</v>
      </c>
      <c r="AC50" s="22">
        <f t="shared" si="3"/>
        <v>33.434668972830444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10.816200000000004</v>
      </c>
      <c r="AI50" s="13">
        <f>IF('Données projet'!$A$62&gt;35,AI49+AH50-AQ49,IF(A50&lt;'Données projet'!$A$62,$AF$205^A50,IF(A50='Données projet'!$A$62,'Données projet'!$B$62,AI49+AH50-AQ49)))</f>
        <v>249.31340999999995</v>
      </c>
      <c r="AJ50" s="13">
        <f>AI50*VLOOKUP('Données projet'!$B$10,Paramètres!$A$1:$I$89,3,0)*VLOOKUP('Données projet'!$B$10,Paramètres!$A$1:$I$89,5,0)</f>
        <v>110.19652721999999</v>
      </c>
      <c r="AK50" s="13">
        <f t="shared" si="35"/>
        <v>29.377283106987431</v>
      </c>
      <c r="AL50" s="20">
        <f t="shared" si="4"/>
        <v>243.09105298616973</v>
      </c>
      <c r="AM50" s="59">
        <f t="shared" si="5"/>
        <v>536.42438631950301</v>
      </c>
      <c r="AN50" s="59">
        <f ca="1">AVERAGE(OFFSET($AM$3,0,0,'Données projet'!$E$10+1,1))-AVERAGE(OFFSET($H$3,0,0,'Données projet'!$E$10+1,1))</f>
        <v>207.77463758757142</v>
      </c>
      <c r="AO50" s="59">
        <f t="shared" si="36"/>
        <v>180.50802165484066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8.8241837361335786</v>
      </c>
      <c r="AV50" s="21">
        <f>EXP(-LN(2)/25)*AV49+(1-EXP(-LN(2)/25))/(LN(2)/25)*Calculateur!AQ50*Calculateur!AS50*VLOOKUP('Données projet'!$B$10,Paramètres!$A$1:$I$89,3,0)*0.475*44/12</f>
        <v>32.554826124136397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41.379009860269974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17.399999999999999</v>
      </c>
      <c r="BD50" s="12">
        <f>IF('Données projet'!$A$88&gt;35,BD49+BC50-BL49,IF(A50&lt;'Données projet'!$A$88,$BA$205^A50,IF(A50='Données projet'!$A$88,'Données projet'!$B$88,BD49+BC50-BL49)))</f>
        <v>299.8</v>
      </c>
      <c r="BE50" s="13">
        <f>BD50*VLOOKUP('Données projet'!$B$11,Paramètres!$A$1:$I$89,3,0)*VLOOKUP('Données projet'!$B$11,Paramètres!$A$1:$I$89,5,0)</f>
        <v>179.28040000000001</v>
      </c>
      <c r="BF50" s="13">
        <f t="shared" si="37"/>
        <v>45.162051118824294</v>
      </c>
      <c r="BG50" s="20">
        <f t="shared" si="7"/>
        <v>390.90393569861902</v>
      </c>
      <c r="BH50" s="59">
        <f t="shared" si="8"/>
        <v>684.23726903195234</v>
      </c>
      <c r="BI50" s="59">
        <f ca="1">AVERAGE(OFFSET($BH$3,0,0,'Données projet'!$E$11+1,1))-AVERAGE(OFFSET($H$3,0,0,'Données projet'!$E$11+1,1))</f>
        <v>393.01180019332998</v>
      </c>
      <c r="BJ50" s="59">
        <f t="shared" si="38"/>
        <v>283.82782416294748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16.081042872376024</v>
      </c>
      <c r="BQ50" s="21">
        <f>EXP(-LN(2)/25)*BQ49+(1-EXP(-LN(2)/25))/(LN(2)/25)*Calculateur!BL50*Calculateur!BN50*VLOOKUP('Données projet'!$B$11,Paramètres!$A$1:$I$89,3,0)*0.475*44/12</f>
        <v>28.820178936965057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44.901221809341081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17.399999999999999</v>
      </c>
      <c r="BY50" s="12">
        <f>IF('Données projet'!$A$114&gt;35,BY49+BX50-CG49,IF(A50&lt;'Données projet'!$A$114,$BV$205^A50,IF(A50='Données projet'!$A$114,'Données projet'!$B$114,BY49+BX50-CG49)))</f>
        <v>299.8</v>
      </c>
      <c r="BZ50" s="13">
        <f>BY50*VLOOKUP('Données projet'!$B$12,Paramètres!$A$1:$I$89,3,0)*VLOOKUP('Données projet'!$B$12,Paramètres!$A$1:$I$89,5,0)</f>
        <v>179.28040000000001</v>
      </c>
      <c r="CA50" s="13">
        <f t="shared" si="39"/>
        <v>45.162051118824294</v>
      </c>
      <c r="CB50" s="20">
        <f t="shared" si="10"/>
        <v>390.90393569861902</v>
      </c>
      <c r="CC50" s="59">
        <f t="shared" si="11"/>
        <v>684.23726903195234</v>
      </c>
      <c r="CD50" s="59">
        <f ca="1">AVERAGE(OFFSET($CC$3,0,0,'Données projet'!$E$12+1,1))-AVERAGE(OFFSET($H$3,0,0,'Données projet'!$E$12+1,1))</f>
        <v>393.01180019332998</v>
      </c>
      <c r="CE50" s="59">
        <f t="shared" si="40"/>
        <v>283.82782416294748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16.081042872376024</v>
      </c>
      <c r="CL50" s="21">
        <f>EXP(-LN(2)/25)*CL49+(1-EXP(-LN(2)/25))/(LN(2)/25)*Calculateur!CG50*Calculateur!CI50*VLOOKUP('Données projet'!$B$12,Paramètres!$A$1:$I$89,3,0)*0.475*44/12</f>
        <v>28.820178936965057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44.901221809341081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17.399999999999999</v>
      </c>
      <c r="CT50" s="12">
        <f>IF('Données projet'!$A$140&gt;35,CT49+CS50-DB49,IF(A50&lt;'Données projet'!$A$140,$CQ$205^A50,IF(A50='Données projet'!$A$140,'Données projet'!$B$140,CT49+CS50-DB49)))</f>
        <v>299.8</v>
      </c>
      <c r="CU50" s="17">
        <f>CT50*VLOOKUP('Données projet'!$B$13,Paramètres!$A$1:$I$89,3,0)*VLOOKUP('Données projet'!$B$13,Paramètres!$A$1:$I$89,5,0)</f>
        <v>179.28040000000001</v>
      </c>
      <c r="CV50" s="13">
        <f t="shared" si="41"/>
        <v>45.162051118824294</v>
      </c>
      <c r="CW50" s="20">
        <f t="shared" si="13"/>
        <v>390.90393569861902</v>
      </c>
      <c r="CX50" s="59">
        <f t="shared" si="14"/>
        <v>684.23726903195234</v>
      </c>
      <c r="CY50" s="59">
        <f ca="1">AVERAGE(OFFSET($CX$3,0,0,'Données projet'!$E$13+1,1))-AVERAGE(OFFSET($H$3,0,0,'Données projet'!$E$13+1,1))</f>
        <v>393.01180019332998</v>
      </c>
      <c r="CZ50" s="59">
        <f t="shared" si="42"/>
        <v>283.82782416294748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16.081042872376024</v>
      </c>
      <c r="DG50" s="21">
        <f>EXP(-LN(2)/25)*DG49+(1-EXP(-LN(2)/25))/(LN(2)/25)*Calculateur!DB50*Calculateur!DD50*VLOOKUP('Données projet'!$B$13,Paramètres!$A$1:$I$89,3,0)*0.475*44/12</f>
        <v>28.820178936965057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44.901221809341081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17.399999999999999</v>
      </c>
      <c r="DO50" s="12">
        <f>IF('Données projet'!$A$166&gt;35,DO49+DN50-DW49,IF(A50&lt;'Données projet'!$A$166,$DL$205^A50,IF(A50='Données projet'!$A$166,'Données projet'!$B$166,DO49+DN50-DW49)))</f>
        <v>299.8</v>
      </c>
      <c r="DP50" s="17">
        <f>DO50*VLOOKUP('Données projet'!$B$14,Paramètres!$A$1:$I$89,3,0)*VLOOKUP('Données projet'!$B$14,Paramètres!$A$1:$I$89,5,0)</f>
        <v>179.28040000000001</v>
      </c>
      <c r="DQ50" s="13">
        <f t="shared" si="43"/>
        <v>45.162051118824294</v>
      </c>
      <c r="DR50" s="20">
        <f t="shared" si="16"/>
        <v>390.90393569861902</v>
      </c>
      <c r="DS50" s="59">
        <f t="shared" si="17"/>
        <v>684.23726903195234</v>
      </c>
      <c r="DT50" s="59">
        <f ca="1">AVERAGE(OFFSET($DS$3,0,0,'Données projet'!$E$14+1,1))-AVERAGE(OFFSET($H$3,0,0,'Données projet'!$E$14+1,1))</f>
        <v>393.01180019332998</v>
      </c>
      <c r="DU50" s="59">
        <f t="shared" si="44"/>
        <v>283.82782416294748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16.081042872376024</v>
      </c>
      <c r="EB50" s="21">
        <f>EXP(-LN(2)/25)*EB49+(1-EXP(-LN(2)/25))/(LN(2)/25)*Calculateur!DW50*Calculateur!DY50*VLOOKUP('Données projet'!$B$14,Paramètres!$A$1:$I$89,3,0)*0.475*44/12</f>
        <v>28.820178936965057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44.901221809341081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5.5411200000000056</v>
      </c>
      <c r="D51" s="11">
        <f t="shared" si="32"/>
        <v>2.0921598569752624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11.784712761646029</v>
      </c>
      <c r="H51" s="67">
        <f t="shared" si="1"/>
        <v>269.96129575089861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11.5</v>
      </c>
      <c r="N51" s="13">
        <f>IF('Données projet'!$A$36&gt;35,N50+M51-V50,IF(A51&lt;'Données projet'!$A$36,$K$205^A51,IF(A51='Données projet'!$A$36,'Données projet'!$B$36,N50+M51-V50)))</f>
        <v>288.81999999999994</v>
      </c>
      <c r="O51" s="13">
        <f>N51*VLOOKUP('Données projet'!$B$9,Paramètres!$A$1:$I$89,3,0)*VLOOKUP('Données projet'!$B$9,Paramètres!$A$1:$I$89,5,0)</f>
        <v>135.16775999999996</v>
      </c>
      <c r="P51" s="13">
        <f t="shared" si="33"/>
        <v>35.187754298272999</v>
      </c>
      <c r="Q51" s="20">
        <f t="shared" si="53"/>
        <v>296.70252073615876</v>
      </c>
      <c r="R51" s="59">
        <f t="shared" si="0"/>
        <v>590.03585406949207</v>
      </c>
      <c r="S51" s="59">
        <f ca="1">AVERAGE(OFFSET($R$3,0,0,'Données projet'!$E$9+1,1))-AVERAGE(OFFSET($H$3,0,0,'Données projet'!$E$9+1,1))</f>
        <v>189.8770435341392</v>
      </c>
      <c r="T51" s="59">
        <f t="shared" si="34"/>
        <v>230.18380961122767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7.1698370142026606</v>
      </c>
      <c r="AA51" s="21">
        <f>EXP(-LN(2)/25)*AA50+(1-EXP(-LN(2)/25))/(LN(2)/25)*Calculateur!V51*Calculateur!X51*VLOOKUP('Données projet'!$B$9,Paramètres!$A$1:$I$89,3,0)*0.475*44/12</f>
        <v>25.40713197488629</v>
      </c>
      <c r="AB51" s="21">
        <f>EXP(-LN(2)/2)*AB50+(1-EXP(-LN(2)/2))/(LN(2)/2)*V51*Y51*VLOOKUP('Données projet'!$B$9,Paramètres!$A$1:$I$89,3,0)*0.475*44/12</f>
        <v>0</v>
      </c>
      <c r="AC51" s="22">
        <f t="shared" si="3"/>
        <v>32.576968989088954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10.816200000000004</v>
      </c>
      <c r="AI51" s="13">
        <f>IF('Données projet'!$A$62&gt;35,AI50+AH51-AQ50,IF(A51&lt;'Données projet'!$A$62,$AF$205^A51,IF(A51='Données projet'!$A$62,'Données projet'!$B$62,AI50+AH51-AQ50)))</f>
        <v>260.12960999999996</v>
      </c>
      <c r="AJ51" s="13">
        <f>AI51*VLOOKUP('Données projet'!$B$10,Paramètres!$A$1:$I$89,3,0)*VLOOKUP('Données projet'!$B$10,Paramètres!$A$1:$I$89,5,0)</f>
        <v>114.97728762</v>
      </c>
      <c r="AK51" s="13">
        <f t="shared" si="35"/>
        <v>30.500634946317827</v>
      </c>
      <c r="AL51" s="20">
        <f t="shared" si="4"/>
        <v>253.37404846967021</v>
      </c>
      <c r="AM51" s="59">
        <f t="shared" si="5"/>
        <v>546.7073818030035</v>
      </c>
      <c r="AN51" s="59">
        <f ca="1">AVERAGE(OFFSET($AM$3,0,0,'Données projet'!$E$10+1,1))-AVERAGE(OFFSET($H$3,0,0,'Données projet'!$E$10+1,1))</f>
        <v>207.77463758757142</v>
      </c>
      <c r="AO51" s="59">
        <f t="shared" si="36"/>
        <v>180.50802165484066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8.651146875288628</v>
      </c>
      <c r="AV51" s="21">
        <f>EXP(-LN(2)/25)*AV50+(1-EXP(-LN(2)/25))/(LN(2)/25)*Calculateur!AQ51*Calculateur!AS51*VLOOKUP('Données projet'!$B$10,Paramètres!$A$1:$I$89,3,0)*0.475*44/12</f>
        <v>31.664612691787987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40.315759567076611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17.399999999999999</v>
      </c>
      <c r="BD51" s="12">
        <f>IF('Données projet'!$A$88&gt;35,BD50+BC51-BL50,IF(A51&lt;'Données projet'!$A$88,$BA$205^A51,IF(A51='Données projet'!$A$88,'Données projet'!$B$88,BD50+BC51-BL50)))</f>
        <v>317.2</v>
      </c>
      <c r="BE51" s="13">
        <f>BD51*VLOOKUP('Données projet'!$B$11,Paramètres!$A$1:$I$89,3,0)*VLOOKUP('Données projet'!$B$11,Paramètres!$A$1:$I$89,5,0)</f>
        <v>189.68560000000002</v>
      </c>
      <c r="BF51" s="13">
        <f t="shared" si="37"/>
        <v>47.470436776872745</v>
      </c>
      <c r="BG51" s="20">
        <f t="shared" si="7"/>
        <v>413.04676405305344</v>
      </c>
      <c r="BH51" s="59">
        <f t="shared" si="8"/>
        <v>706.38009738638675</v>
      </c>
      <c r="BI51" s="59">
        <f ca="1">AVERAGE(OFFSET($BH$3,0,0,'Données projet'!$E$11+1,1))-AVERAGE(OFFSET($H$3,0,0,'Données projet'!$E$11+1,1))</f>
        <v>393.01180019332998</v>
      </c>
      <c r="BJ51" s="59">
        <f t="shared" si="38"/>
        <v>283.82782416294748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15.765703430116377</v>
      </c>
      <c r="BQ51" s="21">
        <f>EXP(-LN(2)/25)*BQ50+(1-EXP(-LN(2)/25))/(LN(2)/25)*Calculateur!BL51*Calculateur!BN51*VLOOKUP('Données projet'!$B$11,Paramètres!$A$1:$I$89,3,0)*0.475*44/12</f>
        <v>28.032089628346405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43.79779305846278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17.399999999999999</v>
      </c>
      <c r="BY51" s="12">
        <f>IF('Données projet'!$A$114&gt;35,BY50+BX51-CG50,IF(A51&lt;'Données projet'!$A$114,$BV$205^A51,IF(A51='Données projet'!$A$114,'Données projet'!$B$114,BY50+BX51-CG50)))</f>
        <v>317.2</v>
      </c>
      <c r="BZ51" s="13">
        <f>BY51*VLOOKUP('Données projet'!$B$12,Paramètres!$A$1:$I$89,3,0)*VLOOKUP('Données projet'!$B$12,Paramètres!$A$1:$I$89,5,0)</f>
        <v>189.68560000000002</v>
      </c>
      <c r="CA51" s="13">
        <f t="shared" si="39"/>
        <v>47.470436776872745</v>
      </c>
      <c r="CB51" s="20">
        <f t="shared" si="10"/>
        <v>413.04676405305344</v>
      </c>
      <c r="CC51" s="59">
        <f t="shared" si="11"/>
        <v>706.38009738638675</v>
      </c>
      <c r="CD51" s="59">
        <f ca="1">AVERAGE(OFFSET($CC$3,0,0,'Données projet'!$E$12+1,1))-AVERAGE(OFFSET($H$3,0,0,'Données projet'!$E$12+1,1))</f>
        <v>393.01180019332998</v>
      </c>
      <c r="CE51" s="59">
        <f t="shared" si="40"/>
        <v>283.82782416294748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15.765703430116377</v>
      </c>
      <c r="CL51" s="21">
        <f>EXP(-LN(2)/25)*CL50+(1-EXP(-LN(2)/25))/(LN(2)/25)*Calculateur!CG51*Calculateur!CI51*VLOOKUP('Données projet'!$B$12,Paramètres!$A$1:$I$89,3,0)*0.475*44/12</f>
        <v>28.032089628346405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43.79779305846278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17.399999999999999</v>
      </c>
      <c r="CT51" s="12">
        <f>IF('Données projet'!$A$140&gt;35,CT50+CS51-DB50,IF(A51&lt;'Données projet'!$A$140,$CQ$205^A51,IF(A51='Données projet'!$A$140,'Données projet'!$B$140,CT50+CS51-DB50)))</f>
        <v>317.2</v>
      </c>
      <c r="CU51" s="17">
        <f>CT51*VLOOKUP('Données projet'!$B$13,Paramètres!$A$1:$I$89,3,0)*VLOOKUP('Données projet'!$B$13,Paramètres!$A$1:$I$89,5,0)</f>
        <v>189.68560000000002</v>
      </c>
      <c r="CV51" s="13">
        <f t="shared" si="41"/>
        <v>47.470436776872745</v>
      </c>
      <c r="CW51" s="20">
        <f t="shared" si="13"/>
        <v>413.04676405305344</v>
      </c>
      <c r="CX51" s="59">
        <f t="shared" si="14"/>
        <v>706.38009738638675</v>
      </c>
      <c r="CY51" s="59">
        <f ca="1">AVERAGE(OFFSET($CX$3,0,0,'Données projet'!$E$13+1,1))-AVERAGE(OFFSET($H$3,0,0,'Données projet'!$E$13+1,1))</f>
        <v>393.01180019332998</v>
      </c>
      <c r="CZ51" s="59">
        <f t="shared" si="42"/>
        <v>283.82782416294748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15.765703430116377</v>
      </c>
      <c r="DG51" s="21">
        <f>EXP(-LN(2)/25)*DG50+(1-EXP(-LN(2)/25))/(LN(2)/25)*Calculateur!DB51*Calculateur!DD51*VLOOKUP('Données projet'!$B$13,Paramètres!$A$1:$I$89,3,0)*0.475*44/12</f>
        <v>28.032089628346405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43.79779305846278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17.399999999999999</v>
      </c>
      <c r="DO51" s="12">
        <f>IF('Données projet'!$A$166&gt;35,DO50+DN51-DW50,IF(A51&lt;'Données projet'!$A$166,$DL$205^A51,IF(A51='Données projet'!$A$166,'Données projet'!$B$166,DO50+DN51-DW50)))</f>
        <v>317.2</v>
      </c>
      <c r="DP51" s="17">
        <f>DO51*VLOOKUP('Données projet'!$B$14,Paramètres!$A$1:$I$89,3,0)*VLOOKUP('Données projet'!$B$14,Paramètres!$A$1:$I$89,5,0)</f>
        <v>189.68560000000002</v>
      </c>
      <c r="DQ51" s="13">
        <f t="shared" si="43"/>
        <v>47.470436776872745</v>
      </c>
      <c r="DR51" s="20">
        <f t="shared" si="16"/>
        <v>413.04676405305344</v>
      </c>
      <c r="DS51" s="59">
        <f t="shared" si="17"/>
        <v>706.38009738638675</v>
      </c>
      <c r="DT51" s="59">
        <f ca="1">AVERAGE(OFFSET($DS$3,0,0,'Données projet'!$E$14+1,1))-AVERAGE(OFFSET($H$3,0,0,'Données projet'!$E$14+1,1))</f>
        <v>393.01180019332998</v>
      </c>
      <c r="DU51" s="59">
        <f t="shared" si="44"/>
        <v>283.82782416294748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15.765703430116377</v>
      </c>
      <c r="EB51" s="21">
        <f>EXP(-LN(2)/25)*EB50+(1-EXP(-LN(2)/25))/(LN(2)/25)*Calculateur!DW51*Calculateur!DY51*VLOOKUP('Données projet'!$B$14,Paramètres!$A$1:$I$89,3,0)*0.475*44/12</f>
        <v>28.032089628346405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43.79779305846278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5.656560000000006</v>
      </c>
      <c r="D52" s="11">
        <f t="shared" si="32"/>
        <v>2.1306266938767839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12.022323316862414</v>
      </c>
      <c r="H52" s="67">
        <f t="shared" si="1"/>
        <v>270.22935015850209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11.5</v>
      </c>
      <c r="N52" s="13">
        <f>IF('Données projet'!$A$36&gt;35,N51+M52-V51,IF(A52&lt;'Données projet'!$A$36,$K$205^A52,IF(A52='Données projet'!$A$36,'Données projet'!$B$36,N51+M52-V51)))</f>
        <v>300.31999999999994</v>
      </c>
      <c r="O52" s="13">
        <f>N52*VLOOKUP('Données projet'!$B$9,Paramètres!$A$1:$I$89,3,0)*VLOOKUP('Données projet'!$B$9,Paramètres!$A$1:$I$89,5,0)</f>
        <v>140.54975999999996</v>
      </c>
      <c r="P52" s="13">
        <f t="shared" si="33"/>
        <v>36.42291904975756</v>
      </c>
      <c r="Q52" s="20">
        <f t="shared" si="53"/>
        <v>308.22741601166098</v>
      </c>
      <c r="R52" s="59">
        <f t="shared" si="0"/>
        <v>601.56074934499429</v>
      </c>
      <c r="S52" s="59">
        <f ca="1">AVERAGE(OFFSET($R$3,0,0,'Données projet'!$E$9+1,1))-AVERAGE(OFFSET($H$3,0,0,'Données projet'!$E$9+1,1))</f>
        <v>189.8770435341392</v>
      </c>
      <c r="T52" s="59">
        <f t="shared" si="34"/>
        <v>230.18380961122767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7.0292408835229105</v>
      </c>
      <c r="AA52" s="21">
        <f>EXP(-LN(2)/25)*AA51+(1-EXP(-LN(2)/25))/(LN(2)/25)*Calculateur!V52*Calculateur!X52*VLOOKUP('Données projet'!$B$9,Paramètres!$A$1:$I$89,3,0)*0.475*44/12</f>
        <v>24.712372614930022</v>
      </c>
      <c r="AB52" s="21">
        <f>EXP(-LN(2)/2)*AB51+(1-EXP(-LN(2)/2))/(LN(2)/2)*V52*Y52*VLOOKUP('Données projet'!$B$9,Paramètres!$A$1:$I$89,3,0)*0.475*44/12</f>
        <v>0</v>
      </c>
      <c r="AC52" s="22">
        <f t="shared" si="3"/>
        <v>31.741613498452931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10.816200000000004</v>
      </c>
      <c r="AI52" s="13">
        <f>IF('Données projet'!$A$62&gt;35,AI51+AH52-AQ51,IF(A52&lt;'Données projet'!$A$62,$AF$205^A52,IF(A52='Données projet'!$A$62,'Données projet'!$B$62,AI51+AH52-AQ51)))</f>
        <v>270.94580999999994</v>
      </c>
      <c r="AJ52" s="13">
        <f>AI52*VLOOKUP('Données projet'!$B$10,Paramètres!$A$1:$I$89,3,0)*VLOOKUP('Données projet'!$B$10,Paramètres!$A$1:$I$89,5,0)</f>
        <v>119.75804801999998</v>
      </c>
      <c r="AK52" s="13">
        <f t="shared" si="35"/>
        <v>31.618561341086206</v>
      </c>
      <c r="AL52" s="20">
        <f t="shared" si="4"/>
        <v>263.6475946372251</v>
      </c>
      <c r="AM52" s="59">
        <f t="shared" si="5"/>
        <v>556.98092797055847</v>
      </c>
      <c r="AN52" s="59">
        <f ca="1">AVERAGE(OFFSET($AM$3,0,0,'Données projet'!$E$10+1,1))-AVERAGE(OFFSET($H$3,0,0,'Données projet'!$E$10+1,1))</f>
        <v>207.77463758757142</v>
      </c>
      <c r="AO52" s="59">
        <f t="shared" si="36"/>
        <v>180.50802165484066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8.4815031617427827</v>
      </c>
      <c r="AV52" s="21">
        <f>EXP(-LN(2)/25)*AV51+(1-EXP(-LN(2)/25))/(LN(2)/25)*Calculateur!AQ52*Calculateur!AS52*VLOOKUP('Données projet'!$B$10,Paramètres!$A$1:$I$89,3,0)*0.475*44/12</f>
        <v>30.798742192561434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39.280245354304213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17.399999999999999</v>
      </c>
      <c r="BD52" s="12">
        <f>IF('Données projet'!$A$88&gt;35,BD51+BC52-BL51,IF(A52&lt;'Données projet'!$A$88,$BA$205^A52,IF(A52='Données projet'!$A$88,'Données projet'!$B$88,BD51+BC52-BL51)))</f>
        <v>334.59999999999997</v>
      </c>
      <c r="BE52" s="13">
        <f>BD52*VLOOKUP('Données projet'!$B$11,Paramètres!$A$1:$I$89,3,0)*VLOOKUP('Données projet'!$B$11,Paramètres!$A$1:$I$89,5,0)</f>
        <v>200.0908</v>
      </c>
      <c r="BF52" s="13">
        <f t="shared" si="37"/>
        <v>49.764122289960234</v>
      </c>
      <c r="BG52" s="20">
        <f t="shared" si="7"/>
        <v>435.16398965501406</v>
      </c>
      <c r="BH52" s="59">
        <f t="shared" si="8"/>
        <v>728.49732298834738</v>
      </c>
      <c r="BI52" s="59">
        <f ca="1">AVERAGE(OFFSET($BH$3,0,0,'Données projet'!$E$11+1,1))-AVERAGE(OFFSET($H$3,0,0,'Données projet'!$E$11+1,1))</f>
        <v>393.01180019332998</v>
      </c>
      <c r="BJ52" s="59">
        <f t="shared" si="38"/>
        <v>283.82782416294748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15.456547601981374</v>
      </c>
      <c r="BQ52" s="21">
        <f>EXP(-LN(2)/25)*BQ51+(1-EXP(-LN(2)/25))/(LN(2)/25)*Calculateur!BL52*Calculateur!BN52*VLOOKUP('Données projet'!$B$11,Paramètres!$A$1:$I$89,3,0)*0.475*44/12</f>
        <v>27.265550663315747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42.72209826529712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17.399999999999999</v>
      </c>
      <c r="BY52" s="12">
        <f>IF('Données projet'!$A$114&gt;35,BY51+BX52-CG51,IF(A52&lt;'Données projet'!$A$114,$BV$205^A52,IF(A52='Données projet'!$A$114,'Données projet'!$B$114,BY51+BX52-CG51)))</f>
        <v>334.59999999999997</v>
      </c>
      <c r="BZ52" s="13">
        <f>BY52*VLOOKUP('Données projet'!$B$12,Paramètres!$A$1:$I$89,3,0)*VLOOKUP('Données projet'!$B$12,Paramètres!$A$1:$I$89,5,0)</f>
        <v>200.0908</v>
      </c>
      <c r="CA52" s="13">
        <f t="shared" si="39"/>
        <v>49.764122289960234</v>
      </c>
      <c r="CB52" s="20">
        <f t="shared" si="10"/>
        <v>435.16398965501406</v>
      </c>
      <c r="CC52" s="59">
        <f t="shared" si="11"/>
        <v>728.49732298834738</v>
      </c>
      <c r="CD52" s="59">
        <f ca="1">AVERAGE(OFFSET($CC$3,0,0,'Données projet'!$E$12+1,1))-AVERAGE(OFFSET($H$3,0,0,'Données projet'!$E$12+1,1))</f>
        <v>393.01180019332998</v>
      </c>
      <c r="CE52" s="59">
        <f t="shared" si="40"/>
        <v>283.82782416294748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15.456547601981374</v>
      </c>
      <c r="CL52" s="21">
        <f>EXP(-LN(2)/25)*CL51+(1-EXP(-LN(2)/25))/(LN(2)/25)*Calculateur!CG52*Calculateur!CI52*VLOOKUP('Données projet'!$B$12,Paramètres!$A$1:$I$89,3,0)*0.475*44/12</f>
        <v>27.265550663315747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42.72209826529712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17.399999999999999</v>
      </c>
      <c r="CT52" s="12">
        <f>IF('Données projet'!$A$140&gt;35,CT51+CS52-DB51,IF(A52&lt;'Données projet'!$A$140,$CQ$205^A52,IF(A52='Données projet'!$A$140,'Données projet'!$B$140,CT51+CS52-DB51)))</f>
        <v>334.59999999999997</v>
      </c>
      <c r="CU52" s="17">
        <f>CT52*VLOOKUP('Données projet'!$B$13,Paramètres!$A$1:$I$89,3,0)*VLOOKUP('Données projet'!$B$13,Paramètres!$A$1:$I$89,5,0)</f>
        <v>200.0908</v>
      </c>
      <c r="CV52" s="13">
        <f t="shared" si="41"/>
        <v>49.764122289960234</v>
      </c>
      <c r="CW52" s="20">
        <f t="shared" si="13"/>
        <v>435.16398965501406</v>
      </c>
      <c r="CX52" s="59">
        <f t="shared" si="14"/>
        <v>728.49732298834738</v>
      </c>
      <c r="CY52" s="59">
        <f ca="1">AVERAGE(OFFSET($CX$3,0,0,'Données projet'!$E$13+1,1))-AVERAGE(OFFSET($H$3,0,0,'Données projet'!$E$13+1,1))</f>
        <v>393.01180019332998</v>
      </c>
      <c r="CZ52" s="59">
        <f t="shared" si="42"/>
        <v>283.82782416294748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15.456547601981374</v>
      </c>
      <c r="DG52" s="21">
        <f>EXP(-LN(2)/25)*DG51+(1-EXP(-LN(2)/25))/(LN(2)/25)*Calculateur!DB52*Calculateur!DD52*VLOOKUP('Données projet'!$B$13,Paramètres!$A$1:$I$89,3,0)*0.475*44/12</f>
        <v>27.265550663315747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42.72209826529712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17.399999999999999</v>
      </c>
      <c r="DO52" s="12">
        <f>IF('Données projet'!$A$166&gt;35,DO51+DN52-DW51,IF(A52&lt;'Données projet'!$A$166,$DL$205^A52,IF(A52='Données projet'!$A$166,'Données projet'!$B$166,DO51+DN52-DW51)))</f>
        <v>334.59999999999997</v>
      </c>
      <c r="DP52" s="17">
        <f>DO52*VLOOKUP('Données projet'!$B$14,Paramètres!$A$1:$I$89,3,0)*VLOOKUP('Données projet'!$B$14,Paramètres!$A$1:$I$89,5,0)</f>
        <v>200.0908</v>
      </c>
      <c r="DQ52" s="13">
        <f t="shared" si="43"/>
        <v>49.764122289960234</v>
      </c>
      <c r="DR52" s="20">
        <f t="shared" si="16"/>
        <v>435.16398965501406</v>
      </c>
      <c r="DS52" s="59">
        <f t="shared" si="17"/>
        <v>728.49732298834738</v>
      </c>
      <c r="DT52" s="59">
        <f ca="1">AVERAGE(OFFSET($DS$3,0,0,'Données projet'!$E$14+1,1))-AVERAGE(OFFSET($H$3,0,0,'Données projet'!$E$14+1,1))</f>
        <v>393.01180019332998</v>
      </c>
      <c r="DU52" s="59">
        <f t="shared" si="44"/>
        <v>283.82782416294748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15.456547601981374</v>
      </c>
      <c r="EB52" s="21">
        <f>EXP(-LN(2)/25)*EB51+(1-EXP(-LN(2)/25))/(LN(2)/25)*Calculateur!DW52*Calculateur!DY52*VLOOKUP('Données projet'!$B$14,Paramètres!$A$1:$I$89,3,0)*0.475*44/12</f>
        <v>27.265550663315747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42.72209826529712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5.7720000000000065</v>
      </c>
      <c r="D53" s="11">
        <f t="shared" si="32"/>
        <v>2.1690022541664686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12.259792953800876</v>
      </c>
      <c r="H53" s="67">
        <f t="shared" si="1"/>
        <v>270.49724559267332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311.82</v>
      </c>
      <c r="L53" s="12">
        <f>VLOOKUP(A53,'Données projet'!$A$35:$I$55,9,0)</f>
        <v>11.5</v>
      </c>
      <c r="M53" s="12">
        <f t="array" ref="M53">INDEX(L:L,MIN(IF(ISNUMBER(L53:L249),ROW(L53:L249),"")))</f>
        <v>11.5</v>
      </c>
      <c r="N53" s="13">
        <f>IF('Données projet'!$A$36&gt;35,N52+M53-V52,IF(A53&lt;'Données projet'!$A$36,$K$205^A53,IF(A53='Données projet'!$A$36,'Données projet'!$B$36,N52+M53-V52)))</f>
        <v>311.81999999999994</v>
      </c>
      <c r="O53" s="13">
        <f>N53*VLOOKUP('Données projet'!$B$9,Paramètres!$A$1:$I$89,3,0)*VLOOKUP('Données projet'!$B$9,Paramètres!$A$1:$I$89,5,0)</f>
        <v>145.93175999999997</v>
      </c>
      <c r="P53" s="13">
        <f t="shared" si="33"/>
        <v>37.65258920161326</v>
      </c>
      <c r="Q53" s="20">
        <f t="shared" si="53"/>
        <v>319.74274152614299</v>
      </c>
      <c r="R53" s="59">
        <f t="shared" si="0"/>
        <v>613.07607485947631</v>
      </c>
      <c r="S53" s="59">
        <f ca="1">AVERAGE(OFFSET($R$3,0,0,'Données projet'!$E$9+1,1))-AVERAGE(OFFSET($H$3,0,0,'Données projet'!$E$9+1,1))</f>
        <v>189.8770435341392</v>
      </c>
      <c r="T53" s="59">
        <f t="shared" si="34"/>
        <v>230.18380961122767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62.364000000000004</v>
      </c>
      <c r="W53" s="16">
        <f>IF(ISNA(VLOOKUP(A53,'Données projet'!$A$35:$I$55,5,0)),0%,VLOOKUP(A53,'Données projet'!$A$35:$I$55,5,0)*VLOOKUP('Données projet'!$B$9,Paramètres!$A$1:$I$89,7,0))</f>
        <v>0.38500000000000001</v>
      </c>
      <c r="X53" s="16">
        <f>IF(ISNA(VLOOKUP(A53,'Données projet'!$A$35:$I$55,6,0)),0%,VLOOKUP(A53,'Données projet'!$A$35:$I$55,6,0)*VLOOKUP('Données projet'!$B$9,Paramètres!$A$1:$I$89,7,0))</f>
        <v>0.16500000000000001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21.797668958862111</v>
      </c>
      <c r="AA53" s="21">
        <f>EXP(-LN(2)/25)*AA52+(1-EXP(-LN(2)/25))/(LN(2)/25)*Calculateur!V53*Calculateur!X53*VLOOKUP('Données projet'!$B$9,Paramètres!$A$1:$I$89,3,0)*0.475*44/12</f>
        <v>30.399858149612783</v>
      </c>
      <c r="AB53" s="21">
        <f>EXP(-LN(2)/2)*AB52+(1-EXP(-LN(2)/2))/(LN(2)/2)*V53*Y53*VLOOKUP('Données projet'!$B$9,Paramètres!$A$1:$I$89,3,0)*0.475*44/12</f>
        <v>0</v>
      </c>
      <c r="AC53" s="22">
        <f t="shared" si="3"/>
        <v>52.197527108474894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281.76201000000003</v>
      </c>
      <c r="AG53" s="12">
        <f>VLOOKUP(A53,'Données projet'!$A$61:$I$81,9,0)</f>
        <v>10.816200000000004</v>
      </c>
      <c r="AH53" s="12">
        <f t="array" ref="AH53">INDEX(AG:AG,MIN(IF(ISNUMBER(AG53:AG249),ROW(AG53:AG249),"")))</f>
        <v>10.816200000000004</v>
      </c>
      <c r="AI53" s="13">
        <f>IF('Données projet'!$A$62&gt;35,AI52+AH53-AQ52,IF(A53&lt;'Données projet'!$A$62,$AF$205^A53,IF(A53='Données projet'!$A$62,'Données projet'!$B$62,AI52+AH53-AQ52)))</f>
        <v>281.76200999999992</v>
      </c>
      <c r="AJ53" s="13">
        <f>AI53*VLOOKUP('Données projet'!$B$10,Paramètres!$A$1:$I$89,3,0)*VLOOKUP('Données projet'!$B$10,Paramètres!$A$1:$I$89,5,0)</f>
        <v>124.53880841999997</v>
      </c>
      <c r="AK53" s="13">
        <f t="shared" si="35"/>
        <v>32.731303656084258</v>
      </c>
      <c r="AL53" s="20">
        <f t="shared" si="4"/>
        <v>273.91211186584667</v>
      </c>
      <c r="AM53" s="59">
        <f t="shared" si="5"/>
        <v>567.24544519918004</v>
      </c>
      <c r="AN53" s="59">
        <f ca="1">AVERAGE(OFFSET($AM$3,0,0,'Données projet'!$E$10+1,1))-AVERAGE(OFFSET($H$3,0,0,'Données projet'!$E$10+1,1))</f>
        <v>207.77463758757142</v>
      </c>
      <c r="AO53" s="59">
        <f t="shared" si="36"/>
        <v>180.50802165484066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23.254830000000002</v>
      </c>
      <c r="AR53" s="16">
        <f>IF(ISNA(VLOOKUP(A53,'Données projet'!$A$61:$I$81,5,0)),0%,VLOOKUP(A53,'Données projet'!$A$61:$I$81,5,0)*VLOOKUP('Données projet'!$B$10,Paramètres!$A$1:$I$89,7,0))</f>
        <v>0.38500000000000001</v>
      </c>
      <c r="AS53" s="16">
        <f>IF(ISNA(VLOOKUP(A53,'Données projet'!$A$61:$I$81,6,0)),0%,VLOOKUP(A53,'Données projet'!$A$61:$I$81,6,0)*VLOOKUP('Données projet'!$B$10,Paramètres!$A$1:$I$89,7,0))</f>
        <v>0.16500000000000001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13.564765645398467</v>
      </c>
      <c r="AV53" s="21">
        <f>EXP(-LN(2)/25)*AV52+(1-EXP(-LN(2)/25))/(LN(2)/25)*Calculateur!AQ53*Calculateur!AS53*VLOOKUP('Données projet'!$B$10,Paramètres!$A$1:$I$89,3,0)*0.475*44/12</f>
        <v>32.197510392971346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45.762276038369812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352</v>
      </c>
      <c r="BB53" s="12">
        <f>VLOOKUP(A53,'Données projet'!$A$87:$I$107,9,0)</f>
        <v>17.399999999999999</v>
      </c>
      <c r="BC53" s="12">
        <f t="array" ref="BC53">INDEX(BB:BB,MIN(IF(ISNUMBER(BB53:BB249),ROW(BB53:BB249),"")))</f>
        <v>17.399999999999999</v>
      </c>
      <c r="BD53" s="12">
        <f>IF('Données projet'!$A$88&gt;35,BD52+BC53-BL52,IF(A53&lt;'Données projet'!$A$88,$BA$205^A53,IF(A53='Données projet'!$A$88,'Données projet'!$B$88,BD52+BC53-BL52)))</f>
        <v>351.99999999999994</v>
      </c>
      <c r="BE53" s="13">
        <f>BD53*VLOOKUP('Données projet'!$B$11,Paramètres!$A$1:$I$89,3,0)*VLOOKUP('Données projet'!$B$11,Paramètres!$A$1:$I$89,5,0)</f>
        <v>210.49599999999998</v>
      </c>
      <c r="BF53" s="13">
        <f t="shared" si="37"/>
        <v>52.043959291168463</v>
      </c>
      <c r="BG53" s="20">
        <f t="shared" si="7"/>
        <v>457.25709576545165</v>
      </c>
      <c r="BH53" s="59">
        <f t="shared" si="8"/>
        <v>750.59042909878497</v>
      </c>
      <c r="BI53" s="59">
        <f ca="1">AVERAGE(OFFSET($BH$3,0,0,'Données projet'!$E$11+1,1))-AVERAGE(OFFSET($H$3,0,0,'Données projet'!$E$11+1,1))</f>
        <v>393.01180019332998</v>
      </c>
      <c r="BJ53" s="59">
        <f t="shared" si="38"/>
        <v>283.82782416294748</v>
      </c>
      <c r="BK53" s="15">
        <f>IF(ISNA(VLOOKUP(A53,'Données projet'!$A$87:$I$107,3,0)),0,VLOOKUP(A53,'Données projet'!$A$87:$I$107,3,0))</f>
        <v>7</v>
      </c>
      <c r="BL53" s="15">
        <f>IF(ISNA(VLOOKUP(A53,'Données projet'!$A$87:$I$107,4,0)),0,VLOOKUP(A53,'Données projet'!$A$87:$I$107,4,0))</f>
        <v>53</v>
      </c>
      <c r="BM53" s="16">
        <f>IF(ISNA(VLOOKUP(A53,'Données projet'!$A$87:$I$107,5,0)),0%,VLOOKUP(A53,'Données projet'!$A$87:$I$107,5,0)*VLOOKUP('Données projet'!$B$11,Paramètres!$A$1:$I$89,7,0))</f>
        <v>0.31499999999999995</v>
      </c>
      <c r="BN53" s="16">
        <f>IF(ISNA(VLOOKUP(A53,'Données projet'!$A$87:$I$107,6,0)),0%,VLOOKUP(A53,'Données projet'!$A$87:$I$107,6,0)*VLOOKUP('Données projet'!$B$11,Paramètres!$A$1:$I$89,7,0))</f>
        <v>0.13500000000000001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28.397356294040407</v>
      </c>
      <c r="BQ53" s="21">
        <f>EXP(-LN(2)/25)*BQ52+(1-EXP(-LN(2)/25))/(LN(2)/25)*Calculateur!BL53*Calculateur!BN53*VLOOKUP('Données projet'!$B$11,Paramètres!$A$1:$I$89,3,0)*0.475*44/12</f>
        <v>32.173582406808436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60.570938700848842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352</v>
      </c>
      <c r="BW53" s="12">
        <f>VLOOKUP(A53,'Données projet'!$A$113:$I$133,9,0)</f>
        <v>17.399999999999999</v>
      </c>
      <c r="BX53" s="12">
        <f t="array" ref="BX53">INDEX(BW:BW,MIN(IF(ISNUMBER(BW53:BW249),ROW(BW53:BW249),"")))</f>
        <v>17.399999999999999</v>
      </c>
      <c r="BY53" s="12">
        <f>IF('Données projet'!$A$114&gt;35,BY52+BX53-CG52,IF(A53&lt;'Données projet'!$A$114,$BV$205^A53,IF(A53='Données projet'!$A$114,'Données projet'!$B$114,BY52+BX53-CG52)))</f>
        <v>351.99999999999994</v>
      </c>
      <c r="BZ53" s="13">
        <f>BY53*VLOOKUP('Données projet'!$B$12,Paramètres!$A$1:$I$89,3,0)*VLOOKUP('Données projet'!$B$12,Paramètres!$A$1:$I$89,5,0)</f>
        <v>210.49599999999998</v>
      </c>
      <c r="CA53" s="13">
        <f t="shared" si="39"/>
        <v>52.043959291168463</v>
      </c>
      <c r="CB53" s="20">
        <f t="shared" si="10"/>
        <v>457.25709576545165</v>
      </c>
      <c r="CC53" s="59">
        <f t="shared" si="11"/>
        <v>750.59042909878497</v>
      </c>
      <c r="CD53" s="59">
        <f ca="1">AVERAGE(OFFSET($CC$3,0,0,'Données projet'!$E$12+1,1))-AVERAGE(OFFSET($H$3,0,0,'Données projet'!$E$12+1,1))</f>
        <v>393.01180019332998</v>
      </c>
      <c r="CE53" s="59">
        <f t="shared" si="40"/>
        <v>283.82782416294748</v>
      </c>
      <c r="CF53" s="15">
        <f>IF(ISNA(VLOOKUP(A53,'Données projet'!$A$113:$I$133,3,0)),0,VLOOKUP(A53,'Données projet'!$A$113:$I$133,3,0))</f>
        <v>7</v>
      </c>
      <c r="CG53" s="15">
        <f>IF(ISNA(VLOOKUP(A53,'Données projet'!$A$113:$I$133,4,0)),0,VLOOKUP(A53,'Données projet'!$A$113:$I$133,4,0))</f>
        <v>53</v>
      </c>
      <c r="CH53" s="16">
        <f>IF(ISNA(VLOOKUP(A53,'Données projet'!$A$113:$I$133,5,0)),0%,VLOOKUP(A53,'Données projet'!$A$113:$I$133,5,0)*VLOOKUP('Données projet'!$B$12,Paramètres!$A$1:$I$89,7,0))</f>
        <v>0.31499999999999995</v>
      </c>
      <c r="CI53" s="16">
        <f>IF(ISNA(VLOOKUP(A53,'Données projet'!$A$113:$I$133,6,0)),0%,VLOOKUP(A53,'Données projet'!$A$113:$I$133,6,0)*VLOOKUP('Données projet'!$B$12,Paramètres!$A$1:$I$89,7,0))</f>
        <v>0.13500000000000001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28.397356294040407</v>
      </c>
      <c r="CL53" s="21">
        <f>EXP(-LN(2)/25)*CL52+(1-EXP(-LN(2)/25))/(LN(2)/25)*Calculateur!CG53*Calculateur!CI53*VLOOKUP('Données projet'!$B$12,Paramètres!$A$1:$I$89,3,0)*0.475*44/12</f>
        <v>32.173582406808436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60.570938700848842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352</v>
      </c>
      <c r="CR53" s="12">
        <f>VLOOKUP(A53,'Données projet'!$A$139:$I$159,9,0)</f>
        <v>17.399999999999999</v>
      </c>
      <c r="CS53" s="12">
        <f t="array" ref="CS53">INDEX(CR:CR,MIN(IF(ISNUMBER(CR53:CR249),ROW(CR53:CR249),"")))</f>
        <v>17.399999999999999</v>
      </c>
      <c r="CT53" s="12">
        <f>IF('Données projet'!$A$140&gt;35,CT52+CS53-DB52,IF(A53&lt;'Données projet'!$A$140,$CQ$205^A53,IF(A53='Données projet'!$A$140,'Données projet'!$B$140,CT52+CS53-DB52)))</f>
        <v>351.99999999999994</v>
      </c>
      <c r="CU53" s="17">
        <f>CT53*VLOOKUP('Données projet'!$B$13,Paramètres!$A$1:$I$89,3,0)*VLOOKUP('Données projet'!$B$13,Paramètres!$A$1:$I$89,5,0)</f>
        <v>210.49599999999998</v>
      </c>
      <c r="CV53" s="13">
        <f t="shared" si="41"/>
        <v>52.043959291168463</v>
      </c>
      <c r="CW53" s="20">
        <f t="shared" si="13"/>
        <v>457.25709576545165</v>
      </c>
      <c r="CX53" s="59">
        <f t="shared" si="14"/>
        <v>750.59042909878497</v>
      </c>
      <c r="CY53" s="59">
        <f ca="1">AVERAGE(OFFSET($CX$3,0,0,'Données projet'!$E$13+1,1))-AVERAGE(OFFSET($H$3,0,0,'Données projet'!$E$13+1,1))</f>
        <v>393.01180019332998</v>
      </c>
      <c r="CZ53" s="59">
        <f t="shared" si="42"/>
        <v>283.82782416294748</v>
      </c>
      <c r="DA53" s="15">
        <f>IF(ISNA(VLOOKUP(A53,'Données projet'!$A$139:$I$159,3,0)),0,VLOOKUP(A53,'Données projet'!$A$139:$I$159,3,0))</f>
        <v>7</v>
      </c>
      <c r="DB53" s="15">
        <f>IF(ISNA(VLOOKUP(A53,'Données projet'!$A$139:$I$159,4,0)),0,VLOOKUP(A53,'Données projet'!$A$139:$I$159,4,0))</f>
        <v>53</v>
      </c>
      <c r="DC53" s="16">
        <f>IF(ISNA(VLOOKUP(A53,'Données projet'!$A$139:$I$159,5,0)),0%,VLOOKUP(A53,'Données projet'!$A$139:$I$159,5,0)*VLOOKUP('Données projet'!$B$13,Paramètres!$A$1:$I$89,7,0))</f>
        <v>0.31499999999999995</v>
      </c>
      <c r="DD53" s="16">
        <f>IF(ISNA(VLOOKUP(A53,'Données projet'!$A$139:$I$159,6,0)),0%,VLOOKUP(A53,'Données projet'!$A$139:$I$159,6,0)*VLOOKUP('Données projet'!$B$13,Paramètres!$A$1:$I$89,7,0))</f>
        <v>0.13500000000000001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28.397356294040407</v>
      </c>
      <c r="DG53" s="21">
        <f>EXP(-LN(2)/25)*DG52+(1-EXP(-LN(2)/25))/(LN(2)/25)*Calculateur!DB53*Calculateur!DD53*VLOOKUP('Données projet'!$B$13,Paramètres!$A$1:$I$89,3,0)*0.475*44/12</f>
        <v>32.173582406808436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60.570938700848842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352</v>
      </c>
      <c r="DM53" s="12">
        <f>VLOOKUP(A53,'Données projet'!$A$165:$I$185,9,0)</f>
        <v>17.399999999999999</v>
      </c>
      <c r="DN53" s="12">
        <f t="array" ref="DN53">INDEX(DM:DM,MIN(IF(ISNUMBER(DM53:DM249),ROW(DM53:DM249),"")))</f>
        <v>17.399999999999999</v>
      </c>
      <c r="DO53" s="12">
        <f>IF('Données projet'!$A$166&gt;35,DO52+DN53-DW52,IF(A53&lt;'Données projet'!$A$166,$DL$205^A53,IF(A53='Données projet'!$A$166,'Données projet'!$B$166,DO52+DN53-DW52)))</f>
        <v>351.99999999999994</v>
      </c>
      <c r="DP53" s="17">
        <f>DO53*VLOOKUP('Données projet'!$B$14,Paramètres!$A$1:$I$89,3,0)*VLOOKUP('Données projet'!$B$14,Paramètres!$A$1:$I$89,5,0)</f>
        <v>210.49599999999998</v>
      </c>
      <c r="DQ53" s="13">
        <f t="shared" si="43"/>
        <v>52.043959291168463</v>
      </c>
      <c r="DR53" s="20">
        <f t="shared" si="16"/>
        <v>457.25709576545165</v>
      </c>
      <c r="DS53" s="59">
        <f t="shared" si="17"/>
        <v>750.59042909878497</v>
      </c>
      <c r="DT53" s="59">
        <f ca="1">AVERAGE(OFFSET($DS$3,0,0,'Données projet'!$E$14+1,1))-AVERAGE(OFFSET($H$3,0,0,'Données projet'!$E$14+1,1))</f>
        <v>393.01180019332998</v>
      </c>
      <c r="DU53" s="59">
        <f t="shared" si="44"/>
        <v>283.82782416294748</v>
      </c>
      <c r="DV53" s="15">
        <f>IF(ISNA(VLOOKUP(A53,'Données projet'!$A$165:$I$185,3,0)),0,VLOOKUP(A53,'Données projet'!$A$165:$I$185,3,0))</f>
        <v>7</v>
      </c>
      <c r="DW53" s="15">
        <f>IF(ISNA(VLOOKUP(A53,'Données projet'!$A$165:$I$185,4,0)),0,VLOOKUP(A53,'Données projet'!$A$165:$I$185,4,0))</f>
        <v>53</v>
      </c>
      <c r="DX53" s="16">
        <f>IF(ISNA(VLOOKUP(A53,'Données projet'!$A$165:$I$185,5,0)),0%,VLOOKUP(A53,'Données projet'!$A$165:$I$185,5,0)*VLOOKUP('Données projet'!$B$14,Paramètres!$A$1:$I$89,7,0))</f>
        <v>0.31499999999999995</v>
      </c>
      <c r="DY53" s="16">
        <f>IF(ISNA(VLOOKUP(A53,'Données projet'!$A$165:$I$185,6,0)),0%,VLOOKUP(A53,'Données projet'!$A$165:$I$185,6,0)*VLOOKUP('Données projet'!$B$14,Paramètres!$A$1:$I$89,7,0))</f>
        <v>0.13500000000000001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28.397356294040407</v>
      </c>
      <c r="EB53" s="21">
        <f>EXP(-LN(2)/25)*EB52+(1-EXP(-LN(2)/25))/(LN(2)/25)*Calculateur!DW53*Calculateur!DY53*VLOOKUP('Données projet'!$B$14,Paramètres!$A$1:$I$89,3,0)*0.475*44/12</f>
        <v>32.173582406808436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60.570938700848842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5.8874400000000069</v>
      </c>
      <c r="D54" s="11">
        <f t="shared" si="32"/>
        <v>2.2072885737720185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12.497124815648037</v>
      </c>
      <c r="H54" s="67">
        <f t="shared" si="1"/>
        <v>270.76498559931963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13.500000000000004</v>
      </c>
      <c r="N54" s="13">
        <f>IF('Données projet'!$A$36&gt;35,N53+M54-V53,IF(A54&lt;'Données projet'!$A$36,$K$205^A54,IF(A54='Données projet'!$A$36,'Données projet'!$B$36,N53+M54-V53)))</f>
        <v>262.9559999999999</v>
      </c>
      <c r="O54" s="13">
        <f>N54*VLOOKUP('Données projet'!$B$9,Paramètres!$A$1:$I$89,3,0)*VLOOKUP('Données projet'!$B$9,Paramètres!$A$1:$I$89,5,0)</f>
        <v>123.06340799999997</v>
      </c>
      <c r="P54" s="13">
        <f t="shared" si="33"/>
        <v>32.388437298911995</v>
      </c>
      <c r="Q54" s="20">
        <f t="shared" si="53"/>
        <v>270.74529722893834</v>
      </c>
      <c r="R54" s="59">
        <f t="shared" si="0"/>
        <v>564.07863056227166</v>
      </c>
      <c r="S54" s="59">
        <f ca="1">AVERAGE(OFFSET($R$3,0,0,'Données projet'!$E$9+1,1))-AVERAGE(OFFSET($H$3,0,0,'Données projet'!$E$9+1,1))</f>
        <v>189.8770435341392</v>
      </c>
      <c r="T54" s="59">
        <f t="shared" si="34"/>
        <v>230.18380961122767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21.370229965844093</v>
      </c>
      <c r="AA54" s="21">
        <f>EXP(-LN(2)/25)*AA53+(1-EXP(-LN(2)/25))/(LN(2)/25)*Calculateur!V54*Calculateur!X54*VLOOKUP('Données projet'!$B$9,Paramètres!$A$1:$I$89,3,0)*0.475*44/12</f>
        <v>29.568572429852562</v>
      </c>
      <c r="AB54" s="21">
        <f>EXP(-LN(2)/2)*AB53+(1-EXP(-LN(2)/2))/(LN(2)/2)*V54*Y54*VLOOKUP('Données projet'!$B$9,Paramètres!$A$1:$I$89,3,0)*0.475*44/12</f>
        <v>0</v>
      </c>
      <c r="AC54" s="22">
        <f t="shared" si="3"/>
        <v>50.938802395696655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9.518256000000008</v>
      </c>
      <c r="AI54" s="13">
        <f>IF('Données projet'!$A$62&gt;35,AI53+AH54-AQ53,IF(A54&lt;'Données projet'!$A$62,$AF$205^A54,IF(A54='Données projet'!$A$62,'Données projet'!$B$62,AI53+AH54-AQ53)))</f>
        <v>268.0254359999999</v>
      </c>
      <c r="AJ54" s="13">
        <f>AI54*VLOOKUP('Données projet'!$B$10,Paramètres!$A$1:$I$89,3,0)*VLOOKUP('Données projet'!$B$10,Paramètres!$A$1:$I$89,5,0)</f>
        <v>118.46724271199997</v>
      </c>
      <c r="AK54" s="13">
        <f t="shared" si="35"/>
        <v>31.31724180176165</v>
      </c>
      <c r="AL54" s="20">
        <f t="shared" si="4"/>
        <v>260.87464386146814</v>
      </c>
      <c r="AM54" s="59">
        <f t="shared" si="5"/>
        <v>554.20797719480151</v>
      </c>
      <c r="AN54" s="59">
        <f ca="1">AVERAGE(OFFSET($AM$3,0,0,'Données projet'!$E$10+1,1))-AVERAGE(OFFSET($H$3,0,0,'Données projet'!$E$10+1,1))</f>
        <v>207.77463758757142</v>
      </c>
      <c r="AO54" s="59">
        <f t="shared" si="36"/>
        <v>180.50802165484066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13.298768864782287</v>
      </c>
      <c r="AV54" s="21">
        <f>EXP(-LN(2)/25)*AV53+(1-EXP(-LN(2)/25))/(LN(2)/25)*Calculateur!AQ54*Calculateur!AS54*VLOOKUP('Données projet'!$B$10,Paramètres!$A$1:$I$89,3,0)*0.475*44/12</f>
        <v>31.317067778082063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44.615836642864352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17.625</v>
      </c>
      <c r="BD54" s="12">
        <f>IF('Données projet'!$A$88&gt;35,BD53+BC54-BL53,IF(A54&lt;'Données projet'!$A$88,$BA$205^A54,IF(A54='Données projet'!$A$88,'Données projet'!$B$88,BD53+BC54-BL53)))</f>
        <v>316.62499999999994</v>
      </c>
      <c r="BE54" s="13">
        <f>BD54*VLOOKUP('Données projet'!$B$11,Paramètres!$A$1:$I$89,3,0)*VLOOKUP('Données projet'!$B$11,Paramètres!$A$1:$I$89,5,0)</f>
        <v>189.34174999999999</v>
      </c>
      <c r="BF54" s="13">
        <f t="shared" si="37"/>
        <v>47.394393740797923</v>
      </c>
      <c r="BG54" s="20">
        <f t="shared" si="7"/>
        <v>412.31545034855634</v>
      </c>
      <c r="BH54" s="59">
        <f t="shared" si="8"/>
        <v>705.64878368188965</v>
      </c>
      <c r="BI54" s="59">
        <f ca="1">AVERAGE(OFFSET($BH$3,0,0,'Données projet'!$E$11+1,1))-AVERAGE(OFFSET($H$3,0,0,'Données projet'!$E$11+1,1))</f>
        <v>393.01180019332998</v>
      </c>
      <c r="BJ54" s="59">
        <f t="shared" si="38"/>
        <v>283.82782416294748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27.840501457791337</v>
      </c>
      <c r="BQ54" s="21">
        <f>EXP(-LN(2)/25)*BQ53+(1-EXP(-LN(2)/25))/(LN(2)/25)*Calculateur!BL54*Calculateur!BN54*VLOOKUP('Données projet'!$B$11,Paramètres!$A$1:$I$89,3,0)*0.475*44/12</f>
        <v>31.293794103959094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59.134295561750434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17.625</v>
      </c>
      <c r="BY54" s="12">
        <f>IF('Données projet'!$A$114&gt;35,BY53+BX54-CG53,IF(A54&lt;'Données projet'!$A$114,$BV$205^A54,IF(A54='Données projet'!$A$114,'Données projet'!$B$114,BY53+BX54-CG53)))</f>
        <v>316.62499999999994</v>
      </c>
      <c r="BZ54" s="13">
        <f>BY54*VLOOKUP('Données projet'!$B$12,Paramètres!$A$1:$I$89,3,0)*VLOOKUP('Données projet'!$B$12,Paramètres!$A$1:$I$89,5,0)</f>
        <v>189.34174999999999</v>
      </c>
      <c r="CA54" s="13">
        <f t="shared" si="39"/>
        <v>47.394393740797923</v>
      </c>
      <c r="CB54" s="20">
        <f t="shared" si="10"/>
        <v>412.31545034855634</v>
      </c>
      <c r="CC54" s="59">
        <f t="shared" si="11"/>
        <v>705.64878368188965</v>
      </c>
      <c r="CD54" s="59">
        <f ca="1">AVERAGE(OFFSET($CC$3,0,0,'Données projet'!$E$12+1,1))-AVERAGE(OFFSET($H$3,0,0,'Données projet'!$E$12+1,1))</f>
        <v>393.01180019332998</v>
      </c>
      <c r="CE54" s="59">
        <f t="shared" si="40"/>
        <v>283.82782416294748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27.840501457791337</v>
      </c>
      <c r="CL54" s="21">
        <f>EXP(-LN(2)/25)*CL53+(1-EXP(-LN(2)/25))/(LN(2)/25)*Calculateur!CG54*Calculateur!CI54*VLOOKUP('Données projet'!$B$12,Paramètres!$A$1:$I$89,3,0)*0.475*44/12</f>
        <v>31.293794103959094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59.134295561750434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17.625</v>
      </c>
      <c r="CT54" s="12">
        <f>IF('Données projet'!$A$140&gt;35,CT53+CS54-DB53,IF(A54&lt;'Données projet'!$A$140,$CQ$205^A54,IF(A54='Données projet'!$A$140,'Données projet'!$B$140,CT53+CS54-DB53)))</f>
        <v>316.62499999999994</v>
      </c>
      <c r="CU54" s="17">
        <f>CT54*VLOOKUP('Données projet'!$B$13,Paramètres!$A$1:$I$89,3,0)*VLOOKUP('Données projet'!$B$13,Paramètres!$A$1:$I$89,5,0)</f>
        <v>189.34174999999999</v>
      </c>
      <c r="CV54" s="13">
        <f t="shared" si="41"/>
        <v>47.394393740797923</v>
      </c>
      <c r="CW54" s="20">
        <f t="shared" si="13"/>
        <v>412.31545034855634</v>
      </c>
      <c r="CX54" s="59">
        <f t="shared" si="14"/>
        <v>705.64878368188965</v>
      </c>
      <c r="CY54" s="59">
        <f ca="1">AVERAGE(OFFSET($CX$3,0,0,'Données projet'!$E$13+1,1))-AVERAGE(OFFSET($H$3,0,0,'Données projet'!$E$13+1,1))</f>
        <v>393.01180019332998</v>
      </c>
      <c r="CZ54" s="59">
        <f t="shared" si="42"/>
        <v>283.82782416294748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27.840501457791337</v>
      </c>
      <c r="DG54" s="21">
        <f>EXP(-LN(2)/25)*DG53+(1-EXP(-LN(2)/25))/(LN(2)/25)*Calculateur!DB54*Calculateur!DD54*VLOOKUP('Données projet'!$B$13,Paramètres!$A$1:$I$89,3,0)*0.475*44/12</f>
        <v>31.293794103959094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59.134295561750434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17.625</v>
      </c>
      <c r="DO54" s="12">
        <f>IF('Données projet'!$A$166&gt;35,DO53+DN54-DW53,IF(A54&lt;'Données projet'!$A$166,$DL$205^A54,IF(A54='Données projet'!$A$166,'Données projet'!$B$166,DO53+DN54-DW53)))</f>
        <v>316.62499999999994</v>
      </c>
      <c r="DP54" s="17">
        <f>DO54*VLOOKUP('Données projet'!$B$14,Paramètres!$A$1:$I$89,3,0)*VLOOKUP('Données projet'!$B$14,Paramètres!$A$1:$I$89,5,0)</f>
        <v>189.34174999999999</v>
      </c>
      <c r="DQ54" s="13">
        <f t="shared" si="43"/>
        <v>47.394393740797923</v>
      </c>
      <c r="DR54" s="20">
        <f t="shared" si="16"/>
        <v>412.31545034855634</v>
      </c>
      <c r="DS54" s="59">
        <f t="shared" si="17"/>
        <v>705.64878368188965</v>
      </c>
      <c r="DT54" s="59">
        <f ca="1">AVERAGE(OFFSET($DS$3,0,0,'Données projet'!$E$14+1,1))-AVERAGE(OFFSET($H$3,0,0,'Données projet'!$E$14+1,1))</f>
        <v>393.01180019332998</v>
      </c>
      <c r="DU54" s="59">
        <f t="shared" si="44"/>
        <v>283.82782416294748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27.840501457791337</v>
      </c>
      <c r="EB54" s="21">
        <f>EXP(-LN(2)/25)*EB53+(1-EXP(-LN(2)/25))/(LN(2)/25)*Calculateur!DW54*Calculateur!DY54*VLOOKUP('Données projet'!$B$14,Paramètres!$A$1:$I$89,3,0)*0.475*44/12</f>
        <v>31.293794103959094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59.134295561750434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6.0028800000000073</v>
      </c>
      <c r="D55" s="11">
        <f t="shared" si="32"/>
        <v>2.2454876042142535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12.734321915278159</v>
      </c>
      <c r="H55" s="67">
        <f t="shared" si="1"/>
        <v>271.03257357733986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13.500000000000004</v>
      </c>
      <c r="N55" s="13">
        <f>IF('Données projet'!$A$36&gt;35,N54+M55-V54,IF(A55&lt;'Données projet'!$A$36,$K$205^A55,IF(A55='Données projet'!$A$36,'Données projet'!$B$36,N54+M55-V54)))</f>
        <v>276.4559999999999</v>
      </c>
      <c r="O55" s="13">
        <f>N55*VLOOKUP('Données projet'!$B$9,Paramètres!$A$1:$I$89,3,0)*VLOOKUP('Données projet'!$B$9,Paramètres!$A$1:$I$89,5,0)</f>
        <v>129.38140799999996</v>
      </c>
      <c r="P55" s="13">
        <f t="shared" si="33"/>
        <v>33.853381227971028</v>
      </c>
      <c r="Q55" s="20">
        <f t="shared" si="53"/>
        <v>284.30059123871615</v>
      </c>
      <c r="R55" s="59">
        <f t="shared" si="0"/>
        <v>577.63392457204941</v>
      </c>
      <c r="S55" s="59">
        <f ca="1">AVERAGE(OFFSET($R$3,0,0,'Données projet'!$E$9+1,1))-AVERAGE(OFFSET($H$3,0,0,'Données projet'!$E$9+1,1))</f>
        <v>189.8770435341392</v>
      </c>
      <c r="T55" s="59">
        <f t="shared" si="34"/>
        <v>230.18380961122767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20.951172790767114</v>
      </c>
      <c r="AA55" s="21">
        <f>EXP(-LN(2)/25)*AA54+(1-EXP(-LN(2)/25))/(LN(2)/25)*Calculateur!V55*Calculateur!X55*VLOOKUP('Données projet'!$B$9,Paramètres!$A$1:$I$89,3,0)*0.475*44/12</f>
        <v>28.760018261814601</v>
      </c>
      <c r="AB55" s="21">
        <f>EXP(-LN(2)/2)*AB54+(1-EXP(-LN(2)/2))/(LN(2)/2)*V55*Y55*VLOOKUP('Données projet'!$B$9,Paramètres!$A$1:$I$89,3,0)*0.475*44/12</f>
        <v>0</v>
      </c>
      <c r="AC55" s="22">
        <f t="shared" si="3"/>
        <v>49.711191052581711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9.518256000000008</v>
      </c>
      <c r="AI55" s="13">
        <f>IF('Données projet'!$A$62&gt;35,AI54+AH55-AQ54,IF(A55&lt;'Données projet'!$A$62,$AF$205^A55,IF(A55='Données projet'!$A$62,'Données projet'!$B$62,AI54+AH55-AQ54)))</f>
        <v>277.54369199999991</v>
      </c>
      <c r="AJ55" s="13">
        <f>AI55*VLOOKUP('Données projet'!$B$10,Paramètres!$A$1:$I$89,3,0)*VLOOKUP('Données projet'!$B$10,Paramètres!$A$1:$I$89,5,0)</f>
        <v>122.67431186399996</v>
      </c>
      <c r="AK55" s="13">
        <f t="shared" si="35"/>
        <v>32.297936234986594</v>
      </c>
      <c r="AL55" s="20">
        <f t="shared" si="4"/>
        <v>269.90999877240154</v>
      </c>
      <c r="AM55" s="59">
        <f t="shared" si="5"/>
        <v>563.24333210573491</v>
      </c>
      <c r="AN55" s="59">
        <f ca="1">AVERAGE(OFFSET($AM$3,0,0,'Données projet'!$E$10+1,1))-AVERAGE(OFFSET($H$3,0,0,'Données projet'!$E$10+1,1))</f>
        <v>207.77463758757142</v>
      </c>
      <c r="AO55" s="59">
        <f t="shared" si="36"/>
        <v>180.50802165484066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13.037988118791976</v>
      </c>
      <c r="AV55" s="21">
        <f>EXP(-LN(2)/25)*AV54+(1-EXP(-LN(2)/25))/(LN(2)/25)*Calculateur!AQ55*Calculateur!AS55*VLOOKUP('Données projet'!$B$10,Paramètres!$A$1:$I$89,3,0)*0.475*44/12</f>
        <v>30.460700912797389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43.498689031589365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17.625</v>
      </c>
      <c r="BD55" s="12">
        <f>IF('Données projet'!$A$88&gt;35,BD54+BC55-BL54,IF(A55&lt;'Données projet'!$A$88,$BA$205^A55,IF(A55='Données projet'!$A$88,'Données projet'!$B$88,BD54+BC55-BL54)))</f>
        <v>334.24999999999994</v>
      </c>
      <c r="BE55" s="13">
        <f>BD55*VLOOKUP('Données projet'!$B$11,Paramètres!$A$1:$I$89,3,0)*VLOOKUP('Données projet'!$B$11,Paramètres!$A$1:$I$89,5,0)</f>
        <v>199.88149999999996</v>
      </c>
      <c r="BF55" s="13">
        <f t="shared" si="37"/>
        <v>49.71812411377941</v>
      </c>
      <c r="BG55" s="20">
        <f t="shared" si="7"/>
        <v>434.71934533149914</v>
      </c>
      <c r="BH55" s="59">
        <f t="shared" si="8"/>
        <v>728.05267866483246</v>
      </c>
      <c r="BI55" s="59">
        <f ca="1">AVERAGE(OFFSET($BH$3,0,0,'Données projet'!$E$11+1,1))-AVERAGE(OFFSET($H$3,0,0,'Données projet'!$E$11+1,1))</f>
        <v>393.01180019332998</v>
      </c>
      <c r="BJ55" s="59">
        <f t="shared" si="38"/>
        <v>283.82782416294748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27.294566205233203</v>
      </c>
      <c r="BQ55" s="21">
        <f>EXP(-LN(2)/25)*BQ54+(1-EXP(-LN(2)/25))/(LN(2)/25)*Calculateur!BL55*Calculateur!BN55*VLOOKUP('Données projet'!$B$11,Paramètres!$A$1:$I$89,3,0)*0.475*44/12</f>
        <v>30.438063658517223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57.732629863750425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17.625</v>
      </c>
      <c r="BY55" s="12">
        <f>IF('Données projet'!$A$114&gt;35,BY54+BX55-CG54,IF(A55&lt;'Données projet'!$A$114,$BV$205^A55,IF(A55='Données projet'!$A$114,'Données projet'!$B$114,BY54+BX55-CG54)))</f>
        <v>334.24999999999994</v>
      </c>
      <c r="BZ55" s="13">
        <f>BY55*VLOOKUP('Données projet'!$B$12,Paramètres!$A$1:$I$89,3,0)*VLOOKUP('Données projet'!$B$12,Paramètres!$A$1:$I$89,5,0)</f>
        <v>199.88149999999996</v>
      </c>
      <c r="CA55" s="13">
        <f t="shared" si="39"/>
        <v>49.71812411377941</v>
      </c>
      <c r="CB55" s="20">
        <f t="shared" si="10"/>
        <v>434.71934533149914</v>
      </c>
      <c r="CC55" s="59">
        <f t="shared" si="11"/>
        <v>728.05267866483246</v>
      </c>
      <c r="CD55" s="59">
        <f ca="1">AVERAGE(OFFSET($CC$3,0,0,'Données projet'!$E$12+1,1))-AVERAGE(OFFSET($H$3,0,0,'Données projet'!$E$12+1,1))</f>
        <v>393.01180019332998</v>
      </c>
      <c r="CE55" s="59">
        <f t="shared" si="40"/>
        <v>283.82782416294748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27.294566205233203</v>
      </c>
      <c r="CL55" s="21">
        <f>EXP(-LN(2)/25)*CL54+(1-EXP(-LN(2)/25))/(LN(2)/25)*Calculateur!CG55*Calculateur!CI55*VLOOKUP('Données projet'!$B$12,Paramètres!$A$1:$I$89,3,0)*0.475*44/12</f>
        <v>30.438063658517223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57.732629863750425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17.625</v>
      </c>
      <c r="CT55" s="12">
        <f>IF('Données projet'!$A$140&gt;35,CT54+CS55-DB54,IF(A55&lt;'Données projet'!$A$140,$CQ$205^A55,IF(A55='Données projet'!$A$140,'Données projet'!$B$140,CT54+CS55-DB54)))</f>
        <v>334.24999999999994</v>
      </c>
      <c r="CU55" s="17">
        <f>CT55*VLOOKUP('Données projet'!$B$13,Paramètres!$A$1:$I$89,3,0)*VLOOKUP('Données projet'!$B$13,Paramètres!$A$1:$I$89,5,0)</f>
        <v>199.88149999999996</v>
      </c>
      <c r="CV55" s="13">
        <f t="shared" si="41"/>
        <v>49.71812411377941</v>
      </c>
      <c r="CW55" s="20">
        <f t="shared" si="13"/>
        <v>434.71934533149914</v>
      </c>
      <c r="CX55" s="59">
        <f t="shared" si="14"/>
        <v>728.05267866483246</v>
      </c>
      <c r="CY55" s="59">
        <f ca="1">AVERAGE(OFFSET($CX$3,0,0,'Données projet'!$E$13+1,1))-AVERAGE(OFFSET($H$3,0,0,'Données projet'!$E$13+1,1))</f>
        <v>393.01180019332998</v>
      </c>
      <c r="CZ55" s="59">
        <f t="shared" si="42"/>
        <v>283.82782416294748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27.294566205233203</v>
      </c>
      <c r="DG55" s="21">
        <f>EXP(-LN(2)/25)*DG54+(1-EXP(-LN(2)/25))/(LN(2)/25)*Calculateur!DB55*Calculateur!DD55*VLOOKUP('Données projet'!$B$13,Paramètres!$A$1:$I$89,3,0)*0.475*44/12</f>
        <v>30.438063658517223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57.732629863750425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17.625</v>
      </c>
      <c r="DO55" s="12">
        <f>IF('Données projet'!$A$166&gt;35,DO54+DN55-DW54,IF(A55&lt;'Données projet'!$A$166,$DL$205^A55,IF(A55='Données projet'!$A$166,'Données projet'!$B$166,DO54+DN55-DW54)))</f>
        <v>334.24999999999994</v>
      </c>
      <c r="DP55" s="17">
        <f>DO55*VLOOKUP('Données projet'!$B$14,Paramètres!$A$1:$I$89,3,0)*VLOOKUP('Données projet'!$B$14,Paramètres!$A$1:$I$89,5,0)</f>
        <v>199.88149999999996</v>
      </c>
      <c r="DQ55" s="13">
        <f t="shared" si="43"/>
        <v>49.71812411377941</v>
      </c>
      <c r="DR55" s="20">
        <f t="shared" si="16"/>
        <v>434.71934533149914</v>
      </c>
      <c r="DS55" s="59">
        <f t="shared" si="17"/>
        <v>728.05267866483246</v>
      </c>
      <c r="DT55" s="59">
        <f ca="1">AVERAGE(OFFSET($DS$3,0,0,'Données projet'!$E$14+1,1))-AVERAGE(OFFSET($H$3,0,0,'Données projet'!$E$14+1,1))</f>
        <v>393.01180019332998</v>
      </c>
      <c r="DU55" s="59">
        <f t="shared" si="44"/>
        <v>283.82782416294748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27.294566205233203</v>
      </c>
      <c r="EB55" s="21">
        <f>EXP(-LN(2)/25)*EB54+(1-EXP(-LN(2)/25))/(LN(2)/25)*Calculateur!DW55*Calculateur!DY55*VLOOKUP('Données projet'!$B$14,Paramètres!$A$1:$I$89,3,0)*0.475*44/12</f>
        <v>30.438063658517223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57.732629863750425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6.1183200000000078</v>
      </c>
      <c r="D56" s="11">
        <f t="shared" si="32"/>
        <v>2.2836012176612668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12.971387143056004</v>
      </c>
      <c r="H56" s="67">
        <f t="shared" si="1"/>
        <v>271.30001278742674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13.500000000000004</v>
      </c>
      <c r="N56" s="13">
        <f>IF('Données projet'!$A$36&gt;35,N55+M56-V55,IF(A56&lt;'Données projet'!$A$36,$K$205^A56,IF(A56='Données projet'!$A$36,'Données projet'!$B$36,N55+M56-V55)))</f>
        <v>289.9559999999999</v>
      </c>
      <c r="O56" s="13">
        <f>N56*VLOOKUP('Données projet'!$B$9,Paramètres!$A$1:$I$89,3,0)*VLOOKUP('Données projet'!$B$9,Paramètres!$A$1:$I$89,5,0)</f>
        <v>135.69940799999995</v>
      </c>
      <c r="P56" s="13">
        <f t="shared" si="33"/>
        <v>35.310018422992826</v>
      </c>
      <c r="Q56" s="20">
        <f t="shared" si="53"/>
        <v>297.84141768671242</v>
      </c>
      <c r="R56" s="59">
        <f t="shared" si="0"/>
        <v>591.17475102004573</v>
      </c>
      <c r="S56" s="59">
        <f ca="1">AVERAGE(OFFSET($R$3,0,0,'Données projet'!$E$9+1,1))-AVERAGE(OFFSET($H$3,0,0,'Données projet'!$E$9+1,1))</f>
        <v>189.8770435341392</v>
      </c>
      <c r="T56" s="59">
        <f t="shared" si="34"/>
        <v>230.18380961122767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20.540333071293755</v>
      </c>
      <c r="AA56" s="21">
        <f>EXP(-LN(2)/25)*AA55+(1-EXP(-LN(2)/25))/(LN(2)/25)*Calculateur!V56*Calculateur!X56*VLOOKUP('Données projet'!$B$9,Paramètres!$A$1:$I$89,3,0)*0.475*44/12</f>
        <v>27.973574050021654</v>
      </c>
      <c r="AB56" s="21">
        <f>EXP(-LN(2)/2)*AB55+(1-EXP(-LN(2)/2))/(LN(2)/2)*V56*Y56*VLOOKUP('Données projet'!$B$9,Paramètres!$A$1:$I$89,3,0)*0.475*44/12</f>
        <v>0</v>
      </c>
      <c r="AC56" s="22">
        <f t="shared" si="3"/>
        <v>48.513907121315412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9.518256000000008</v>
      </c>
      <c r="AI56" s="13">
        <f>IF('Données projet'!$A$62&gt;35,AI55+AH56-AQ55,IF(A56&lt;'Données projet'!$A$62,$AF$205^A56,IF(A56='Données projet'!$A$62,'Données projet'!$B$62,AI55+AH56-AQ55)))</f>
        <v>287.06194799999992</v>
      </c>
      <c r="AJ56" s="13">
        <f>AI56*VLOOKUP('Données projet'!$B$10,Paramètres!$A$1:$I$89,3,0)*VLOOKUP('Données projet'!$B$10,Paramètres!$A$1:$I$89,5,0)</f>
        <v>126.88138101599998</v>
      </c>
      <c r="AK56" s="13">
        <f t="shared" si="35"/>
        <v>33.274722834181738</v>
      </c>
      <c r="AL56" s="20">
        <f t="shared" si="4"/>
        <v>278.93854753906652</v>
      </c>
      <c r="AM56" s="59">
        <f t="shared" si="5"/>
        <v>572.27188087239983</v>
      </c>
      <c r="AN56" s="59">
        <f ca="1">AVERAGE(OFFSET($AM$3,0,0,'Données projet'!$E$10+1,1))-AVERAGE(OFFSET($H$3,0,0,'Données projet'!$E$10+1,1))</f>
        <v>207.77463758757142</v>
      </c>
      <c r="AO56" s="59">
        <f t="shared" si="36"/>
        <v>180.50802165484066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12.782321124169984</v>
      </c>
      <c r="AV56" s="21">
        <f>EXP(-LN(2)/25)*AV55+(1-EXP(-LN(2)/25))/(LN(2)/25)*Calculateur!AQ56*Calculateur!AS56*VLOOKUP('Données projet'!$B$10,Paramètres!$A$1:$I$89,3,0)*0.475*44/12</f>
        <v>29.627751444478303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42.410072568648289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17.625</v>
      </c>
      <c r="BD56" s="12">
        <f>IF('Données projet'!$A$88&gt;35,BD55+BC56-BL55,IF(A56&lt;'Données projet'!$A$88,$BA$205^A56,IF(A56='Données projet'!$A$88,'Données projet'!$B$88,BD55+BC56-BL55)))</f>
        <v>351.87499999999994</v>
      </c>
      <c r="BE56" s="13">
        <f>BD56*VLOOKUP('Données projet'!$B$11,Paramètres!$A$1:$I$89,3,0)*VLOOKUP('Données projet'!$B$11,Paramètres!$A$1:$I$89,5,0)</f>
        <v>210.42124999999999</v>
      </c>
      <c r="BF56" s="13">
        <f t="shared" si="37"/>
        <v>52.027628682866947</v>
      </c>
      <c r="BG56" s="20">
        <f t="shared" si="7"/>
        <v>457.09846370599325</v>
      </c>
      <c r="BH56" s="59">
        <f t="shared" si="8"/>
        <v>750.43179703932651</v>
      </c>
      <c r="BI56" s="59">
        <f ca="1">AVERAGE(OFFSET($BH$3,0,0,'Données projet'!$E$11+1,1))-AVERAGE(OFFSET($H$3,0,0,'Données projet'!$E$11+1,1))</f>
        <v>393.01180019332998</v>
      </c>
      <c r="BJ56" s="59">
        <f t="shared" si="38"/>
        <v>283.82782416294748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26.759336409990109</v>
      </c>
      <c r="BQ56" s="21">
        <f>EXP(-LN(2)/25)*BQ55+(1-EXP(-LN(2)/25))/(LN(2)/25)*Calculateur!BL56*Calculateur!BN56*VLOOKUP('Données projet'!$B$11,Paramètres!$A$1:$I$89,3,0)*0.475*44/12</f>
        <v>29.605733207106869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56.365069617096978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17.625</v>
      </c>
      <c r="BY56" s="12">
        <f>IF('Données projet'!$A$114&gt;35,BY55+BX56-CG55,IF(A56&lt;'Données projet'!$A$114,$BV$205^A56,IF(A56='Données projet'!$A$114,'Données projet'!$B$114,BY55+BX56-CG55)))</f>
        <v>351.87499999999994</v>
      </c>
      <c r="BZ56" s="13">
        <f>BY56*VLOOKUP('Données projet'!$B$12,Paramètres!$A$1:$I$89,3,0)*VLOOKUP('Données projet'!$B$12,Paramètres!$A$1:$I$89,5,0)</f>
        <v>210.42124999999999</v>
      </c>
      <c r="CA56" s="13">
        <f t="shared" si="39"/>
        <v>52.027628682866947</v>
      </c>
      <c r="CB56" s="20">
        <f t="shared" si="10"/>
        <v>457.09846370599325</v>
      </c>
      <c r="CC56" s="59">
        <f t="shared" si="11"/>
        <v>750.43179703932651</v>
      </c>
      <c r="CD56" s="59">
        <f ca="1">AVERAGE(OFFSET($CC$3,0,0,'Données projet'!$E$12+1,1))-AVERAGE(OFFSET($H$3,0,0,'Données projet'!$E$12+1,1))</f>
        <v>393.01180019332998</v>
      </c>
      <c r="CE56" s="59">
        <f t="shared" si="40"/>
        <v>283.82782416294748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26.759336409990109</v>
      </c>
      <c r="CL56" s="21">
        <f>EXP(-LN(2)/25)*CL55+(1-EXP(-LN(2)/25))/(LN(2)/25)*Calculateur!CG56*Calculateur!CI56*VLOOKUP('Données projet'!$B$12,Paramètres!$A$1:$I$89,3,0)*0.475*44/12</f>
        <v>29.605733207106869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56.365069617096978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17.625</v>
      </c>
      <c r="CT56" s="12">
        <f>IF('Données projet'!$A$140&gt;35,CT55+CS56-DB55,IF(A56&lt;'Données projet'!$A$140,$CQ$205^A56,IF(A56='Données projet'!$A$140,'Données projet'!$B$140,CT55+CS56-DB55)))</f>
        <v>351.87499999999994</v>
      </c>
      <c r="CU56" s="17">
        <f>CT56*VLOOKUP('Données projet'!$B$13,Paramètres!$A$1:$I$89,3,0)*VLOOKUP('Données projet'!$B$13,Paramètres!$A$1:$I$89,5,0)</f>
        <v>210.42124999999999</v>
      </c>
      <c r="CV56" s="13">
        <f t="shared" si="41"/>
        <v>52.027628682866947</v>
      </c>
      <c r="CW56" s="20">
        <f t="shared" si="13"/>
        <v>457.09846370599325</v>
      </c>
      <c r="CX56" s="59">
        <f t="shared" si="14"/>
        <v>750.43179703932651</v>
      </c>
      <c r="CY56" s="59">
        <f ca="1">AVERAGE(OFFSET($CX$3,0,0,'Données projet'!$E$13+1,1))-AVERAGE(OFFSET($H$3,0,0,'Données projet'!$E$13+1,1))</f>
        <v>393.01180019332998</v>
      </c>
      <c r="CZ56" s="59">
        <f t="shared" si="42"/>
        <v>283.82782416294748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26.759336409990109</v>
      </c>
      <c r="DG56" s="21">
        <f>EXP(-LN(2)/25)*DG55+(1-EXP(-LN(2)/25))/(LN(2)/25)*Calculateur!DB56*Calculateur!DD56*VLOOKUP('Données projet'!$B$13,Paramètres!$A$1:$I$89,3,0)*0.475*44/12</f>
        <v>29.605733207106869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56.365069617096978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17.625</v>
      </c>
      <c r="DO56" s="12">
        <f>IF('Données projet'!$A$166&gt;35,DO55+DN56-DW55,IF(A56&lt;'Données projet'!$A$166,$DL$205^A56,IF(A56='Données projet'!$A$166,'Données projet'!$B$166,DO55+DN56-DW55)))</f>
        <v>351.87499999999994</v>
      </c>
      <c r="DP56" s="17">
        <f>DO56*VLOOKUP('Données projet'!$B$14,Paramètres!$A$1:$I$89,3,0)*VLOOKUP('Données projet'!$B$14,Paramètres!$A$1:$I$89,5,0)</f>
        <v>210.42124999999999</v>
      </c>
      <c r="DQ56" s="13">
        <f t="shared" si="43"/>
        <v>52.027628682866947</v>
      </c>
      <c r="DR56" s="20">
        <f t="shared" si="16"/>
        <v>457.09846370599325</v>
      </c>
      <c r="DS56" s="59">
        <f t="shared" si="17"/>
        <v>750.43179703932651</v>
      </c>
      <c r="DT56" s="59">
        <f ca="1">AVERAGE(OFFSET($DS$3,0,0,'Données projet'!$E$14+1,1))-AVERAGE(OFFSET($H$3,0,0,'Données projet'!$E$14+1,1))</f>
        <v>393.01180019332998</v>
      </c>
      <c r="DU56" s="59">
        <f t="shared" si="44"/>
        <v>283.82782416294748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26.759336409990109</v>
      </c>
      <c r="EB56" s="21">
        <f>EXP(-LN(2)/25)*EB55+(1-EXP(-LN(2)/25))/(LN(2)/25)*Calculateur!DW56*Calculateur!DY56*VLOOKUP('Données projet'!$B$14,Paramètres!$A$1:$I$89,3,0)*0.475*44/12</f>
        <v>29.605733207106869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56.365069617096978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6.2337600000000082</v>
      </c>
      <c r="D57" s="11">
        <f t="shared" si="32"/>
        <v>2.3216312115903515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13.208323274034241</v>
      </c>
      <c r="H57" s="67">
        <f t="shared" si="1"/>
        <v>271.56730636018654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13.500000000000004</v>
      </c>
      <c r="N57" s="13">
        <f>IF('Données projet'!$A$36&gt;35,N56+M57-V56,IF(A57&lt;'Données projet'!$A$36,$K$205^A57,IF(A57='Données projet'!$A$36,'Données projet'!$B$36,N56+M57-V56)))</f>
        <v>303.4559999999999</v>
      </c>
      <c r="O57" s="13">
        <f>N57*VLOOKUP('Données projet'!$B$9,Paramètres!$A$1:$I$89,3,0)*VLOOKUP('Données projet'!$B$9,Paramètres!$A$1:$I$89,5,0)</f>
        <v>142.01740799999996</v>
      </c>
      <c r="P57" s="13">
        <f t="shared" si="33"/>
        <v>36.758779803768832</v>
      </c>
      <c r="Q57" s="20">
        <f t="shared" si="53"/>
        <v>311.36852709156392</v>
      </c>
      <c r="R57" s="59">
        <f t="shared" si="0"/>
        <v>604.70186042489718</v>
      </c>
      <c r="S57" s="59">
        <f ca="1">AVERAGE(OFFSET($R$3,0,0,'Données projet'!$E$9+1,1))-AVERAGE(OFFSET($H$3,0,0,'Données projet'!$E$9+1,1))</f>
        <v>189.8770435341392</v>
      </c>
      <c r="T57" s="59">
        <f t="shared" si="34"/>
        <v>230.18380961122767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20.137549668131786</v>
      </c>
      <c r="AA57" s="21">
        <f>EXP(-LN(2)/25)*AA56+(1-EXP(-LN(2)/25))/(LN(2)/25)*Calculateur!V57*Calculateur!X57*VLOOKUP('Données projet'!$B$9,Paramètres!$A$1:$I$89,3,0)*0.475*44/12</f>
        <v>27.208635196557488</v>
      </c>
      <c r="AB57" s="21">
        <f>EXP(-LN(2)/2)*AB56+(1-EXP(-LN(2)/2))/(LN(2)/2)*V57*Y57*VLOOKUP('Données projet'!$B$9,Paramètres!$A$1:$I$89,3,0)*0.475*44/12</f>
        <v>0</v>
      </c>
      <c r="AC57" s="22">
        <f t="shared" si="3"/>
        <v>47.346184864689278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9.518256000000008</v>
      </c>
      <c r="AI57" s="13">
        <f>IF('Données projet'!$A$62&gt;35,AI56+AH57-AQ56,IF(A57&lt;'Données projet'!$A$62,$AF$205^A57,IF(A57='Données projet'!$A$62,'Données projet'!$B$62,AI56+AH57-AQ56)))</f>
        <v>296.58020399999992</v>
      </c>
      <c r="AJ57" s="13">
        <f>AI57*VLOOKUP('Données projet'!$B$10,Paramètres!$A$1:$I$89,3,0)*VLOOKUP('Données projet'!$B$10,Paramètres!$A$1:$I$89,5,0)</f>
        <v>131.08845016799998</v>
      </c>
      <c r="AK57" s="13">
        <f t="shared" si="35"/>
        <v>34.247746030715945</v>
      </c>
      <c r="AL57" s="20">
        <f t="shared" si="4"/>
        <v>287.96054171276359</v>
      </c>
      <c r="AM57" s="59">
        <f t="shared" si="5"/>
        <v>581.2938750460969</v>
      </c>
      <c r="AN57" s="59">
        <f ca="1">AVERAGE(OFFSET($AM$3,0,0,'Données projet'!$E$10+1,1))-AVERAGE(OFFSET($H$3,0,0,'Données projet'!$E$10+1,1))</f>
        <v>207.77463758757142</v>
      </c>
      <c r="AO57" s="59">
        <f t="shared" si="36"/>
        <v>180.50802165484066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12.531667603371062</v>
      </c>
      <c r="AV57" s="21">
        <f>EXP(-LN(2)/25)*AV56+(1-EXP(-LN(2)/25))/(LN(2)/25)*Calculateur!AQ57*Calculateur!AS57*VLOOKUP('Données projet'!$B$10,Paramètres!$A$1:$I$89,3,0)*0.475*44/12</f>
        <v>28.817579023173309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41.349246626544371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17.625</v>
      </c>
      <c r="BD57" s="12">
        <f>IF('Données projet'!$A$88&gt;35,BD56+BC57-BL56,IF(A57&lt;'Données projet'!$A$88,$BA$205^A57,IF(A57='Données projet'!$A$88,'Données projet'!$B$88,BD56+BC57-BL56)))</f>
        <v>369.49999999999994</v>
      </c>
      <c r="BE57" s="13">
        <f>BD57*VLOOKUP('Données projet'!$B$11,Paramètres!$A$1:$I$89,3,0)*VLOOKUP('Données projet'!$B$11,Paramètres!$A$1:$I$89,5,0)</f>
        <v>220.96099999999996</v>
      </c>
      <c r="BF57" s="13">
        <f t="shared" si="37"/>
        <v>54.323701308314696</v>
      </c>
      <c r="BG57" s="20">
        <f t="shared" si="7"/>
        <v>479.45418811198141</v>
      </c>
      <c r="BH57" s="59">
        <f t="shared" si="8"/>
        <v>772.78752144531472</v>
      </c>
      <c r="BI57" s="59">
        <f ca="1">AVERAGE(OFFSET($BH$3,0,0,'Données projet'!$E$11+1,1))-AVERAGE(OFFSET($H$3,0,0,'Données projet'!$E$11+1,1))</f>
        <v>393.01180019332998</v>
      </c>
      <c r="BJ57" s="59">
        <f t="shared" si="38"/>
        <v>283.82782416294748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26.234602144573792</v>
      </c>
      <c r="BQ57" s="21">
        <f>EXP(-LN(2)/25)*BQ56+(1-EXP(-LN(2)/25))/(LN(2)/25)*Calculateur!BL57*Calculateur!BN57*VLOOKUP('Données projet'!$B$11,Paramètres!$A$1:$I$89,3,0)*0.475*44/12</f>
        <v>28.796162875660688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55.030765020234483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17.625</v>
      </c>
      <c r="BY57" s="12">
        <f>IF('Données projet'!$A$114&gt;35,BY56+BX57-CG56,IF(A57&lt;'Données projet'!$A$114,$BV$205^A57,IF(A57='Données projet'!$A$114,'Données projet'!$B$114,BY56+BX57-CG56)))</f>
        <v>369.49999999999994</v>
      </c>
      <c r="BZ57" s="13">
        <f>BY57*VLOOKUP('Données projet'!$B$12,Paramètres!$A$1:$I$89,3,0)*VLOOKUP('Données projet'!$B$12,Paramètres!$A$1:$I$89,5,0)</f>
        <v>220.96099999999996</v>
      </c>
      <c r="CA57" s="13">
        <f t="shared" si="39"/>
        <v>54.323701308314696</v>
      </c>
      <c r="CB57" s="20">
        <f t="shared" si="10"/>
        <v>479.45418811198141</v>
      </c>
      <c r="CC57" s="59">
        <f t="shared" si="11"/>
        <v>772.78752144531472</v>
      </c>
      <c r="CD57" s="59">
        <f ca="1">AVERAGE(OFFSET($CC$3,0,0,'Données projet'!$E$12+1,1))-AVERAGE(OFFSET($H$3,0,0,'Données projet'!$E$12+1,1))</f>
        <v>393.01180019332998</v>
      </c>
      <c r="CE57" s="59">
        <f t="shared" si="40"/>
        <v>283.82782416294748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26.234602144573792</v>
      </c>
      <c r="CL57" s="21">
        <f>EXP(-LN(2)/25)*CL56+(1-EXP(-LN(2)/25))/(LN(2)/25)*Calculateur!CG57*Calculateur!CI57*VLOOKUP('Données projet'!$B$12,Paramètres!$A$1:$I$89,3,0)*0.475*44/12</f>
        <v>28.796162875660688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55.030765020234483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17.625</v>
      </c>
      <c r="CT57" s="12">
        <f>IF('Données projet'!$A$140&gt;35,CT56+CS57-DB56,IF(A57&lt;'Données projet'!$A$140,$CQ$205^A57,IF(A57='Données projet'!$A$140,'Données projet'!$B$140,CT56+CS57-DB56)))</f>
        <v>369.49999999999994</v>
      </c>
      <c r="CU57" s="17">
        <f>CT57*VLOOKUP('Données projet'!$B$13,Paramètres!$A$1:$I$89,3,0)*VLOOKUP('Données projet'!$B$13,Paramètres!$A$1:$I$89,5,0)</f>
        <v>220.96099999999996</v>
      </c>
      <c r="CV57" s="13">
        <f t="shared" si="41"/>
        <v>54.323701308314696</v>
      </c>
      <c r="CW57" s="20">
        <f t="shared" si="13"/>
        <v>479.45418811198141</v>
      </c>
      <c r="CX57" s="59">
        <f t="shared" si="14"/>
        <v>772.78752144531472</v>
      </c>
      <c r="CY57" s="59">
        <f ca="1">AVERAGE(OFFSET($CX$3,0,0,'Données projet'!$E$13+1,1))-AVERAGE(OFFSET($H$3,0,0,'Données projet'!$E$13+1,1))</f>
        <v>393.01180019332998</v>
      </c>
      <c r="CZ57" s="59">
        <f t="shared" si="42"/>
        <v>283.82782416294748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26.234602144573792</v>
      </c>
      <c r="DG57" s="21">
        <f>EXP(-LN(2)/25)*DG56+(1-EXP(-LN(2)/25))/(LN(2)/25)*Calculateur!DB57*Calculateur!DD57*VLOOKUP('Données projet'!$B$13,Paramètres!$A$1:$I$89,3,0)*0.475*44/12</f>
        <v>28.796162875660688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55.030765020234483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17.625</v>
      </c>
      <c r="DO57" s="12">
        <f>IF('Données projet'!$A$166&gt;35,DO56+DN57-DW56,IF(A57&lt;'Données projet'!$A$166,$DL$205^A57,IF(A57='Données projet'!$A$166,'Données projet'!$B$166,DO56+DN57-DW56)))</f>
        <v>369.49999999999994</v>
      </c>
      <c r="DP57" s="17">
        <f>DO57*VLOOKUP('Données projet'!$B$14,Paramètres!$A$1:$I$89,3,0)*VLOOKUP('Données projet'!$B$14,Paramètres!$A$1:$I$89,5,0)</f>
        <v>220.96099999999996</v>
      </c>
      <c r="DQ57" s="13">
        <f t="shared" si="43"/>
        <v>54.323701308314696</v>
      </c>
      <c r="DR57" s="20">
        <f t="shared" si="16"/>
        <v>479.45418811198141</v>
      </c>
      <c r="DS57" s="59">
        <f t="shared" si="17"/>
        <v>772.78752144531472</v>
      </c>
      <c r="DT57" s="59">
        <f ca="1">AVERAGE(OFFSET($DS$3,0,0,'Données projet'!$E$14+1,1))-AVERAGE(OFFSET($H$3,0,0,'Données projet'!$E$14+1,1))</f>
        <v>393.01180019332998</v>
      </c>
      <c r="DU57" s="59">
        <f t="shared" si="44"/>
        <v>283.82782416294748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26.234602144573792</v>
      </c>
      <c r="EB57" s="21">
        <f>EXP(-LN(2)/25)*EB56+(1-EXP(-LN(2)/25))/(LN(2)/25)*Calculateur!DW57*Calculateur!DY57*VLOOKUP('Données projet'!$B$14,Paramètres!$A$1:$I$89,3,0)*0.475*44/12</f>
        <v>28.796162875660688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55.030765020234483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6.3492000000000086</v>
      </c>
      <c r="D58" s="11">
        <f t="shared" si="32"/>
        <v>2.3595793130948288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13.445132974602558</v>
      </c>
      <c r="H58" s="67">
        <f t="shared" si="1"/>
        <v>271.83445730364019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13.500000000000004</v>
      </c>
      <c r="N58" s="13">
        <f>IF('Données projet'!$A$36&gt;35,N57+M58-V57,IF(A58&lt;'Données projet'!$A$36,$K$205^A58,IF(A58='Données projet'!$A$36,'Données projet'!$B$36,N57+M58-V57)))</f>
        <v>316.9559999999999</v>
      </c>
      <c r="O58" s="13">
        <f>N58*VLOOKUP('Données projet'!$B$9,Paramètres!$A$1:$I$89,3,0)*VLOOKUP('Données projet'!$B$9,Paramètres!$A$1:$I$89,5,0)</f>
        <v>148.33540799999997</v>
      </c>
      <c r="P58" s="13">
        <f t="shared" si="33"/>
        <v>38.200055781296022</v>
      </c>
      <c r="Q58" s="20">
        <f t="shared" si="53"/>
        <v>324.88259941909052</v>
      </c>
      <c r="R58" s="59">
        <f t="shared" si="0"/>
        <v>618.2159327524239</v>
      </c>
      <c r="S58" s="59">
        <f ca="1">AVERAGE(OFFSET($R$3,0,0,'Données projet'!$E$9+1,1))-AVERAGE(OFFSET($H$3,0,0,'Données projet'!$E$9+1,1))</f>
        <v>189.8770435341392</v>
      </c>
      <c r="T58" s="59">
        <f t="shared" si="34"/>
        <v>230.18380961122767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19.742664601832203</v>
      </c>
      <c r="AA58" s="21">
        <f>EXP(-LN(2)/25)*AA57+(1-EXP(-LN(2)/25))/(LN(2)/25)*Calculateur!V58*Calculateur!X58*VLOOKUP('Données projet'!$B$9,Paramètres!$A$1:$I$89,3,0)*0.475*44/12</f>
        <v>26.464613636267686</v>
      </c>
      <c r="AB58" s="21">
        <f>EXP(-LN(2)/2)*AB57+(1-EXP(-LN(2)/2))/(LN(2)/2)*V58*Y58*VLOOKUP('Données projet'!$B$9,Paramètres!$A$1:$I$89,3,0)*0.475*44/12</f>
        <v>0</v>
      </c>
      <c r="AC58" s="22">
        <f t="shared" si="3"/>
        <v>46.207278238099889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306.09846000000005</v>
      </c>
      <c r="AG58" s="12">
        <f>VLOOKUP(A58,'Données projet'!$A$61:$I$81,9,0)</f>
        <v>9.518256000000008</v>
      </c>
      <c r="AH58" s="12">
        <f t="array" ref="AH58">INDEX(AG:AG,MIN(IF(ISNUMBER(AG58:AG254),ROW(AG58:AG254),"")))</f>
        <v>9.518256000000008</v>
      </c>
      <c r="AI58" s="13">
        <f>IF('Données projet'!$A$62&gt;35,AI57+AH58-AQ57,IF(A58&lt;'Données projet'!$A$62,$AF$205^A58,IF(A58='Données projet'!$A$62,'Données projet'!$B$62,AI57+AH58-AQ57)))</f>
        <v>306.09845999999993</v>
      </c>
      <c r="AJ58" s="13">
        <f>AI58*VLOOKUP('Données projet'!$B$10,Paramètres!$A$1:$I$89,3,0)*VLOOKUP('Données projet'!$B$10,Paramètres!$A$1:$I$89,5,0)</f>
        <v>135.29551931999998</v>
      </c>
      <c r="AK58" s="13">
        <f t="shared" si="35"/>
        <v>35.217140459027711</v>
      </c>
      <c r="AL58" s="20">
        <f t="shared" si="4"/>
        <v>296.97621578180656</v>
      </c>
      <c r="AM58" s="59">
        <f t="shared" si="5"/>
        <v>590.30954911513982</v>
      </c>
      <c r="AN58" s="59">
        <f ca="1">AVERAGE(OFFSET($AM$3,0,0,'Données projet'!$E$10+1,1))-AVERAGE(OFFSET($H$3,0,0,'Données projet'!$E$10+1,1))</f>
        <v>207.77463758757142</v>
      </c>
      <c r="AO58" s="59">
        <f t="shared" si="36"/>
        <v>180.50802165484066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20.190240000000003</v>
      </c>
      <c r="AR58" s="16">
        <f>IF(ISNA(VLOOKUP(A58,'Données projet'!$A$61:$I$81,5,0)),0%,VLOOKUP(A58,'Données projet'!$A$61:$I$81,5,0)*VLOOKUP('Données projet'!$B$10,Paramètres!$A$1:$I$89,7,0))</f>
        <v>0.38500000000000001</v>
      </c>
      <c r="AS58" s="16">
        <f>IF(ISNA(VLOOKUP(A58,'Données projet'!$A$61:$I$81,6,0)),0%,VLOOKUP(A58,'Données projet'!$A$61:$I$81,6,0)*VLOOKUP('Données projet'!$B$10,Paramètres!$A$1:$I$89,7,0))</f>
        <v>0.16500000000000001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16.843703770770606</v>
      </c>
      <c r="AV58" s="21">
        <f>EXP(-LN(2)/25)*AV57+(1-EXP(-LN(2)/25))/(LN(2)/25)*Calculateur!AQ58*Calculateur!AS58*VLOOKUP('Données projet'!$B$10,Paramètres!$A$1:$I$89,3,0)*0.475*44/12</f>
        <v>29.975201736727101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46.818905507497703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17.625</v>
      </c>
      <c r="BD58" s="12">
        <f>IF('Données projet'!$A$88&gt;35,BD57+BC58-BL57,IF(A58&lt;'Données projet'!$A$88,$BA$205^A58,IF(A58='Données projet'!$A$88,'Données projet'!$B$88,BD57+BC58-BL57)))</f>
        <v>387.12499999999994</v>
      </c>
      <c r="BE58" s="13">
        <f>BD58*VLOOKUP('Données projet'!$B$11,Paramètres!$A$1:$I$89,3,0)*VLOOKUP('Données projet'!$B$11,Paramètres!$A$1:$I$89,5,0)</f>
        <v>231.50074999999998</v>
      </c>
      <c r="BF58" s="13">
        <f t="shared" si="37"/>
        <v>56.607055837426749</v>
      </c>
      <c r="BG58" s="20">
        <f t="shared" si="7"/>
        <v>501.78776183351812</v>
      </c>
      <c r="BH58" s="59">
        <f t="shared" si="8"/>
        <v>795.12109516685143</v>
      </c>
      <c r="BI58" s="59">
        <f ca="1">AVERAGE(OFFSET($BH$3,0,0,'Données projet'!$E$11+1,1))-AVERAGE(OFFSET($H$3,0,0,'Données projet'!$E$11+1,1))</f>
        <v>393.01180019332998</v>
      </c>
      <c r="BJ58" s="59">
        <f t="shared" si="38"/>
        <v>283.82782416294748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25.72015759804599</v>
      </c>
      <c r="BQ58" s="21">
        <f>EXP(-LN(2)/25)*BQ57+(1-EXP(-LN(2)/25))/(LN(2)/25)*Calculateur!BL58*Calculateur!BN58*VLOOKUP('Données projet'!$B$11,Paramètres!$A$1:$I$89,3,0)*0.475*44/12</f>
        <v>28.008730287501354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53.728887885547344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17.625</v>
      </c>
      <c r="BY58" s="12">
        <f>IF('Données projet'!$A$114&gt;35,BY57+BX58-CG57,IF(A58&lt;'Données projet'!$A$114,$BV$205^A58,IF(A58='Données projet'!$A$114,'Données projet'!$B$114,BY57+BX58-CG57)))</f>
        <v>387.12499999999994</v>
      </c>
      <c r="BZ58" s="13">
        <f>BY58*VLOOKUP('Données projet'!$B$12,Paramètres!$A$1:$I$89,3,0)*VLOOKUP('Données projet'!$B$12,Paramètres!$A$1:$I$89,5,0)</f>
        <v>231.50074999999998</v>
      </c>
      <c r="CA58" s="13">
        <f t="shared" si="39"/>
        <v>56.607055837426749</v>
      </c>
      <c r="CB58" s="20">
        <f t="shared" si="10"/>
        <v>501.78776183351812</v>
      </c>
      <c r="CC58" s="59">
        <f t="shared" si="11"/>
        <v>795.12109516685143</v>
      </c>
      <c r="CD58" s="59">
        <f ca="1">AVERAGE(OFFSET($CC$3,0,0,'Données projet'!$E$12+1,1))-AVERAGE(OFFSET($H$3,0,0,'Données projet'!$E$12+1,1))</f>
        <v>393.01180019332998</v>
      </c>
      <c r="CE58" s="59">
        <f t="shared" si="40"/>
        <v>283.82782416294748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25.72015759804599</v>
      </c>
      <c r="CL58" s="21">
        <f>EXP(-LN(2)/25)*CL57+(1-EXP(-LN(2)/25))/(LN(2)/25)*Calculateur!CG58*Calculateur!CI58*VLOOKUP('Données projet'!$B$12,Paramètres!$A$1:$I$89,3,0)*0.475*44/12</f>
        <v>28.008730287501354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53.728887885547344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17.625</v>
      </c>
      <c r="CT58" s="12">
        <f>IF('Données projet'!$A$140&gt;35,CT57+CS58-DB57,IF(A58&lt;'Données projet'!$A$140,$CQ$205^A58,IF(A58='Données projet'!$A$140,'Données projet'!$B$140,CT57+CS58-DB57)))</f>
        <v>387.12499999999994</v>
      </c>
      <c r="CU58" s="17">
        <f>CT58*VLOOKUP('Données projet'!$B$13,Paramètres!$A$1:$I$89,3,0)*VLOOKUP('Données projet'!$B$13,Paramètres!$A$1:$I$89,5,0)</f>
        <v>231.50074999999998</v>
      </c>
      <c r="CV58" s="13">
        <f t="shared" si="41"/>
        <v>56.607055837426749</v>
      </c>
      <c r="CW58" s="20">
        <f t="shared" si="13"/>
        <v>501.78776183351812</v>
      </c>
      <c r="CX58" s="59">
        <f t="shared" si="14"/>
        <v>795.12109516685143</v>
      </c>
      <c r="CY58" s="59">
        <f ca="1">AVERAGE(OFFSET($CX$3,0,0,'Données projet'!$E$13+1,1))-AVERAGE(OFFSET($H$3,0,0,'Données projet'!$E$13+1,1))</f>
        <v>393.01180019332998</v>
      </c>
      <c r="CZ58" s="59">
        <f t="shared" si="42"/>
        <v>283.82782416294748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25.72015759804599</v>
      </c>
      <c r="DG58" s="21">
        <f>EXP(-LN(2)/25)*DG57+(1-EXP(-LN(2)/25))/(LN(2)/25)*Calculateur!DB58*Calculateur!DD58*VLOOKUP('Données projet'!$B$13,Paramètres!$A$1:$I$89,3,0)*0.475*44/12</f>
        <v>28.008730287501354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53.728887885547344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17.625</v>
      </c>
      <c r="DO58" s="12">
        <f>IF('Données projet'!$A$166&gt;35,DO57+DN58-DW57,IF(A58&lt;'Données projet'!$A$166,$DL$205^A58,IF(A58='Données projet'!$A$166,'Données projet'!$B$166,DO57+DN58-DW57)))</f>
        <v>387.12499999999994</v>
      </c>
      <c r="DP58" s="17">
        <f>DO58*VLOOKUP('Données projet'!$B$14,Paramètres!$A$1:$I$89,3,0)*VLOOKUP('Données projet'!$B$14,Paramètres!$A$1:$I$89,5,0)</f>
        <v>231.50074999999998</v>
      </c>
      <c r="DQ58" s="13">
        <f t="shared" si="43"/>
        <v>56.607055837426749</v>
      </c>
      <c r="DR58" s="20">
        <f t="shared" si="16"/>
        <v>501.78776183351812</v>
      </c>
      <c r="DS58" s="59">
        <f t="shared" si="17"/>
        <v>795.12109516685143</v>
      </c>
      <c r="DT58" s="59">
        <f ca="1">AVERAGE(OFFSET($DS$3,0,0,'Données projet'!$E$14+1,1))-AVERAGE(OFFSET($H$3,0,0,'Données projet'!$E$14+1,1))</f>
        <v>393.01180019332998</v>
      </c>
      <c r="DU58" s="59">
        <f t="shared" si="44"/>
        <v>283.82782416294748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25.72015759804599</v>
      </c>
      <c r="EB58" s="21">
        <f>EXP(-LN(2)/25)*EB57+(1-EXP(-LN(2)/25))/(LN(2)/25)*Calculateur!DW58*Calculateur!DY58*VLOOKUP('Données projet'!$B$14,Paramètres!$A$1:$I$89,3,0)*0.475*44/12</f>
        <v>28.008730287501354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53.728887885547344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6.464640000000009</v>
      </c>
      <c r="D59" s="11">
        <f t="shared" si="32"/>
        <v>2.3974471828687918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13.681818808639555</v>
      </c>
      <c r="H59" s="67">
        <f t="shared" si="1"/>
        <v>272.10146851016316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13.500000000000004</v>
      </c>
      <c r="N59" s="13">
        <f>IF('Données projet'!$A$36&gt;35,N58+M59-V58,IF(A59&lt;'Données projet'!$A$36,$K$205^A59,IF(A59='Données projet'!$A$36,'Données projet'!$B$36,N58+M59-V58)))</f>
        <v>330.4559999999999</v>
      </c>
      <c r="O59" s="13">
        <f>N59*VLOOKUP('Données projet'!$B$9,Paramètres!$A$1:$I$89,3,0)*VLOOKUP('Données projet'!$B$9,Paramètres!$A$1:$I$89,5,0)</f>
        <v>154.65340799999996</v>
      </c>
      <c r="P59" s="13">
        <f t="shared" si="33"/>
        <v>39.634201628177898</v>
      </c>
      <c r="Q59" s="20">
        <f t="shared" si="53"/>
        <v>338.38425343574306</v>
      </c>
      <c r="R59" s="59">
        <f t="shared" si="0"/>
        <v>631.71758676907643</v>
      </c>
      <c r="S59" s="59">
        <f ca="1">AVERAGE(OFFSET($R$3,0,0,'Données projet'!$E$9+1,1))-AVERAGE(OFFSET($H$3,0,0,'Données projet'!$E$9+1,1))</f>
        <v>189.8770435341392</v>
      </c>
      <c r="T59" s="59">
        <f t="shared" si="34"/>
        <v>230.18380961122767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19.35552299082665</v>
      </c>
      <c r="AA59" s="21">
        <f>EXP(-LN(2)/25)*AA58+(1-EXP(-LN(2)/25))/(LN(2)/25)*Calculateur!V59*Calculateur!X59*VLOOKUP('Données projet'!$B$9,Paramètres!$A$1:$I$89,3,0)*0.475*44/12</f>
        <v>25.740937384670399</v>
      </c>
      <c r="AB59" s="21">
        <f>EXP(-LN(2)/2)*AB58+(1-EXP(-LN(2)/2))/(LN(2)/2)*V59*Y59*VLOOKUP('Données projet'!$B$9,Paramètres!$A$1:$I$89,3,0)*0.475*44/12</f>
        <v>0</v>
      </c>
      <c r="AC59" s="22">
        <f t="shared" si="3"/>
        <v>45.096460375497045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8.2203120000000016</v>
      </c>
      <c r="AI59" s="13">
        <f>IF('Données projet'!$A$62&gt;35,AI58+AH59-AQ58,IF(A59&lt;'Données projet'!$A$62,$AF$205^A59,IF(A59='Données projet'!$A$62,'Données projet'!$B$62,AI58+AH59-AQ58)))</f>
        <v>294.12853199999989</v>
      </c>
      <c r="AJ59" s="13">
        <f>AI59*VLOOKUP('Données projet'!$B$10,Paramètres!$A$1:$I$89,3,0)*VLOOKUP('Données projet'!$B$10,Paramètres!$A$1:$I$89,5,0)</f>
        <v>130.00481114399997</v>
      </c>
      <c r="AK59" s="13">
        <f t="shared" si="35"/>
        <v>33.997471044074977</v>
      </c>
      <c r="AL59" s="20">
        <f t="shared" si="4"/>
        <v>285.63730814423053</v>
      </c>
      <c r="AM59" s="59">
        <f t="shared" si="5"/>
        <v>578.97064147756385</v>
      </c>
      <c r="AN59" s="59">
        <f ca="1">AVERAGE(OFFSET($AM$3,0,0,'Données projet'!$E$10+1,1))-AVERAGE(OFFSET($H$3,0,0,'Données projet'!$E$10+1,1))</f>
        <v>207.77463758757142</v>
      </c>
      <c r="AO59" s="59">
        <f t="shared" si="36"/>
        <v>180.50802165484066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16.513409013470657</v>
      </c>
      <c r="AV59" s="21">
        <f>EXP(-LN(2)/25)*AV58+(1-EXP(-LN(2)/25))/(LN(2)/25)*Calculateur!AQ59*Calculateur!AS59*VLOOKUP('Données projet'!$B$10,Paramètres!$A$1:$I$89,3,0)*0.475*44/12</f>
        <v>29.155528268908949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45.668937282379602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17.625</v>
      </c>
      <c r="BD59" s="12">
        <f>IF('Données projet'!$A$88&gt;35,BD58+BC59-BL58,IF(A59&lt;'Données projet'!$A$88,$BA$205^A59,IF(A59='Données projet'!$A$88,'Données projet'!$B$88,BD58+BC59-BL58)))</f>
        <v>404.74999999999994</v>
      </c>
      <c r="BE59" s="13">
        <f>BD59*VLOOKUP('Données projet'!$B$11,Paramètres!$A$1:$I$89,3,0)*VLOOKUP('Données projet'!$B$11,Paramètres!$A$1:$I$89,5,0)</f>
        <v>242.04049999999998</v>
      </c>
      <c r="BF59" s="13">
        <f t="shared" si="37"/>
        <v>58.878337443371535</v>
      </c>
      <c r="BG59" s="20">
        <f t="shared" si="7"/>
        <v>524.10030854720526</v>
      </c>
      <c r="BH59" s="59">
        <f t="shared" si="8"/>
        <v>817.43364188053852</v>
      </c>
      <c r="BI59" s="59">
        <f ca="1">AVERAGE(OFFSET($BH$3,0,0,'Données projet'!$E$11+1,1))-AVERAGE(OFFSET($H$3,0,0,'Données projet'!$E$11+1,1))</f>
        <v>393.01180019332998</v>
      </c>
      <c r="BJ59" s="59">
        <f t="shared" si="38"/>
        <v>283.82782416294748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25.215800995295407</v>
      </c>
      <c r="BQ59" s="21">
        <f>EXP(-LN(2)/25)*BQ58+(1-EXP(-LN(2)/25))/(LN(2)/25)*Calculateur!BL59*Calculateur!BN59*VLOOKUP('Données projet'!$B$11,Paramètres!$A$1:$I$89,3,0)*0.475*44/12</f>
        <v>27.24283008487452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52.458631080169923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17.625</v>
      </c>
      <c r="BY59" s="12">
        <f>IF('Données projet'!$A$114&gt;35,BY58+BX59-CG58,IF(A59&lt;'Données projet'!$A$114,$BV$205^A59,IF(A59='Données projet'!$A$114,'Données projet'!$B$114,BY58+BX59-CG58)))</f>
        <v>404.74999999999994</v>
      </c>
      <c r="BZ59" s="13">
        <f>BY59*VLOOKUP('Données projet'!$B$12,Paramètres!$A$1:$I$89,3,0)*VLOOKUP('Données projet'!$B$12,Paramètres!$A$1:$I$89,5,0)</f>
        <v>242.04049999999998</v>
      </c>
      <c r="CA59" s="13">
        <f t="shared" si="39"/>
        <v>58.878337443371535</v>
      </c>
      <c r="CB59" s="20">
        <f t="shared" si="10"/>
        <v>524.10030854720526</v>
      </c>
      <c r="CC59" s="59">
        <f t="shared" si="11"/>
        <v>817.43364188053852</v>
      </c>
      <c r="CD59" s="59">
        <f ca="1">AVERAGE(OFFSET($CC$3,0,0,'Données projet'!$E$12+1,1))-AVERAGE(OFFSET($H$3,0,0,'Données projet'!$E$12+1,1))</f>
        <v>393.01180019332998</v>
      </c>
      <c r="CE59" s="59">
        <f t="shared" si="40"/>
        <v>283.82782416294748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25.215800995295407</v>
      </c>
      <c r="CL59" s="21">
        <f>EXP(-LN(2)/25)*CL58+(1-EXP(-LN(2)/25))/(LN(2)/25)*Calculateur!CG59*Calculateur!CI59*VLOOKUP('Données projet'!$B$12,Paramètres!$A$1:$I$89,3,0)*0.475*44/12</f>
        <v>27.24283008487452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52.458631080169923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17.625</v>
      </c>
      <c r="CT59" s="12">
        <f>IF('Données projet'!$A$140&gt;35,CT58+CS59-DB58,IF(A59&lt;'Données projet'!$A$140,$CQ$205^A59,IF(A59='Données projet'!$A$140,'Données projet'!$B$140,CT58+CS59-DB58)))</f>
        <v>404.74999999999994</v>
      </c>
      <c r="CU59" s="17">
        <f>CT59*VLOOKUP('Données projet'!$B$13,Paramètres!$A$1:$I$89,3,0)*VLOOKUP('Données projet'!$B$13,Paramètres!$A$1:$I$89,5,0)</f>
        <v>242.04049999999998</v>
      </c>
      <c r="CV59" s="13">
        <f t="shared" si="41"/>
        <v>58.878337443371535</v>
      </c>
      <c r="CW59" s="20">
        <f t="shared" si="13"/>
        <v>524.10030854720526</v>
      </c>
      <c r="CX59" s="59">
        <f t="shared" si="14"/>
        <v>817.43364188053852</v>
      </c>
      <c r="CY59" s="59">
        <f ca="1">AVERAGE(OFFSET($CX$3,0,0,'Données projet'!$E$13+1,1))-AVERAGE(OFFSET($H$3,0,0,'Données projet'!$E$13+1,1))</f>
        <v>393.01180019332998</v>
      </c>
      <c r="CZ59" s="59">
        <f t="shared" si="42"/>
        <v>283.82782416294748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25.215800995295407</v>
      </c>
      <c r="DG59" s="21">
        <f>EXP(-LN(2)/25)*DG58+(1-EXP(-LN(2)/25))/(LN(2)/25)*Calculateur!DB59*Calculateur!DD59*VLOOKUP('Données projet'!$B$13,Paramètres!$A$1:$I$89,3,0)*0.475*44/12</f>
        <v>27.24283008487452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52.458631080169923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17.625</v>
      </c>
      <c r="DO59" s="12">
        <f>IF('Données projet'!$A$166&gt;35,DO58+DN59-DW58,IF(A59&lt;'Données projet'!$A$166,$DL$205^A59,IF(A59='Données projet'!$A$166,'Données projet'!$B$166,DO58+DN59-DW58)))</f>
        <v>404.74999999999994</v>
      </c>
      <c r="DP59" s="17">
        <f>DO59*VLOOKUP('Données projet'!$B$14,Paramètres!$A$1:$I$89,3,0)*VLOOKUP('Données projet'!$B$14,Paramètres!$A$1:$I$89,5,0)</f>
        <v>242.04049999999998</v>
      </c>
      <c r="DQ59" s="13">
        <f t="shared" si="43"/>
        <v>58.878337443371535</v>
      </c>
      <c r="DR59" s="20">
        <f t="shared" si="16"/>
        <v>524.10030854720526</v>
      </c>
      <c r="DS59" s="59">
        <f t="shared" si="17"/>
        <v>817.43364188053852</v>
      </c>
      <c r="DT59" s="59">
        <f ca="1">AVERAGE(OFFSET($DS$3,0,0,'Données projet'!$E$14+1,1))-AVERAGE(OFFSET($H$3,0,0,'Données projet'!$E$14+1,1))</f>
        <v>393.01180019332998</v>
      </c>
      <c r="DU59" s="59">
        <f t="shared" si="44"/>
        <v>283.82782416294748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25.215800995295407</v>
      </c>
      <c r="EB59" s="21">
        <f>EXP(-LN(2)/25)*EB58+(1-EXP(-LN(2)/25))/(LN(2)/25)*Calculateur!DW59*Calculateur!DY59*VLOOKUP('Données projet'!$B$14,Paramètres!$A$1:$I$89,3,0)*0.475*44/12</f>
        <v>27.24283008487452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52.458631080169923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6.5800800000000095</v>
      </c>
      <c r="D60" s="11">
        <f t="shared" si="32"/>
        <v>2.4352364188991671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13.918383243212766</v>
      </c>
      <c r="H60" s="67">
        <f t="shared" si="1"/>
        <v>272.36834276291609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13.500000000000004</v>
      </c>
      <c r="N60" s="13">
        <f>IF('Données projet'!$A$36&gt;35,N59+M60-V59,IF(A60&lt;'Données projet'!$A$36,$K$205^A60,IF(A60='Données projet'!$A$36,'Données projet'!$B$36,N59+M60-V59)))</f>
        <v>343.9559999999999</v>
      </c>
      <c r="O60" s="13">
        <f>N60*VLOOKUP('Données projet'!$B$9,Paramètres!$A$1:$I$89,3,0)*VLOOKUP('Données projet'!$B$9,Paramètres!$A$1:$I$89,5,0)</f>
        <v>160.97140799999997</v>
      </c>
      <c r="P60" s="13">
        <f t="shared" si="33"/>
        <v>41.061541946729591</v>
      </c>
      <c r="Q60" s="20">
        <f t="shared" si="53"/>
        <v>351.87405449055399</v>
      </c>
      <c r="R60" s="59">
        <f t="shared" si="0"/>
        <v>645.2073878238873</v>
      </c>
      <c r="S60" s="59">
        <f ca="1">AVERAGE(OFFSET($R$3,0,0,'Données projet'!$E$9+1,1))-AVERAGE(OFFSET($H$3,0,0,'Données projet'!$E$9+1,1))</f>
        <v>189.8770435341392</v>
      </c>
      <c r="T60" s="59">
        <f t="shared" si="34"/>
        <v>230.18380961122767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18.975972990679846</v>
      </c>
      <c r="AA60" s="21">
        <f>EXP(-LN(2)/25)*AA59+(1-EXP(-LN(2)/25))/(LN(2)/25)*Calculateur!V60*Calculateur!X60*VLOOKUP('Données projet'!$B$9,Paramètres!$A$1:$I$89,3,0)*0.475*44/12</f>
        <v>25.037050098229521</v>
      </c>
      <c r="AB60" s="21">
        <f>EXP(-LN(2)/2)*AB59+(1-EXP(-LN(2)/2))/(LN(2)/2)*V60*Y60*VLOOKUP('Données projet'!$B$9,Paramètres!$A$1:$I$89,3,0)*0.475*44/12</f>
        <v>0</v>
      </c>
      <c r="AC60" s="22">
        <f t="shared" si="3"/>
        <v>44.013023088909364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8.2203120000000016</v>
      </c>
      <c r="AI60" s="13">
        <f>IF('Données projet'!$A$62&gt;35,AI59+AH60-AQ59,IF(A60&lt;'Données projet'!$A$62,$AF$205^A60,IF(A60='Données projet'!$A$62,'Données projet'!$B$62,AI59+AH60-AQ59)))</f>
        <v>302.34884399999987</v>
      </c>
      <c r="AJ60" s="13">
        <f>AI60*VLOOKUP('Données projet'!$B$10,Paramètres!$A$1:$I$89,3,0)*VLOOKUP('Données projet'!$B$10,Paramètres!$A$1:$I$89,5,0)</f>
        <v>133.63818904799996</v>
      </c>
      <c r="AK60" s="13">
        <f t="shared" si="35"/>
        <v>34.835682766077404</v>
      </c>
      <c r="AL60" s="20">
        <f t="shared" si="4"/>
        <v>293.42532674285144</v>
      </c>
      <c r="AM60" s="59">
        <f t="shared" si="5"/>
        <v>586.7586600761847</v>
      </c>
      <c r="AN60" s="59">
        <f ca="1">AVERAGE(OFFSET($AM$3,0,0,'Données projet'!$E$10+1,1))-AVERAGE(OFFSET($H$3,0,0,'Données projet'!$E$10+1,1))</f>
        <v>207.77463758757142</v>
      </c>
      <c r="AO60" s="59">
        <f t="shared" si="36"/>
        <v>180.50802165484066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16.189591134901448</v>
      </c>
      <c r="AV60" s="21">
        <f>EXP(-LN(2)/25)*AV59+(1-EXP(-LN(2)/25))/(LN(2)/25)*Calculateur!AQ60*Calculateur!AS60*VLOOKUP('Données projet'!$B$10,Paramètres!$A$1:$I$89,3,0)*0.475*44/12</f>
        <v>28.358268815173037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44.547859950074482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17.625</v>
      </c>
      <c r="BD60" s="12">
        <f>IF('Données projet'!$A$88&gt;35,BD59+BC60-BL59,IF(A60&lt;'Données projet'!$A$88,$BA$205^A60,IF(A60='Données projet'!$A$88,'Données projet'!$B$88,BD59+BC60-BL59)))</f>
        <v>422.37499999999994</v>
      </c>
      <c r="BE60" s="13">
        <f>BD60*VLOOKUP('Données projet'!$B$11,Paramètres!$A$1:$I$89,3,0)*VLOOKUP('Données projet'!$B$11,Paramètres!$A$1:$I$89,5,0)</f>
        <v>252.58025000000001</v>
      </c>
      <c r="BF60" s="13">
        <f t="shared" si="37"/>
        <v>61.138131933251593</v>
      </c>
      <c r="BG60" s="20">
        <f t="shared" si="7"/>
        <v>546.39284853374647</v>
      </c>
      <c r="BH60" s="59">
        <f t="shared" si="8"/>
        <v>839.72618186707973</v>
      </c>
      <c r="BI60" s="59">
        <f ca="1">AVERAGE(OFFSET($BH$3,0,0,'Données projet'!$E$11+1,1))-AVERAGE(OFFSET($H$3,0,0,'Données projet'!$E$11+1,1))</f>
        <v>393.01180019332998</v>
      </c>
      <c r="BJ60" s="59">
        <f t="shared" si="38"/>
        <v>283.82782416294748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24.72133451789761</v>
      </c>
      <c r="BQ60" s="21">
        <f>EXP(-LN(2)/25)*BQ59+(1-EXP(-LN(2)/25))/(LN(2)/25)*Calculateur!BL60*Calculateur!BN60*VLOOKUP('Données projet'!$B$11,Paramètres!$A$1:$I$89,3,0)*0.475*44/12</f>
        <v>26.497873463565455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51.219207981463065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17.625</v>
      </c>
      <c r="BY60" s="12">
        <f>IF('Données projet'!$A$114&gt;35,BY59+BX60-CG59,IF(A60&lt;'Données projet'!$A$114,$BV$205^A60,IF(A60='Données projet'!$A$114,'Données projet'!$B$114,BY59+BX60-CG59)))</f>
        <v>422.37499999999994</v>
      </c>
      <c r="BZ60" s="13">
        <f>BY60*VLOOKUP('Données projet'!$B$12,Paramètres!$A$1:$I$89,3,0)*VLOOKUP('Données projet'!$B$12,Paramètres!$A$1:$I$89,5,0)</f>
        <v>252.58025000000001</v>
      </c>
      <c r="CA60" s="13">
        <f t="shared" si="39"/>
        <v>61.138131933251593</v>
      </c>
      <c r="CB60" s="20">
        <f t="shared" si="10"/>
        <v>546.39284853374647</v>
      </c>
      <c r="CC60" s="59">
        <f t="shared" si="11"/>
        <v>839.72618186707973</v>
      </c>
      <c r="CD60" s="59">
        <f ca="1">AVERAGE(OFFSET($CC$3,0,0,'Données projet'!$E$12+1,1))-AVERAGE(OFFSET($H$3,0,0,'Données projet'!$E$12+1,1))</f>
        <v>393.01180019332998</v>
      </c>
      <c r="CE60" s="59">
        <f t="shared" si="40"/>
        <v>283.82782416294748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24.72133451789761</v>
      </c>
      <c r="CL60" s="21">
        <f>EXP(-LN(2)/25)*CL59+(1-EXP(-LN(2)/25))/(LN(2)/25)*Calculateur!CG60*Calculateur!CI60*VLOOKUP('Données projet'!$B$12,Paramètres!$A$1:$I$89,3,0)*0.475*44/12</f>
        <v>26.497873463565455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51.219207981463065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17.625</v>
      </c>
      <c r="CT60" s="12">
        <f>IF('Données projet'!$A$140&gt;35,CT59+CS60-DB59,IF(A60&lt;'Données projet'!$A$140,$CQ$205^A60,IF(A60='Données projet'!$A$140,'Données projet'!$B$140,CT59+CS60-DB59)))</f>
        <v>422.37499999999994</v>
      </c>
      <c r="CU60" s="17">
        <f>CT60*VLOOKUP('Données projet'!$B$13,Paramètres!$A$1:$I$89,3,0)*VLOOKUP('Données projet'!$B$13,Paramètres!$A$1:$I$89,5,0)</f>
        <v>252.58025000000001</v>
      </c>
      <c r="CV60" s="13">
        <f t="shared" si="41"/>
        <v>61.138131933251593</v>
      </c>
      <c r="CW60" s="20">
        <f t="shared" si="13"/>
        <v>546.39284853374647</v>
      </c>
      <c r="CX60" s="59">
        <f t="shared" si="14"/>
        <v>839.72618186707973</v>
      </c>
      <c r="CY60" s="59">
        <f ca="1">AVERAGE(OFFSET($CX$3,0,0,'Données projet'!$E$13+1,1))-AVERAGE(OFFSET($H$3,0,0,'Données projet'!$E$13+1,1))</f>
        <v>393.01180019332998</v>
      </c>
      <c r="CZ60" s="59">
        <f t="shared" si="42"/>
        <v>283.82782416294748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24.72133451789761</v>
      </c>
      <c r="DG60" s="21">
        <f>EXP(-LN(2)/25)*DG59+(1-EXP(-LN(2)/25))/(LN(2)/25)*Calculateur!DB60*Calculateur!DD60*VLOOKUP('Données projet'!$B$13,Paramètres!$A$1:$I$89,3,0)*0.475*44/12</f>
        <v>26.497873463565455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51.219207981463065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17.625</v>
      </c>
      <c r="DO60" s="12">
        <f>IF('Données projet'!$A$166&gt;35,DO59+DN60-DW59,IF(A60&lt;'Données projet'!$A$166,$DL$205^A60,IF(A60='Données projet'!$A$166,'Données projet'!$B$166,DO59+DN60-DW59)))</f>
        <v>422.37499999999994</v>
      </c>
      <c r="DP60" s="17">
        <f>DO60*VLOOKUP('Données projet'!$B$14,Paramètres!$A$1:$I$89,3,0)*VLOOKUP('Données projet'!$B$14,Paramètres!$A$1:$I$89,5,0)</f>
        <v>252.58025000000001</v>
      </c>
      <c r="DQ60" s="13">
        <f t="shared" si="43"/>
        <v>61.138131933251593</v>
      </c>
      <c r="DR60" s="20">
        <f t="shared" si="16"/>
        <v>546.39284853374647</v>
      </c>
      <c r="DS60" s="59">
        <f t="shared" si="17"/>
        <v>839.72618186707973</v>
      </c>
      <c r="DT60" s="59">
        <f ca="1">AVERAGE(OFFSET($DS$3,0,0,'Données projet'!$E$14+1,1))-AVERAGE(OFFSET($H$3,0,0,'Données projet'!$E$14+1,1))</f>
        <v>393.01180019332998</v>
      </c>
      <c r="DU60" s="59">
        <f t="shared" si="44"/>
        <v>283.82782416294748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24.72133451789761</v>
      </c>
      <c r="EB60" s="21">
        <f>EXP(-LN(2)/25)*EB59+(1-EXP(-LN(2)/25))/(LN(2)/25)*Calculateur!DW60*Calculateur!DY60*VLOOKUP('Données projet'!$B$14,Paramètres!$A$1:$I$89,3,0)*0.475*44/12</f>
        <v>26.497873463565455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51.219207981463065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6.6955200000000099</v>
      </c>
      <c r="D61" s="11">
        <f t="shared" si="32"/>
        <v>2.4729485598913481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14.154828653867362</v>
      </c>
      <c r="H61" s="67">
        <f t="shared" si="1"/>
        <v>272.63508274181078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13.500000000000004</v>
      </c>
      <c r="N61" s="13">
        <f>IF('Données projet'!$A$36&gt;35,N60+M61-V60,IF(A61&lt;'Données projet'!$A$36,$K$205^A61,IF(A61='Données projet'!$A$36,'Données projet'!$B$36,N60+M61-V60)))</f>
        <v>357.4559999999999</v>
      </c>
      <c r="O61" s="13">
        <f>N61*VLOOKUP('Données projet'!$B$9,Paramètres!$A$1:$I$89,3,0)*VLOOKUP('Données projet'!$B$9,Paramètres!$A$1:$I$89,5,0)</f>
        <v>167.28940799999995</v>
      </c>
      <c r="P61" s="13">
        <f t="shared" si="33"/>
        <v>42.482374415866772</v>
      </c>
      <c r="Q61" s="20">
        <f t="shared" si="53"/>
        <v>365.35252104096782</v>
      </c>
      <c r="R61" s="59">
        <f t="shared" si="0"/>
        <v>658.68585437430113</v>
      </c>
      <c r="S61" s="59">
        <f ca="1">AVERAGE(OFFSET($R$3,0,0,'Données projet'!$E$9+1,1))-AVERAGE(OFFSET($H$3,0,0,'Données projet'!$E$9+1,1))</f>
        <v>189.8770435341392</v>
      </c>
      <c r="T61" s="59">
        <f t="shared" si="34"/>
        <v>230.18380961122767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18.603865734533283</v>
      </c>
      <c r="AA61" s="21">
        <f>EXP(-LN(2)/25)*AA60+(1-EXP(-LN(2)/25))/(LN(2)/25)*Calculateur!V61*Calculateur!X61*VLOOKUP('Données projet'!$B$9,Paramètres!$A$1:$I$89,3,0)*0.475*44/12</f>
        <v>24.352410646652192</v>
      </c>
      <c r="AB61" s="21">
        <f>EXP(-LN(2)/2)*AB60+(1-EXP(-LN(2)/2))/(LN(2)/2)*V61*Y61*VLOOKUP('Données projet'!$B$9,Paramètres!$A$1:$I$89,3,0)*0.475*44/12</f>
        <v>0</v>
      </c>
      <c r="AC61" s="22">
        <f t="shared" si="3"/>
        <v>42.956276381185475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8.2203120000000016</v>
      </c>
      <c r="AI61" s="13">
        <f>IF('Données projet'!$A$62&gt;35,AI60+AH61-AQ60,IF(A61&lt;'Données projet'!$A$62,$AF$205^A61,IF(A61='Données projet'!$A$62,'Données projet'!$B$62,AI60+AH61-AQ60)))</f>
        <v>310.56915599999985</v>
      </c>
      <c r="AJ61" s="13">
        <f>AI61*VLOOKUP('Données projet'!$B$10,Paramètres!$A$1:$I$89,3,0)*VLOOKUP('Données projet'!$B$10,Paramètres!$A$1:$I$89,5,0)</f>
        <v>137.27156695199994</v>
      </c>
      <c r="AK61" s="13">
        <f t="shared" si="35"/>
        <v>35.671245645085612</v>
      </c>
      <c r="AL61" s="20">
        <f t="shared" si="4"/>
        <v>301.20873193992401</v>
      </c>
      <c r="AM61" s="59">
        <f t="shared" si="5"/>
        <v>594.54206527325732</v>
      </c>
      <c r="AN61" s="59">
        <f ca="1">AVERAGE(OFFSET($AM$3,0,0,'Données projet'!$E$10+1,1))-AVERAGE(OFFSET($H$3,0,0,'Données projet'!$E$10+1,1))</f>
        <v>207.77463758757142</v>
      </c>
      <c r="AO61" s="59">
        <f t="shared" si="36"/>
        <v>180.50802165484066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15.872123127421579</v>
      </c>
      <c r="AV61" s="21">
        <f>EXP(-LN(2)/25)*AV60+(1-EXP(-LN(2)/25))/(LN(2)/25)*Calculateur!AQ61*Calculateur!AS61*VLOOKUP('Données projet'!$B$10,Paramètres!$A$1:$I$89,3,0)*0.475*44/12</f>
        <v>27.582810463125586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43.454933590547164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>
        <f>VLOOKUP(A61,'Données projet'!$A$87:$I$107,2,0)</f>
        <v>440</v>
      </c>
      <c r="BB61" s="12">
        <f>VLOOKUP(A61,'Données projet'!$A$87:$I$107,9,0)</f>
        <v>17.625</v>
      </c>
      <c r="BC61" s="12">
        <f t="array" ref="BC61">INDEX(BB:BB,MIN(IF(ISNUMBER(BB61:BB257),ROW(BB61:BB257),"")))</f>
        <v>17.625</v>
      </c>
      <c r="BD61" s="12">
        <f>IF('Données projet'!$A$88&gt;35,BD60+BC61-BL60,IF(A61&lt;'Données projet'!$A$88,$BA$205^A61,IF(A61='Données projet'!$A$88,'Données projet'!$B$88,BD60+BC61-BL60)))</f>
        <v>439.99999999999994</v>
      </c>
      <c r="BE61" s="13">
        <f>BD61*VLOOKUP('Données projet'!$B$11,Paramètres!$A$1:$I$89,3,0)*VLOOKUP('Données projet'!$B$11,Paramètres!$A$1:$I$89,5,0)</f>
        <v>263.12</v>
      </c>
      <c r="BF61" s="13">
        <f t="shared" si="37"/>
        <v>63.386973458752003</v>
      </c>
      <c r="BG61" s="20">
        <f t="shared" si="7"/>
        <v>568.66631210732646</v>
      </c>
      <c r="BH61" s="59">
        <f t="shared" si="8"/>
        <v>861.99964544065983</v>
      </c>
      <c r="BI61" s="59">
        <f ca="1">AVERAGE(OFFSET($BH$3,0,0,'Données projet'!$E$11+1,1))-AVERAGE(OFFSET($H$3,0,0,'Données projet'!$E$11+1,1))</f>
        <v>393.01180019332998</v>
      </c>
      <c r="BJ61" s="59">
        <f t="shared" si="38"/>
        <v>283.82782416294748</v>
      </c>
      <c r="BK61" s="15">
        <f>IF(ISNA(VLOOKUP(A61,'Données projet'!$A$87:$I$107,3,0)),0,VLOOKUP(A61,'Données projet'!$A$87:$I$107,3,0))</f>
        <v>8</v>
      </c>
      <c r="BL61" s="15">
        <f>IF(ISNA(VLOOKUP(A61,'Données projet'!$A$87:$I$107,4,0)),0,VLOOKUP(A61,'Données projet'!$A$87:$I$107,4,0))</f>
        <v>78</v>
      </c>
      <c r="BM61" s="16">
        <f>IF(ISNA(VLOOKUP(A61,'Données projet'!$A$87:$I$107,5,0)),0%,VLOOKUP(A61,'Données projet'!$A$87:$I$107,5,0)*VLOOKUP('Données projet'!$B$11,Paramètres!$A$1:$I$89,7,0))</f>
        <v>0.315</v>
      </c>
      <c r="BN61" s="16">
        <f>IF(ISNA(VLOOKUP(A61,'Données projet'!$A$87:$I$107,6,0)),0%,VLOOKUP(A61,'Données projet'!$A$87:$I$107,6,0)*VLOOKUP('Données projet'!$B$11,Paramètres!$A$1:$I$89,7,0))</f>
        <v>0.13500000000000001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43.727590051276216</v>
      </c>
      <c r="BQ61" s="21">
        <f>EXP(-LN(2)/25)*BQ60+(1-EXP(-LN(2)/25))/(LN(2)/25)*Calculateur!BL61*Calculateur!BN61*VLOOKUP('Données projet'!$B$11,Paramètres!$A$1:$I$89,3,0)*0.475*44/12</f>
        <v>34.093694389990631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77.82128444126684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>
        <f>VLOOKUP(A61,'Données projet'!$A$113:$I$133,2,0)</f>
        <v>440</v>
      </c>
      <c r="BW61" s="12">
        <f>VLOOKUP(A61,'Données projet'!$A$113:$I$133,9,0)</f>
        <v>17.625</v>
      </c>
      <c r="BX61" s="12">
        <f t="array" ref="BX61">INDEX(BW:BW,MIN(IF(ISNUMBER(BW61:BW257),ROW(BW61:BW257),"")))</f>
        <v>17.625</v>
      </c>
      <c r="BY61" s="12">
        <f>IF('Données projet'!$A$114&gt;35,BY60+BX61-CG60,IF(A61&lt;'Données projet'!$A$114,$BV$205^A61,IF(A61='Données projet'!$A$114,'Données projet'!$B$114,BY60+BX61-CG60)))</f>
        <v>439.99999999999994</v>
      </c>
      <c r="BZ61" s="13">
        <f>BY61*VLOOKUP('Données projet'!$B$12,Paramètres!$A$1:$I$89,3,0)*VLOOKUP('Données projet'!$B$12,Paramètres!$A$1:$I$89,5,0)</f>
        <v>263.12</v>
      </c>
      <c r="CA61" s="13">
        <f t="shared" si="39"/>
        <v>63.386973458752003</v>
      </c>
      <c r="CB61" s="20">
        <f t="shared" si="10"/>
        <v>568.66631210732646</v>
      </c>
      <c r="CC61" s="59">
        <f t="shared" si="11"/>
        <v>861.99964544065983</v>
      </c>
      <c r="CD61" s="59">
        <f ca="1">AVERAGE(OFFSET($CC$3,0,0,'Données projet'!$E$12+1,1))-AVERAGE(OFFSET($H$3,0,0,'Données projet'!$E$12+1,1))</f>
        <v>393.01180019332998</v>
      </c>
      <c r="CE61" s="59">
        <f t="shared" si="40"/>
        <v>283.82782416294748</v>
      </c>
      <c r="CF61" s="15">
        <f>IF(ISNA(VLOOKUP(A61,'Données projet'!$A$113:$I$133,3,0)),0,VLOOKUP(A61,'Données projet'!$A$113:$I$133,3,0))</f>
        <v>8</v>
      </c>
      <c r="CG61" s="15">
        <f>IF(ISNA(VLOOKUP(A61,'Données projet'!$A$113:$I$133,4,0)),0,VLOOKUP(A61,'Données projet'!$A$113:$I$133,4,0))</f>
        <v>78</v>
      </c>
      <c r="CH61" s="16">
        <f>IF(ISNA(VLOOKUP(A61,'Données projet'!$A$113:$I$133,5,0)),0%,VLOOKUP(A61,'Données projet'!$A$113:$I$133,5,0)*VLOOKUP('Données projet'!$B$12,Paramètres!$A$1:$I$89,7,0))</f>
        <v>0.315</v>
      </c>
      <c r="CI61" s="16">
        <f>IF(ISNA(VLOOKUP(A61,'Données projet'!$A$113:$I$133,6,0)),0%,VLOOKUP(A61,'Données projet'!$A$113:$I$133,6,0)*VLOOKUP('Données projet'!$B$12,Paramètres!$A$1:$I$89,7,0))</f>
        <v>0.13500000000000001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43.727590051276216</v>
      </c>
      <c r="CL61" s="21">
        <f>EXP(-LN(2)/25)*CL60+(1-EXP(-LN(2)/25))/(LN(2)/25)*Calculateur!CG61*Calculateur!CI61*VLOOKUP('Données projet'!$B$12,Paramètres!$A$1:$I$89,3,0)*0.475*44/12</f>
        <v>34.093694389990631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77.82128444126684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>
        <f>VLOOKUP(A61,'Données projet'!$A$139:$I$159,2,0)</f>
        <v>440</v>
      </c>
      <c r="CR61" s="12">
        <f>VLOOKUP(A61,'Données projet'!$A$139:$I$159,9,0)</f>
        <v>17.625</v>
      </c>
      <c r="CS61" s="12">
        <f t="array" ref="CS61">INDEX(CR:CR,MIN(IF(ISNUMBER(CR61:CR257),ROW(CR61:CR257),"")))</f>
        <v>17.625</v>
      </c>
      <c r="CT61" s="12">
        <f>IF('Données projet'!$A$140&gt;35,CT60+CS61-DB60,IF(A61&lt;'Données projet'!$A$140,$CQ$205^A61,IF(A61='Données projet'!$A$140,'Données projet'!$B$140,CT60+CS61-DB60)))</f>
        <v>439.99999999999994</v>
      </c>
      <c r="CU61" s="17">
        <f>CT61*VLOOKUP('Données projet'!$B$13,Paramètres!$A$1:$I$89,3,0)*VLOOKUP('Données projet'!$B$13,Paramètres!$A$1:$I$89,5,0)</f>
        <v>263.12</v>
      </c>
      <c r="CV61" s="13">
        <f t="shared" si="41"/>
        <v>63.386973458752003</v>
      </c>
      <c r="CW61" s="20">
        <f t="shared" si="13"/>
        <v>568.66631210732646</v>
      </c>
      <c r="CX61" s="59">
        <f t="shared" si="14"/>
        <v>861.99964544065983</v>
      </c>
      <c r="CY61" s="59">
        <f ca="1">AVERAGE(OFFSET($CX$3,0,0,'Données projet'!$E$13+1,1))-AVERAGE(OFFSET($H$3,0,0,'Données projet'!$E$13+1,1))</f>
        <v>393.01180019332998</v>
      </c>
      <c r="CZ61" s="59">
        <f t="shared" si="42"/>
        <v>283.82782416294748</v>
      </c>
      <c r="DA61" s="15">
        <f>IF(ISNA(VLOOKUP(A61,'Données projet'!$A$139:$I$159,3,0)),0,VLOOKUP(A61,'Données projet'!$A$139:$I$159,3,0))</f>
        <v>8</v>
      </c>
      <c r="DB61" s="15">
        <f>IF(ISNA(VLOOKUP(A61,'Données projet'!$A$139:$I$159,4,0)),0,VLOOKUP(A61,'Données projet'!$A$139:$I$159,4,0))</f>
        <v>78</v>
      </c>
      <c r="DC61" s="16">
        <f>IF(ISNA(VLOOKUP(A61,'Données projet'!$A$139:$I$159,5,0)),0%,VLOOKUP(A61,'Données projet'!$A$139:$I$159,5,0)*VLOOKUP('Données projet'!$B$13,Paramètres!$A$1:$I$89,7,0))</f>
        <v>0.315</v>
      </c>
      <c r="DD61" s="16">
        <f>IF(ISNA(VLOOKUP(A61,'Données projet'!$A$139:$I$159,6,0)),0%,VLOOKUP(A61,'Données projet'!$A$139:$I$159,6,0)*VLOOKUP('Données projet'!$B$13,Paramètres!$A$1:$I$89,7,0))</f>
        <v>0.13500000000000001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43.727590051276216</v>
      </c>
      <c r="DG61" s="21">
        <f>EXP(-LN(2)/25)*DG60+(1-EXP(-LN(2)/25))/(LN(2)/25)*Calculateur!DB61*Calculateur!DD61*VLOOKUP('Données projet'!$B$13,Paramètres!$A$1:$I$89,3,0)*0.475*44/12</f>
        <v>34.093694389990631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77.82128444126684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>
        <f>VLOOKUP(A61,'Données projet'!$A$165:$I$185,2,0)</f>
        <v>440</v>
      </c>
      <c r="DM61" s="12">
        <f>VLOOKUP(A61,'Données projet'!$A$165:$I$185,9,0)</f>
        <v>17.625</v>
      </c>
      <c r="DN61" s="12">
        <f t="array" ref="DN61">INDEX(DM:DM,MIN(IF(ISNUMBER(DM61:DM257),ROW(DM61:DM257),"")))</f>
        <v>17.625</v>
      </c>
      <c r="DO61" s="12">
        <f>IF('Données projet'!$A$166&gt;35,DO60+DN61-DW60,IF(A61&lt;'Données projet'!$A$166,$DL$205^A61,IF(A61='Données projet'!$A$166,'Données projet'!$B$166,DO60+DN61-DW60)))</f>
        <v>439.99999999999994</v>
      </c>
      <c r="DP61" s="17">
        <f>DO61*VLOOKUP('Données projet'!$B$14,Paramètres!$A$1:$I$89,3,0)*VLOOKUP('Données projet'!$B$14,Paramètres!$A$1:$I$89,5,0)</f>
        <v>263.12</v>
      </c>
      <c r="DQ61" s="13">
        <f t="shared" si="43"/>
        <v>63.386973458752003</v>
      </c>
      <c r="DR61" s="20">
        <f t="shared" si="16"/>
        <v>568.66631210732646</v>
      </c>
      <c r="DS61" s="59">
        <f t="shared" si="17"/>
        <v>861.99964544065983</v>
      </c>
      <c r="DT61" s="59">
        <f ca="1">AVERAGE(OFFSET($DS$3,0,0,'Données projet'!$E$14+1,1))-AVERAGE(OFFSET($H$3,0,0,'Données projet'!$E$14+1,1))</f>
        <v>393.01180019332998</v>
      </c>
      <c r="DU61" s="59">
        <f t="shared" si="44"/>
        <v>283.82782416294748</v>
      </c>
      <c r="DV61" s="15">
        <f>IF(ISNA(VLOOKUP(A61,'Données projet'!$A$165:$I$185,3,0)),0,VLOOKUP(A61,'Données projet'!$A$165:$I$185,3,0))</f>
        <v>8</v>
      </c>
      <c r="DW61" s="15">
        <f>IF(ISNA(VLOOKUP(A61,'Données projet'!$A$165:$I$185,4,0)),0,VLOOKUP(A61,'Données projet'!$A$165:$I$185,4,0))</f>
        <v>78</v>
      </c>
      <c r="DX61" s="16">
        <f>IF(ISNA(VLOOKUP(A61,'Données projet'!$A$165:$I$185,5,0)),0%,VLOOKUP(A61,'Données projet'!$A$165:$I$185,5,0)*VLOOKUP('Données projet'!$B$14,Paramètres!$A$1:$I$89,7,0))</f>
        <v>0.315</v>
      </c>
      <c r="DY61" s="16">
        <f>IF(ISNA(VLOOKUP(A61,'Données projet'!$A$165:$I$185,6,0)),0%,VLOOKUP(A61,'Données projet'!$A$165:$I$185,6,0)*VLOOKUP('Données projet'!$B$14,Paramètres!$A$1:$I$89,7,0))</f>
        <v>0.13500000000000001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43.727590051276216</v>
      </c>
      <c r="EB61" s="21">
        <f>EXP(-LN(2)/25)*EB60+(1-EXP(-LN(2)/25))/(LN(2)/25)*Calculateur!DW61*Calculateur!DY61*VLOOKUP('Données projet'!$B$14,Paramètres!$A$1:$I$89,3,0)*0.475*44/12</f>
        <v>34.093694389990631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77.82128444126684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6.8109600000000103</v>
      </c>
      <c r="D62" s="11">
        <f t="shared" si="32"/>
        <v>2.5105850884518883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14.391157329539775</v>
      </c>
      <c r="H62" s="67">
        <f t="shared" si="1"/>
        <v>272.90169102905372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13.500000000000004</v>
      </c>
      <c r="N62" s="13">
        <f>IF('Données projet'!$A$36&gt;35,N61+M62-V61,IF(A62&lt;'Données projet'!$A$36,$K$205^A62,IF(A62='Données projet'!$A$36,'Données projet'!$B$36,N61+M62-V61)))</f>
        <v>370.9559999999999</v>
      </c>
      <c r="O62" s="13">
        <f>N62*VLOOKUP('Données projet'!$B$9,Paramètres!$A$1:$I$89,3,0)*VLOOKUP('Données projet'!$B$9,Paramètres!$A$1:$I$89,5,0)</f>
        <v>173.60740799999994</v>
      </c>
      <c r="P62" s="13">
        <f t="shared" si="33"/>
        <v>43.896972956045019</v>
      </c>
      <c r="Q62" s="20">
        <f t="shared" si="53"/>
        <v>378.82013016511155</v>
      </c>
      <c r="R62" s="59">
        <f t="shared" si="0"/>
        <v>672.15346349844481</v>
      </c>
      <c r="S62" s="59">
        <f ca="1">AVERAGE(OFFSET($R$3,0,0,'Données projet'!$E$9+1,1))-AVERAGE(OFFSET($H$3,0,0,'Données projet'!$E$9+1,1))</f>
        <v>189.8770435341392</v>
      </c>
      <c r="T62" s="59">
        <f t="shared" si="34"/>
        <v>230.18380961122767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18.239055274716737</v>
      </c>
      <c r="AA62" s="21">
        <f>EXP(-LN(2)/25)*AA61+(1-EXP(-LN(2)/25))/(LN(2)/25)*Calculateur!V62*Calculateur!X62*VLOOKUP('Données projet'!$B$9,Paramètres!$A$1:$I$89,3,0)*0.475*44/12</f>
        <v>23.686492696881871</v>
      </c>
      <c r="AB62" s="21">
        <f>EXP(-LN(2)/2)*AB61+(1-EXP(-LN(2)/2))/(LN(2)/2)*V62*Y62*VLOOKUP('Données projet'!$B$9,Paramètres!$A$1:$I$89,3,0)*0.475*44/12</f>
        <v>0</v>
      </c>
      <c r="AC62" s="22">
        <f t="shared" si="3"/>
        <v>41.925547971598604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8.2203120000000016</v>
      </c>
      <c r="AI62" s="13">
        <f>IF('Données projet'!$A$62&gt;35,AI61+AH62-AQ61,IF(A62&lt;'Données projet'!$A$62,$AF$205^A62,IF(A62='Données projet'!$A$62,'Données projet'!$B$62,AI61+AH62-AQ61)))</f>
        <v>318.78946799999983</v>
      </c>
      <c r="AJ62" s="13">
        <f>AI62*VLOOKUP('Données projet'!$B$10,Paramètres!$A$1:$I$89,3,0)*VLOOKUP('Données projet'!$B$10,Paramètres!$A$1:$I$89,5,0)</f>
        <v>140.90494485599993</v>
      </c>
      <c r="AK62" s="13">
        <f t="shared" si="35"/>
        <v>36.504237851052437</v>
      </c>
      <c r="AL62" s="20">
        <f t="shared" si="4"/>
        <v>308.98765988144947</v>
      </c>
      <c r="AM62" s="59">
        <f t="shared" si="5"/>
        <v>602.32099321478279</v>
      </c>
      <c r="AN62" s="59">
        <f ca="1">AVERAGE(OFFSET($AM$3,0,0,'Données projet'!$E$10+1,1))-AVERAGE(OFFSET($H$3,0,0,'Données projet'!$E$10+1,1))</f>
        <v>207.77463758757142</v>
      </c>
      <c r="AO62" s="59">
        <f t="shared" si="36"/>
        <v>180.50802165484066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15.560880473932027</v>
      </c>
      <c r="AV62" s="21">
        <f>EXP(-LN(2)/25)*AV61+(1-EXP(-LN(2)/25))/(LN(2)/25)*Calculateur!AQ62*Calculateur!AS62*VLOOKUP('Données projet'!$B$10,Paramètres!$A$1:$I$89,3,0)*0.475*44/12</f>
        <v>26.828557060494457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42.389437534426484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16.625</v>
      </c>
      <c r="BD62" s="12">
        <f>IF('Données projet'!$A$88&gt;35,BD61+BC62-BL61,IF(A62&lt;'Données projet'!$A$88,$BA$205^A62,IF(A62='Données projet'!$A$88,'Données projet'!$B$88,BD61+BC62-BL61)))</f>
        <v>378.62499999999994</v>
      </c>
      <c r="BE62" s="13">
        <f>BD62*VLOOKUP('Données projet'!$B$11,Paramètres!$A$1:$I$89,3,0)*VLOOKUP('Données projet'!$B$11,Paramètres!$A$1:$I$89,5,0)</f>
        <v>226.41774999999998</v>
      </c>
      <c r="BF62" s="13">
        <f t="shared" si="37"/>
        <v>55.507409107649494</v>
      </c>
      <c r="BG62" s="20">
        <f t="shared" si="7"/>
        <v>491.0196521124895</v>
      </c>
      <c r="BH62" s="59">
        <f t="shared" si="8"/>
        <v>784.35298544582281</v>
      </c>
      <c r="BI62" s="59">
        <f ca="1">AVERAGE(OFFSET($BH$3,0,0,'Données projet'!$E$11+1,1))-AVERAGE(OFFSET($H$3,0,0,'Données projet'!$E$11+1,1))</f>
        <v>393.01180019332998</v>
      </c>
      <c r="BJ62" s="59">
        <f t="shared" si="38"/>
        <v>283.82782416294748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42.870118681567057</v>
      </c>
      <c r="BQ62" s="21">
        <f>EXP(-LN(2)/25)*BQ61+(1-EXP(-LN(2)/25))/(LN(2)/25)*Calculateur!BL62*Calculateur!BN62*VLOOKUP('Données projet'!$B$11,Paramètres!$A$1:$I$89,3,0)*0.475*44/12</f>
        <v>33.16140052398687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76.031519205553934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16.625</v>
      </c>
      <c r="BY62" s="12">
        <f>IF('Données projet'!$A$114&gt;35,BY61+BX62-CG61,IF(A62&lt;'Données projet'!$A$114,$BV$205^A62,IF(A62='Données projet'!$A$114,'Données projet'!$B$114,BY61+BX62-CG61)))</f>
        <v>378.62499999999994</v>
      </c>
      <c r="BZ62" s="13">
        <f>BY62*VLOOKUP('Données projet'!$B$12,Paramètres!$A$1:$I$89,3,0)*VLOOKUP('Données projet'!$B$12,Paramètres!$A$1:$I$89,5,0)</f>
        <v>226.41774999999998</v>
      </c>
      <c r="CA62" s="13">
        <f t="shared" si="39"/>
        <v>55.507409107649494</v>
      </c>
      <c r="CB62" s="20">
        <f t="shared" si="10"/>
        <v>491.0196521124895</v>
      </c>
      <c r="CC62" s="59">
        <f t="shared" si="11"/>
        <v>784.35298544582281</v>
      </c>
      <c r="CD62" s="59">
        <f ca="1">AVERAGE(OFFSET($CC$3,0,0,'Données projet'!$E$12+1,1))-AVERAGE(OFFSET($H$3,0,0,'Données projet'!$E$12+1,1))</f>
        <v>393.01180019332998</v>
      </c>
      <c r="CE62" s="59">
        <f t="shared" si="40"/>
        <v>283.82782416294748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42.870118681567057</v>
      </c>
      <c r="CL62" s="21">
        <f>EXP(-LN(2)/25)*CL61+(1-EXP(-LN(2)/25))/(LN(2)/25)*Calculateur!CG62*Calculateur!CI62*VLOOKUP('Données projet'!$B$12,Paramètres!$A$1:$I$89,3,0)*0.475*44/12</f>
        <v>33.16140052398687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76.031519205553934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16.625</v>
      </c>
      <c r="CT62" s="12">
        <f>IF('Données projet'!$A$140&gt;35,CT61+CS62-DB61,IF(A62&lt;'Données projet'!$A$140,$CQ$205^A62,IF(A62='Données projet'!$A$140,'Données projet'!$B$140,CT61+CS62-DB61)))</f>
        <v>378.62499999999994</v>
      </c>
      <c r="CU62" s="17">
        <f>CT62*VLOOKUP('Données projet'!$B$13,Paramètres!$A$1:$I$89,3,0)*VLOOKUP('Données projet'!$B$13,Paramètres!$A$1:$I$89,5,0)</f>
        <v>226.41774999999998</v>
      </c>
      <c r="CV62" s="13">
        <f t="shared" si="41"/>
        <v>55.507409107649494</v>
      </c>
      <c r="CW62" s="20">
        <f t="shared" si="13"/>
        <v>491.0196521124895</v>
      </c>
      <c r="CX62" s="59">
        <f t="shared" si="14"/>
        <v>784.35298544582281</v>
      </c>
      <c r="CY62" s="59">
        <f ca="1">AVERAGE(OFFSET($CX$3,0,0,'Données projet'!$E$13+1,1))-AVERAGE(OFFSET($H$3,0,0,'Données projet'!$E$13+1,1))</f>
        <v>393.01180019332998</v>
      </c>
      <c r="CZ62" s="59">
        <f t="shared" si="42"/>
        <v>283.82782416294748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42.870118681567057</v>
      </c>
      <c r="DG62" s="21">
        <f>EXP(-LN(2)/25)*DG61+(1-EXP(-LN(2)/25))/(LN(2)/25)*Calculateur!DB62*Calculateur!DD62*VLOOKUP('Données projet'!$B$13,Paramètres!$A$1:$I$89,3,0)*0.475*44/12</f>
        <v>33.16140052398687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76.031519205553934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16.625</v>
      </c>
      <c r="DO62" s="12">
        <f>IF('Données projet'!$A$166&gt;35,DO61+DN62-DW61,IF(A62&lt;'Données projet'!$A$166,$DL$205^A62,IF(A62='Données projet'!$A$166,'Données projet'!$B$166,DO61+DN62-DW61)))</f>
        <v>378.62499999999994</v>
      </c>
      <c r="DP62" s="17">
        <f>DO62*VLOOKUP('Données projet'!$B$14,Paramètres!$A$1:$I$89,3,0)*VLOOKUP('Données projet'!$B$14,Paramètres!$A$1:$I$89,5,0)</f>
        <v>226.41774999999998</v>
      </c>
      <c r="DQ62" s="13">
        <f t="shared" si="43"/>
        <v>55.507409107649494</v>
      </c>
      <c r="DR62" s="20">
        <f t="shared" si="16"/>
        <v>491.0196521124895</v>
      </c>
      <c r="DS62" s="59">
        <f t="shared" si="17"/>
        <v>784.35298544582281</v>
      </c>
      <c r="DT62" s="59">
        <f ca="1">AVERAGE(OFFSET($DS$3,0,0,'Données projet'!$E$14+1,1))-AVERAGE(OFFSET($H$3,0,0,'Données projet'!$E$14+1,1))</f>
        <v>393.01180019332998</v>
      </c>
      <c r="DU62" s="59">
        <f t="shared" si="44"/>
        <v>283.82782416294748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42.870118681567057</v>
      </c>
      <c r="EB62" s="21">
        <f>EXP(-LN(2)/25)*EB61+(1-EXP(-LN(2)/25))/(LN(2)/25)*Calculateur!DW62*Calculateur!DY62*VLOOKUP('Données projet'!$B$14,Paramètres!$A$1:$I$89,3,0)*0.475*44/12</f>
        <v>33.16140052398687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76.031519205553934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6.9264000000000108</v>
      </c>
      <c r="D63" s="11">
        <f t="shared" si="32"/>
        <v>2.5481474340493051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14.62737147712877</v>
      </c>
      <c r="H63" s="67">
        <f t="shared" si="1"/>
        <v>273.1681701143026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384.45600000000002</v>
      </c>
      <c r="L63" s="12">
        <f>VLOOKUP(A63,'Données projet'!$A$35:$I$55,9,0)</f>
        <v>13.500000000000004</v>
      </c>
      <c r="M63" s="12">
        <f t="array" ref="M63">INDEX(L:L,MIN(IF(ISNUMBER(L63:L259),ROW(L63:L259),"")))</f>
        <v>13.500000000000004</v>
      </c>
      <c r="N63" s="13">
        <f>IF('Données projet'!$A$36&gt;35,N62+M63-V62,IF(A63&lt;'Données projet'!$A$36,$K$205^A63,IF(A63='Données projet'!$A$36,'Données projet'!$B$36,N62+M63-V62)))</f>
        <v>384.4559999999999</v>
      </c>
      <c r="O63" s="13">
        <f>N63*VLOOKUP('Données projet'!$B$9,Paramètres!$A$1:$I$89,3,0)*VLOOKUP('Données projet'!$B$9,Paramètres!$A$1:$I$89,5,0)</f>
        <v>179.92540799999995</v>
      </c>
      <c r="P63" s="13">
        <f t="shared" si="33"/>
        <v>45.30559042053045</v>
      </c>
      <c r="Q63" s="20">
        <f t="shared" si="53"/>
        <v>392.27732224909045</v>
      </c>
      <c r="R63" s="59">
        <f t="shared" si="0"/>
        <v>685.61065558242376</v>
      </c>
      <c r="S63" s="59">
        <f ca="1">AVERAGE(OFFSET($R$3,0,0,'Données projet'!$E$9+1,1))-AVERAGE(OFFSET($H$3,0,0,'Données projet'!$E$9+1,1))</f>
        <v>189.8770435341392</v>
      </c>
      <c r="T63" s="59">
        <f t="shared" si="34"/>
        <v>230.18380961122767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384.45600000000002</v>
      </c>
      <c r="W63" s="16">
        <f>IF(ISNA(VLOOKUP(A63,'Données projet'!$A$35:$I$55,5,0)),0%,VLOOKUP(A63,'Données projet'!$A$35:$I$55,5,0)*VLOOKUP('Données projet'!$B$9,Paramètres!$A$1:$I$89,7,0))</f>
        <v>0.38500000000000001</v>
      </c>
      <c r="X63" s="16">
        <f>IF(ISNA(VLOOKUP(A63,'Données projet'!$A$35:$I$55,6,0)),0%,VLOOKUP(A63,'Données projet'!$A$35:$I$55,6,0)*VLOOKUP('Données projet'!$B$9,Paramètres!$A$1:$I$89,7,0))</f>
        <v>0.16500000000000001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109.77421911555876</v>
      </c>
      <c r="AA63" s="21">
        <f>EXP(-LN(2)/25)*AA62+(1-EXP(-LN(2)/25))/(LN(2)/25)*Calculateur!V63*Calculateur!X63*VLOOKUP('Données projet'!$B$9,Paramètres!$A$1:$I$89,3,0)*0.475*44/12</f>
        <v>62.266357254816228</v>
      </c>
      <c r="AB63" s="21">
        <f>EXP(-LN(2)/2)*AB62+(1-EXP(-LN(2)/2))/(LN(2)/2)*V63*Y63*VLOOKUP('Données projet'!$B$9,Paramètres!$A$1:$I$89,3,0)*0.475*44/12</f>
        <v>0</v>
      </c>
      <c r="AC63" s="22">
        <f t="shared" si="3"/>
        <v>172.04057637037499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327.00978000000003</v>
      </c>
      <c r="AG63" s="12">
        <f>VLOOKUP(A63,'Données projet'!$A$61:$I$81,9,0)</f>
        <v>8.2203120000000016</v>
      </c>
      <c r="AH63" s="12">
        <f t="array" ref="AH63">INDEX(AG:AG,MIN(IF(ISNUMBER(AG63:AG259),ROW(AG63:AG259),"")))</f>
        <v>8.2203120000000016</v>
      </c>
      <c r="AI63" s="13">
        <f>IF('Données projet'!$A$62&gt;35,AI62+AH63-AQ62,IF(A63&lt;'Données projet'!$A$62,$AF$205^A63,IF(A63='Données projet'!$A$62,'Données projet'!$B$62,AI62+AH63-AQ62)))</f>
        <v>327.00977999999981</v>
      </c>
      <c r="AJ63" s="13">
        <f>AI63*VLOOKUP('Données projet'!$B$10,Paramètres!$A$1:$I$89,3,0)*VLOOKUP('Données projet'!$B$10,Paramètres!$A$1:$I$89,5,0)</f>
        <v>144.53832275999994</v>
      </c>
      <c r="AK63" s="13">
        <f t="shared" si="35"/>
        <v>37.334733292891222</v>
      </c>
      <c r="AL63" s="20">
        <f t="shared" si="4"/>
        <v>316.76223929211881</v>
      </c>
      <c r="AM63" s="59">
        <f t="shared" si="5"/>
        <v>610.09557262545218</v>
      </c>
      <c r="AN63" s="59">
        <f ca="1">AVERAGE(OFFSET($AM$3,0,0,'Données projet'!$E$10+1,1))-AVERAGE(OFFSET($H$3,0,0,'Données projet'!$E$10+1,1))</f>
        <v>207.77463758757142</v>
      </c>
      <c r="AO63" s="59">
        <f t="shared" si="36"/>
        <v>180.50802165484066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17.486190000000001</v>
      </c>
      <c r="AR63" s="16">
        <f>IF(ISNA(VLOOKUP(A63,'Données projet'!$A$61:$I$81,5,0)),0%,VLOOKUP(A63,'Données projet'!$A$61:$I$81,5,0)*VLOOKUP('Données projet'!$B$10,Paramètres!$A$1:$I$89,7,0))</f>
        <v>0.38500000000000001</v>
      </c>
      <c r="AS63" s="16">
        <f>IF(ISNA(VLOOKUP(A63,'Données projet'!$A$61:$I$81,6,0)),0%,VLOOKUP(A63,'Données projet'!$A$61:$I$81,6,0)*VLOOKUP('Données projet'!$B$10,Paramètres!$A$1:$I$89,7,0))</f>
        <v>0.16500000000000001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19.20309939347829</v>
      </c>
      <c r="AV63" s="21">
        <f>EXP(-LN(2)/25)*AV62+(1-EXP(-LN(2)/25))/(LN(2)/25)*Calculateur!AQ63*Calculateur!AS63*VLOOKUP('Données projet'!$B$10,Paramètres!$A$1:$I$89,3,0)*0.475*44/12</f>
        <v>27.779992774297106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46.983092167775396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16.625</v>
      </c>
      <c r="BD63" s="12">
        <f>IF('Données projet'!$A$88&gt;35,BD62+BC63-BL62,IF(A63&lt;'Données projet'!$A$88,$BA$205^A63,IF(A63='Données projet'!$A$88,'Données projet'!$B$88,BD62+BC63-BL62)))</f>
        <v>395.24999999999994</v>
      </c>
      <c r="BE63" s="13">
        <f>BD63*VLOOKUP('Données projet'!$B$11,Paramètres!$A$1:$I$89,3,0)*VLOOKUP('Données projet'!$B$11,Paramètres!$A$1:$I$89,5,0)</f>
        <v>236.35949999999997</v>
      </c>
      <c r="BF63" s="13">
        <f t="shared" si="37"/>
        <v>57.655563749416167</v>
      </c>
      <c r="BG63" s="20">
        <f t="shared" si="7"/>
        <v>512.07623603023308</v>
      </c>
      <c r="BH63" s="59">
        <f t="shared" si="8"/>
        <v>805.40956936356633</v>
      </c>
      <c r="BI63" s="59">
        <f ca="1">AVERAGE(OFFSET($BH$3,0,0,'Données projet'!$E$11+1,1))-AVERAGE(OFFSET($H$3,0,0,'Données projet'!$E$11+1,1))</f>
        <v>393.01180019332998</v>
      </c>
      <c r="BJ63" s="59">
        <f t="shared" si="38"/>
        <v>283.82782416294748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42.029461802412001</v>
      </c>
      <c r="BQ63" s="21">
        <f>EXP(-LN(2)/25)*BQ62+(1-EXP(-LN(2)/25))/(LN(2)/25)*Calculateur!BL63*Calculateur!BN63*VLOOKUP('Données projet'!$B$11,Paramètres!$A$1:$I$89,3,0)*0.475*44/12</f>
        <v>32.254600282776188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74.284062085188197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16.625</v>
      </c>
      <c r="BY63" s="12">
        <f>IF('Données projet'!$A$114&gt;35,BY62+BX63-CG62,IF(A63&lt;'Données projet'!$A$114,$BV$205^A63,IF(A63='Données projet'!$A$114,'Données projet'!$B$114,BY62+BX63-CG62)))</f>
        <v>395.24999999999994</v>
      </c>
      <c r="BZ63" s="13">
        <f>BY63*VLOOKUP('Données projet'!$B$12,Paramètres!$A$1:$I$89,3,0)*VLOOKUP('Données projet'!$B$12,Paramètres!$A$1:$I$89,5,0)</f>
        <v>236.35949999999997</v>
      </c>
      <c r="CA63" s="13">
        <f t="shared" si="39"/>
        <v>57.655563749416167</v>
      </c>
      <c r="CB63" s="20">
        <f t="shared" si="10"/>
        <v>512.07623603023308</v>
      </c>
      <c r="CC63" s="59">
        <f t="shared" si="11"/>
        <v>805.40956936356633</v>
      </c>
      <c r="CD63" s="59">
        <f ca="1">AVERAGE(OFFSET($CC$3,0,0,'Données projet'!$E$12+1,1))-AVERAGE(OFFSET($H$3,0,0,'Données projet'!$E$12+1,1))</f>
        <v>393.01180019332998</v>
      </c>
      <c r="CE63" s="59">
        <f t="shared" si="40"/>
        <v>283.82782416294748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42.029461802412001</v>
      </c>
      <c r="CL63" s="21">
        <f>EXP(-LN(2)/25)*CL62+(1-EXP(-LN(2)/25))/(LN(2)/25)*Calculateur!CG63*Calculateur!CI63*VLOOKUP('Données projet'!$B$12,Paramètres!$A$1:$I$89,3,0)*0.475*44/12</f>
        <v>32.254600282776188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74.284062085188197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16.625</v>
      </c>
      <c r="CT63" s="12">
        <f>IF('Données projet'!$A$140&gt;35,CT62+CS63-DB62,IF(A63&lt;'Données projet'!$A$140,$CQ$205^A63,IF(A63='Données projet'!$A$140,'Données projet'!$B$140,CT62+CS63-DB62)))</f>
        <v>395.24999999999994</v>
      </c>
      <c r="CU63" s="17">
        <f>CT63*VLOOKUP('Données projet'!$B$13,Paramètres!$A$1:$I$89,3,0)*VLOOKUP('Données projet'!$B$13,Paramètres!$A$1:$I$89,5,0)</f>
        <v>236.35949999999997</v>
      </c>
      <c r="CV63" s="13">
        <f t="shared" si="41"/>
        <v>57.655563749416167</v>
      </c>
      <c r="CW63" s="20">
        <f t="shared" si="13"/>
        <v>512.07623603023308</v>
      </c>
      <c r="CX63" s="59">
        <f t="shared" si="14"/>
        <v>805.40956936356633</v>
      </c>
      <c r="CY63" s="59">
        <f ca="1">AVERAGE(OFFSET($CX$3,0,0,'Données projet'!$E$13+1,1))-AVERAGE(OFFSET($H$3,0,0,'Données projet'!$E$13+1,1))</f>
        <v>393.01180019332998</v>
      </c>
      <c r="CZ63" s="59">
        <f t="shared" si="42"/>
        <v>283.82782416294748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42.029461802412001</v>
      </c>
      <c r="DG63" s="21">
        <f>EXP(-LN(2)/25)*DG62+(1-EXP(-LN(2)/25))/(LN(2)/25)*Calculateur!DB63*Calculateur!DD63*VLOOKUP('Données projet'!$B$13,Paramètres!$A$1:$I$89,3,0)*0.475*44/12</f>
        <v>32.254600282776188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74.284062085188197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16.625</v>
      </c>
      <c r="DO63" s="12">
        <f>IF('Données projet'!$A$166&gt;35,DO62+DN63-DW62,IF(A63&lt;'Données projet'!$A$166,$DL$205^A63,IF(A63='Données projet'!$A$166,'Données projet'!$B$166,DO62+DN63-DW62)))</f>
        <v>395.24999999999994</v>
      </c>
      <c r="DP63" s="17">
        <f>DO63*VLOOKUP('Données projet'!$B$14,Paramètres!$A$1:$I$89,3,0)*VLOOKUP('Données projet'!$B$14,Paramètres!$A$1:$I$89,5,0)</f>
        <v>236.35949999999997</v>
      </c>
      <c r="DQ63" s="13">
        <f t="shared" si="43"/>
        <v>57.655563749416167</v>
      </c>
      <c r="DR63" s="20">
        <f t="shared" si="16"/>
        <v>512.07623603023308</v>
      </c>
      <c r="DS63" s="59">
        <f t="shared" si="17"/>
        <v>805.40956936356633</v>
      </c>
      <c r="DT63" s="59">
        <f ca="1">AVERAGE(OFFSET($DS$3,0,0,'Données projet'!$E$14+1,1))-AVERAGE(OFFSET($H$3,0,0,'Données projet'!$E$14+1,1))</f>
        <v>393.01180019332998</v>
      </c>
      <c r="DU63" s="59">
        <f t="shared" si="44"/>
        <v>283.82782416294748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42.029461802412001</v>
      </c>
      <c r="EB63" s="21">
        <f>EXP(-LN(2)/25)*EB62+(1-EXP(-LN(2)/25))/(LN(2)/25)*Calculateur!DW63*Calculateur!DY63*VLOOKUP('Données projet'!$B$14,Paramètres!$A$1:$I$89,3,0)*0.475*44/12</f>
        <v>32.254600282776188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74.284062085188197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7.0418400000000112</v>
      </c>
      <c r="D64" s="11">
        <f t="shared" si="32"/>
        <v>2.5856369757719002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14.863473225753125</v>
      </c>
      <c r="H64" s="67">
        <f t="shared" si="1"/>
        <v>273.43452239946942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-1.1368683772161603E-13</v>
      </c>
      <c r="O64" s="13">
        <f>N64*VLOOKUP('Données projet'!$B$9,Paramètres!$A$1:$I$89,3,0)*VLOOKUP('Données projet'!$B$9,Paramètres!$A$1:$I$89,5,0)</f>
        <v>-5.3205440053716299E-14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189.8770435341392</v>
      </c>
      <c r="T64" s="59">
        <f t="shared" si="34"/>
        <v>230.18380961122767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107.62161363436499</v>
      </c>
      <c r="AA64" s="21">
        <f>EXP(-LN(2)/25)*AA63+(1-EXP(-LN(2)/25))/(LN(2)/25)*Calculateur!V64*Calculateur!X64*VLOOKUP('Données projet'!$B$9,Paramètres!$A$1:$I$89,3,0)*0.475*44/12</f>
        <v>60.563680441237864</v>
      </c>
      <c r="AB64" s="21">
        <f>EXP(-LN(2)/2)*AB63+(1-EXP(-LN(2)/2))/(LN(2)/2)*V64*Y64*VLOOKUP('Données projet'!$B$9,Paramètres!$A$1:$I$89,3,0)*0.475*44/12</f>
        <v>0</v>
      </c>
      <c r="AC64" s="22">
        <f t="shared" si="3"/>
        <v>168.18529407560285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7.6073939999999993</v>
      </c>
      <c r="AI64" s="13">
        <f>IF('Données projet'!$A$62&gt;35,AI63+AH64-AQ63,IF(A64&lt;'Données projet'!$A$62,$AF$205^A64,IF(A64='Données projet'!$A$62,'Données projet'!$B$62,AI63+AH64-AQ63)))</f>
        <v>317.13098399999978</v>
      </c>
      <c r="AJ64" s="13">
        <f>AI64*VLOOKUP('Données projet'!$B$10,Paramètres!$A$1:$I$89,3,0)*VLOOKUP('Données projet'!$B$10,Paramètres!$A$1:$I$89,5,0)</f>
        <v>140.17189492799992</v>
      </c>
      <c r="AK64" s="13">
        <f t="shared" si="35"/>
        <v>36.336381396499263</v>
      </c>
      <c r="AL64" s="20">
        <f t="shared" si="4"/>
        <v>307.41858126516939</v>
      </c>
      <c r="AM64" s="59">
        <f t="shared" si="5"/>
        <v>600.75191459850271</v>
      </c>
      <c r="AN64" s="59">
        <f ca="1">AVERAGE(OFFSET($AM$3,0,0,'Données projet'!$E$10+1,1))-AVERAGE(OFFSET($H$3,0,0,'Données projet'!$E$10+1,1))</f>
        <v>207.77463758757142</v>
      </c>
      <c r="AO64" s="59">
        <f t="shared" si="36"/>
        <v>180.50802165484066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18.826538327106274</v>
      </c>
      <c r="AV64" s="21">
        <f>EXP(-LN(2)/25)*AV63+(1-EXP(-LN(2)/25))/(LN(2)/25)*Calculateur!AQ64*Calculateur!AS64*VLOOKUP('Données projet'!$B$10,Paramètres!$A$1:$I$89,3,0)*0.475*44/12</f>
        <v>27.020347410997623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45.846885738103893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16.625</v>
      </c>
      <c r="BD64" s="12">
        <f>IF('Données projet'!$A$88&gt;35,BD63+BC64-BL63,IF(A64&lt;'Données projet'!$A$88,$BA$205^A64,IF(A64='Données projet'!$A$88,'Données projet'!$B$88,BD63+BC64-BL63)))</f>
        <v>411.87499999999994</v>
      </c>
      <c r="BE64" s="13">
        <f>BD64*VLOOKUP('Données projet'!$B$11,Paramètres!$A$1:$I$89,3,0)*VLOOKUP('Données projet'!$B$11,Paramètres!$A$1:$I$89,5,0)</f>
        <v>246.30124999999998</v>
      </c>
      <c r="BF64" s="13">
        <f t="shared" si="37"/>
        <v>59.793223430016852</v>
      </c>
      <c r="BG64" s="20">
        <f t="shared" si="7"/>
        <v>533.11454122394582</v>
      </c>
      <c r="BH64" s="59">
        <f t="shared" si="8"/>
        <v>826.44787455727919</v>
      </c>
      <c r="BI64" s="59">
        <f ca="1">AVERAGE(OFFSET($BH$3,0,0,'Données projet'!$E$11+1,1))-AVERAGE(OFFSET($H$3,0,0,'Données projet'!$E$11+1,1))</f>
        <v>393.01180019332998</v>
      </c>
      <c r="BJ64" s="59">
        <f t="shared" si="38"/>
        <v>283.82782416294748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41.205289691907112</v>
      </c>
      <c r="BQ64" s="21">
        <f>EXP(-LN(2)/25)*BQ63+(1-EXP(-LN(2)/25))/(LN(2)/25)*Calculateur!BL64*Calculateur!BN64*VLOOKUP('Données projet'!$B$11,Paramètres!$A$1:$I$89,3,0)*0.475*44/12</f>
        <v>31.372596541847962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72.577886233755066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16.625</v>
      </c>
      <c r="BY64" s="12">
        <f>IF('Données projet'!$A$114&gt;35,BY63+BX64-CG63,IF(A64&lt;'Données projet'!$A$114,$BV$205^A64,IF(A64='Données projet'!$A$114,'Données projet'!$B$114,BY63+BX64-CG63)))</f>
        <v>411.87499999999994</v>
      </c>
      <c r="BZ64" s="13">
        <f>BY64*VLOOKUP('Données projet'!$B$12,Paramètres!$A$1:$I$89,3,0)*VLOOKUP('Données projet'!$B$12,Paramètres!$A$1:$I$89,5,0)</f>
        <v>246.30124999999998</v>
      </c>
      <c r="CA64" s="13">
        <f t="shared" si="39"/>
        <v>59.793223430016852</v>
      </c>
      <c r="CB64" s="20">
        <f t="shared" si="10"/>
        <v>533.11454122394582</v>
      </c>
      <c r="CC64" s="59">
        <f t="shared" si="11"/>
        <v>826.44787455727919</v>
      </c>
      <c r="CD64" s="59">
        <f ca="1">AVERAGE(OFFSET($CC$3,0,0,'Données projet'!$E$12+1,1))-AVERAGE(OFFSET($H$3,0,0,'Données projet'!$E$12+1,1))</f>
        <v>393.01180019332998</v>
      </c>
      <c r="CE64" s="59">
        <f t="shared" si="40"/>
        <v>283.82782416294748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41.205289691907112</v>
      </c>
      <c r="CL64" s="21">
        <f>EXP(-LN(2)/25)*CL63+(1-EXP(-LN(2)/25))/(LN(2)/25)*Calculateur!CG64*Calculateur!CI64*VLOOKUP('Données projet'!$B$12,Paramètres!$A$1:$I$89,3,0)*0.475*44/12</f>
        <v>31.372596541847962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72.577886233755066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16.625</v>
      </c>
      <c r="CT64" s="12">
        <f>IF('Données projet'!$A$140&gt;35,CT63+CS64-DB63,IF(A64&lt;'Données projet'!$A$140,$CQ$205^A64,IF(A64='Données projet'!$A$140,'Données projet'!$B$140,CT63+CS64-DB63)))</f>
        <v>411.87499999999994</v>
      </c>
      <c r="CU64" s="17">
        <f>CT64*VLOOKUP('Données projet'!$B$13,Paramètres!$A$1:$I$89,3,0)*VLOOKUP('Données projet'!$B$13,Paramètres!$A$1:$I$89,5,0)</f>
        <v>246.30124999999998</v>
      </c>
      <c r="CV64" s="13">
        <f t="shared" si="41"/>
        <v>59.793223430016852</v>
      </c>
      <c r="CW64" s="20">
        <f t="shared" si="13"/>
        <v>533.11454122394582</v>
      </c>
      <c r="CX64" s="59">
        <f t="shared" si="14"/>
        <v>826.44787455727919</v>
      </c>
      <c r="CY64" s="59">
        <f ca="1">AVERAGE(OFFSET($CX$3,0,0,'Données projet'!$E$13+1,1))-AVERAGE(OFFSET($H$3,0,0,'Données projet'!$E$13+1,1))</f>
        <v>393.01180019332998</v>
      </c>
      <c r="CZ64" s="59">
        <f t="shared" si="42"/>
        <v>283.82782416294748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41.205289691907112</v>
      </c>
      <c r="DG64" s="21">
        <f>EXP(-LN(2)/25)*DG63+(1-EXP(-LN(2)/25))/(LN(2)/25)*Calculateur!DB64*Calculateur!DD64*VLOOKUP('Données projet'!$B$13,Paramètres!$A$1:$I$89,3,0)*0.475*44/12</f>
        <v>31.372596541847962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72.577886233755066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16.625</v>
      </c>
      <c r="DO64" s="12">
        <f>IF('Données projet'!$A$166&gt;35,DO63+DN64-DW63,IF(A64&lt;'Données projet'!$A$166,$DL$205^A64,IF(A64='Données projet'!$A$166,'Données projet'!$B$166,DO63+DN64-DW63)))</f>
        <v>411.87499999999994</v>
      </c>
      <c r="DP64" s="17">
        <f>DO64*VLOOKUP('Données projet'!$B$14,Paramètres!$A$1:$I$89,3,0)*VLOOKUP('Données projet'!$B$14,Paramètres!$A$1:$I$89,5,0)</f>
        <v>246.30124999999998</v>
      </c>
      <c r="DQ64" s="13">
        <f t="shared" si="43"/>
        <v>59.793223430016852</v>
      </c>
      <c r="DR64" s="20">
        <f t="shared" si="16"/>
        <v>533.11454122394582</v>
      </c>
      <c r="DS64" s="59">
        <f t="shared" si="17"/>
        <v>826.44787455727919</v>
      </c>
      <c r="DT64" s="59">
        <f ca="1">AVERAGE(OFFSET($DS$3,0,0,'Données projet'!$E$14+1,1))-AVERAGE(OFFSET($H$3,0,0,'Données projet'!$E$14+1,1))</f>
        <v>393.01180019332998</v>
      </c>
      <c r="DU64" s="59">
        <f t="shared" si="44"/>
        <v>283.82782416294748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41.205289691907112</v>
      </c>
      <c r="EB64" s="21">
        <f>EXP(-LN(2)/25)*EB63+(1-EXP(-LN(2)/25))/(LN(2)/25)*Calculateur!DW64*Calculateur!DY64*VLOOKUP('Données projet'!$B$14,Paramètres!$A$1:$I$89,3,0)*0.475*44/12</f>
        <v>31.372596541847962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72.577886233755066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7.1572800000000116</v>
      </c>
      <c r="D65" s="11">
        <f t="shared" si="32"/>
        <v>2.6230550448996173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15.099464630722238</v>
      </c>
      <c r="H65" s="67">
        <f t="shared" si="1"/>
        <v>273.70075020320019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-1.1368683772161603E-13</v>
      </c>
      <c r="O65" s="13">
        <f>N65*VLOOKUP('Données projet'!$B$9,Paramètres!$A$1:$I$89,3,0)*VLOOKUP('Données projet'!$B$9,Paramètres!$A$1:$I$89,5,0)</f>
        <v>-5.3205440053716299E-14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189.8770435341392</v>
      </c>
      <c r="T65" s="59">
        <f t="shared" si="34"/>
        <v>230.18380961122767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105.51121943369773</v>
      </c>
      <c r="AA65" s="21">
        <f>EXP(-LN(2)/25)*AA64+(1-EXP(-LN(2)/25))/(LN(2)/25)*Calculateur!V65*Calculateur!X65*VLOOKUP('Données projet'!$B$9,Paramètres!$A$1:$I$89,3,0)*0.475*44/12</f>
        <v>58.907563414666683</v>
      </c>
      <c r="AB65" s="21">
        <f>EXP(-LN(2)/2)*AB64+(1-EXP(-LN(2)/2))/(LN(2)/2)*V65*Y65*VLOOKUP('Données projet'!$B$9,Paramètres!$A$1:$I$89,3,0)*0.475*44/12</f>
        <v>0</v>
      </c>
      <c r="AC65" s="22">
        <f t="shared" si="3"/>
        <v>164.4187828483644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7.6073939999999993</v>
      </c>
      <c r="AI65" s="13">
        <f>IF('Données projet'!$A$62&gt;35,AI64+AH65-AQ64,IF(A65&lt;'Données projet'!$A$62,$AF$205^A65,IF(A65='Données projet'!$A$62,'Données projet'!$B$62,AI64+AH65-AQ64)))</f>
        <v>324.73837799999978</v>
      </c>
      <c r="AJ65" s="13">
        <f>AI65*VLOOKUP('Données projet'!$B$10,Paramètres!$A$1:$I$89,3,0)*VLOOKUP('Données projet'!$B$10,Paramètres!$A$1:$I$89,5,0)</f>
        <v>143.53436307599992</v>
      </c>
      <c r="AK65" s="13">
        <f t="shared" si="35"/>
        <v>37.105499833370629</v>
      </c>
      <c r="AL65" s="20">
        <f t="shared" si="4"/>
        <v>314.61442790048704</v>
      </c>
      <c r="AM65" s="59">
        <f t="shared" si="5"/>
        <v>607.9477612338203</v>
      </c>
      <c r="AN65" s="59">
        <f ca="1">AVERAGE(OFFSET($AM$3,0,0,'Données projet'!$E$10+1,1))-AVERAGE(OFFSET($H$3,0,0,'Données projet'!$E$10+1,1))</f>
        <v>207.77463758757142</v>
      </c>
      <c r="AO65" s="59">
        <f t="shared" si="36"/>
        <v>180.50802165484066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18.457361393566242</v>
      </c>
      <c r="AV65" s="21">
        <f>EXP(-LN(2)/25)*AV64+(1-EXP(-LN(2)/25))/(LN(2)/25)*Calculateur!AQ65*Calculateur!AS65*VLOOKUP('Données projet'!$B$10,Paramètres!$A$1:$I$89,3,0)*0.475*44/12</f>
        <v>26.281474590105578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44.738835983671819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16.625</v>
      </c>
      <c r="BD65" s="12">
        <f>IF('Données projet'!$A$88&gt;35,BD64+BC65-BL64,IF(A65&lt;'Données projet'!$A$88,$BA$205^A65,IF(A65='Données projet'!$A$88,'Données projet'!$B$88,BD64+BC65-BL64)))</f>
        <v>428.49999999999994</v>
      </c>
      <c r="BE65" s="13">
        <f>BD65*VLOOKUP('Données projet'!$B$11,Paramètres!$A$1:$I$89,3,0)*VLOOKUP('Données projet'!$B$11,Paramètres!$A$1:$I$89,5,0)</f>
        <v>256.24299999999999</v>
      </c>
      <c r="BF65" s="13">
        <f t="shared" si="37"/>
        <v>61.920860231490025</v>
      </c>
      <c r="BG65" s="20">
        <f t="shared" si="7"/>
        <v>554.13538990317852</v>
      </c>
      <c r="BH65" s="59">
        <f t="shared" si="8"/>
        <v>847.46872323651178</v>
      </c>
      <c r="BI65" s="59">
        <f ca="1">AVERAGE(OFFSET($BH$3,0,0,'Données projet'!$E$11+1,1))-AVERAGE(OFFSET($H$3,0,0,'Données projet'!$E$11+1,1))</f>
        <v>393.01180019332998</v>
      </c>
      <c r="BJ65" s="59">
        <f t="shared" si="38"/>
        <v>283.82782416294748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40.39727909379387</v>
      </c>
      <c r="BQ65" s="21">
        <f>EXP(-LN(2)/25)*BQ64+(1-EXP(-LN(2)/25))/(LN(2)/25)*Calculateur!BL65*Calculateur!BN65*VLOOKUP('Données projet'!$B$11,Paramètres!$A$1:$I$89,3,0)*0.475*44/12</f>
        <v>30.514711239597979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70.911990333391856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16.625</v>
      </c>
      <c r="BY65" s="12">
        <f>IF('Données projet'!$A$114&gt;35,BY64+BX65-CG64,IF(A65&lt;'Données projet'!$A$114,$BV$205^A65,IF(A65='Données projet'!$A$114,'Données projet'!$B$114,BY64+BX65-CG64)))</f>
        <v>428.49999999999994</v>
      </c>
      <c r="BZ65" s="13">
        <f>BY65*VLOOKUP('Données projet'!$B$12,Paramètres!$A$1:$I$89,3,0)*VLOOKUP('Données projet'!$B$12,Paramètres!$A$1:$I$89,5,0)</f>
        <v>256.24299999999999</v>
      </c>
      <c r="CA65" s="13">
        <f t="shared" si="39"/>
        <v>61.920860231490025</v>
      </c>
      <c r="CB65" s="20">
        <f t="shared" si="10"/>
        <v>554.13538990317852</v>
      </c>
      <c r="CC65" s="59">
        <f t="shared" si="11"/>
        <v>847.46872323651178</v>
      </c>
      <c r="CD65" s="59">
        <f ca="1">AVERAGE(OFFSET($CC$3,0,0,'Données projet'!$E$12+1,1))-AVERAGE(OFFSET($H$3,0,0,'Données projet'!$E$12+1,1))</f>
        <v>393.01180019332998</v>
      </c>
      <c r="CE65" s="59">
        <f t="shared" si="40"/>
        <v>283.82782416294748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40.39727909379387</v>
      </c>
      <c r="CL65" s="21">
        <f>EXP(-LN(2)/25)*CL64+(1-EXP(-LN(2)/25))/(LN(2)/25)*Calculateur!CG65*Calculateur!CI65*VLOOKUP('Données projet'!$B$12,Paramètres!$A$1:$I$89,3,0)*0.475*44/12</f>
        <v>30.514711239597979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70.911990333391856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16.625</v>
      </c>
      <c r="CT65" s="12">
        <f>IF('Données projet'!$A$140&gt;35,CT64+CS65-DB64,IF(A65&lt;'Données projet'!$A$140,$CQ$205^A65,IF(A65='Données projet'!$A$140,'Données projet'!$B$140,CT64+CS65-DB64)))</f>
        <v>428.49999999999994</v>
      </c>
      <c r="CU65" s="17">
        <f>CT65*VLOOKUP('Données projet'!$B$13,Paramètres!$A$1:$I$89,3,0)*VLOOKUP('Données projet'!$B$13,Paramètres!$A$1:$I$89,5,0)</f>
        <v>256.24299999999999</v>
      </c>
      <c r="CV65" s="13">
        <f t="shared" si="41"/>
        <v>61.920860231490025</v>
      </c>
      <c r="CW65" s="20">
        <f t="shared" si="13"/>
        <v>554.13538990317852</v>
      </c>
      <c r="CX65" s="59">
        <f t="shared" si="14"/>
        <v>847.46872323651178</v>
      </c>
      <c r="CY65" s="59">
        <f ca="1">AVERAGE(OFFSET($CX$3,0,0,'Données projet'!$E$13+1,1))-AVERAGE(OFFSET($H$3,0,0,'Données projet'!$E$13+1,1))</f>
        <v>393.01180019332998</v>
      </c>
      <c r="CZ65" s="59">
        <f t="shared" si="42"/>
        <v>283.82782416294748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40.39727909379387</v>
      </c>
      <c r="DG65" s="21">
        <f>EXP(-LN(2)/25)*DG64+(1-EXP(-LN(2)/25))/(LN(2)/25)*Calculateur!DB65*Calculateur!DD65*VLOOKUP('Données projet'!$B$13,Paramètres!$A$1:$I$89,3,0)*0.475*44/12</f>
        <v>30.514711239597979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70.911990333391856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16.625</v>
      </c>
      <c r="DO65" s="12">
        <f>IF('Données projet'!$A$166&gt;35,DO64+DN65-DW64,IF(A65&lt;'Données projet'!$A$166,$DL$205^A65,IF(A65='Données projet'!$A$166,'Données projet'!$B$166,DO64+DN65-DW64)))</f>
        <v>428.49999999999994</v>
      </c>
      <c r="DP65" s="17">
        <f>DO65*VLOOKUP('Données projet'!$B$14,Paramètres!$A$1:$I$89,3,0)*VLOOKUP('Données projet'!$B$14,Paramètres!$A$1:$I$89,5,0)</f>
        <v>256.24299999999999</v>
      </c>
      <c r="DQ65" s="13">
        <f t="shared" si="43"/>
        <v>61.920860231490025</v>
      </c>
      <c r="DR65" s="20">
        <f t="shared" si="16"/>
        <v>554.13538990317852</v>
      </c>
      <c r="DS65" s="59">
        <f t="shared" si="17"/>
        <v>847.46872323651178</v>
      </c>
      <c r="DT65" s="59">
        <f ca="1">AVERAGE(OFFSET($DS$3,0,0,'Données projet'!$E$14+1,1))-AVERAGE(OFFSET($H$3,0,0,'Données projet'!$E$14+1,1))</f>
        <v>393.01180019332998</v>
      </c>
      <c r="DU65" s="59">
        <f t="shared" si="44"/>
        <v>283.82782416294748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40.39727909379387</v>
      </c>
      <c r="EB65" s="21">
        <f>EXP(-LN(2)/25)*EB64+(1-EXP(-LN(2)/25))/(LN(2)/25)*Calculateur!DW65*Calculateur!DY65*VLOOKUP('Données projet'!$B$14,Paramètres!$A$1:$I$89,3,0)*0.475*44/12</f>
        <v>30.514711239597979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70.911990333391856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7.2727200000000121</v>
      </c>
      <c r="D66" s="11">
        <f t="shared" si="32"/>
        <v>2.6604029273052623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15.335347677243229</v>
      </c>
      <c r="H66" s="67">
        <f t="shared" si="1"/>
        <v>273.96685576505672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-1.1368683772161603E-13</v>
      </c>
      <c r="O66" s="13">
        <f>N66*VLOOKUP('Données projet'!$B$9,Paramètres!$A$1:$I$89,3,0)*VLOOKUP('Données projet'!$B$9,Paramètres!$A$1:$I$89,5,0)</f>
        <v>-5.3205440053716299E-14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189.8770435341392</v>
      </c>
      <c r="T66" s="59">
        <f t="shared" si="34"/>
        <v>230.18380961122767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103.4422087760922</v>
      </c>
      <c r="AA66" s="21">
        <f>EXP(-LN(2)/25)*AA65+(1-EXP(-LN(2)/25))/(LN(2)/25)*Calculateur!V66*Calculateur!X66*VLOOKUP('Données projet'!$B$9,Paramètres!$A$1:$I$89,3,0)*0.475*44/12</f>
        <v>57.296732995278497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160.73894177137069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7.6073939999999993</v>
      </c>
      <c r="AI66" s="13">
        <f>IF('Données projet'!$A$62&gt;35,AI65+AH66-AQ65,IF(A66&lt;'Données projet'!$A$62,$AF$205^A66,IF(A66='Données projet'!$A$62,'Données projet'!$B$62,AI65+AH66-AQ65)))</f>
        <v>332.34577199999978</v>
      </c>
      <c r="AJ66" s="13">
        <f>AI66*VLOOKUP('Données projet'!$B$10,Paramètres!$A$1:$I$89,3,0)*VLOOKUP('Données projet'!$B$10,Paramètres!$A$1:$I$89,5,0)</f>
        <v>146.89683122399992</v>
      </c>
      <c r="AK66" s="13">
        <f t="shared" si="35"/>
        <v>37.872523682804179</v>
      </c>
      <c r="AL66" s="20">
        <f t="shared" si="4"/>
        <v>321.80662646268377</v>
      </c>
      <c r="AM66" s="59">
        <f t="shared" si="5"/>
        <v>615.13995979601714</v>
      </c>
      <c r="AN66" s="59">
        <f ca="1">AVERAGE(OFFSET($AM$3,0,0,'Données projet'!$E$10+1,1))-AVERAGE(OFFSET($H$3,0,0,'Données projet'!$E$10+1,1))</f>
        <v>207.77463758757142</v>
      </c>
      <c r="AO66" s="59">
        <f t="shared" si="36"/>
        <v>180.50802165484066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18.095423794517234</v>
      </c>
      <c r="AV66" s="21">
        <f>EXP(-LN(2)/25)*AV65+(1-EXP(-LN(2)/25))/(LN(2)/25)*Calculateur!AQ66*Calculateur!AS66*VLOOKUP('Données projet'!$B$10,Paramètres!$A$1:$I$89,3,0)*0.475*44/12</f>
        <v>25.562806285356459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43.65823007987369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16.625</v>
      </c>
      <c r="BD66" s="12">
        <f>IF('Données projet'!$A$88&gt;35,BD65+BC66-BL65,IF(A66&lt;'Données projet'!$A$88,$BA$205^A66,IF(A66='Données projet'!$A$88,'Données projet'!$B$88,BD65+BC66-BL65)))</f>
        <v>445.12499999999994</v>
      </c>
      <c r="BE66" s="13">
        <f>BD66*VLOOKUP('Données projet'!$B$11,Paramètres!$A$1:$I$89,3,0)*VLOOKUP('Données projet'!$B$11,Paramètres!$A$1:$I$89,5,0)</f>
        <v>266.18475000000001</v>
      </c>
      <c r="BF66" s="13">
        <f t="shared" si="37"/>
        <v>64.038907529798962</v>
      </c>
      <c r="BG66" s="20">
        <f t="shared" si="7"/>
        <v>575.13953686439993</v>
      </c>
      <c r="BH66" s="59">
        <f t="shared" si="8"/>
        <v>868.4728701977333</v>
      </c>
      <c r="BI66" s="59">
        <f ca="1">AVERAGE(OFFSET($BH$3,0,0,'Données projet'!$E$11+1,1))-AVERAGE(OFFSET($H$3,0,0,'Données projet'!$E$11+1,1))</f>
        <v>393.01180019332998</v>
      </c>
      <c r="BJ66" s="59">
        <f t="shared" si="38"/>
        <v>283.82782416294748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39.605113090671829</v>
      </c>
      <c r="BQ66" s="21">
        <f>EXP(-LN(2)/25)*BQ65+(1-EXP(-LN(2)/25))/(LN(2)/25)*Calculateur!BL66*Calculateur!BN66*VLOOKUP('Données projet'!$B$11,Paramètres!$A$1:$I$89,3,0)*0.475*44/12</f>
        <v>29.68028485605225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69.285397946724075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16.625</v>
      </c>
      <c r="BY66" s="12">
        <f>IF('Données projet'!$A$114&gt;35,BY65+BX66-CG65,IF(A66&lt;'Données projet'!$A$114,$BV$205^A66,IF(A66='Données projet'!$A$114,'Données projet'!$B$114,BY65+BX66-CG65)))</f>
        <v>445.12499999999994</v>
      </c>
      <c r="BZ66" s="13">
        <f>BY66*VLOOKUP('Données projet'!$B$12,Paramètres!$A$1:$I$89,3,0)*VLOOKUP('Données projet'!$B$12,Paramètres!$A$1:$I$89,5,0)</f>
        <v>266.18475000000001</v>
      </c>
      <c r="CA66" s="13">
        <f t="shared" si="39"/>
        <v>64.038907529798962</v>
      </c>
      <c r="CB66" s="20">
        <f t="shared" si="10"/>
        <v>575.13953686439993</v>
      </c>
      <c r="CC66" s="59">
        <f t="shared" si="11"/>
        <v>868.4728701977333</v>
      </c>
      <c r="CD66" s="59">
        <f ca="1">AVERAGE(OFFSET($CC$3,0,0,'Données projet'!$E$12+1,1))-AVERAGE(OFFSET($H$3,0,0,'Données projet'!$E$12+1,1))</f>
        <v>393.01180019332998</v>
      </c>
      <c r="CE66" s="59">
        <f t="shared" si="40"/>
        <v>283.82782416294748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39.605113090671829</v>
      </c>
      <c r="CL66" s="21">
        <f>EXP(-LN(2)/25)*CL65+(1-EXP(-LN(2)/25))/(LN(2)/25)*Calculateur!CG66*Calculateur!CI66*VLOOKUP('Données projet'!$B$12,Paramètres!$A$1:$I$89,3,0)*0.475*44/12</f>
        <v>29.68028485605225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69.285397946724075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16.625</v>
      </c>
      <c r="CT66" s="12">
        <f>IF('Données projet'!$A$140&gt;35,CT65+CS66-DB65,IF(A66&lt;'Données projet'!$A$140,$CQ$205^A66,IF(A66='Données projet'!$A$140,'Données projet'!$B$140,CT65+CS66-DB65)))</f>
        <v>445.12499999999994</v>
      </c>
      <c r="CU66" s="17">
        <f>CT66*VLOOKUP('Données projet'!$B$13,Paramètres!$A$1:$I$89,3,0)*VLOOKUP('Données projet'!$B$13,Paramètres!$A$1:$I$89,5,0)</f>
        <v>266.18475000000001</v>
      </c>
      <c r="CV66" s="13">
        <f t="shared" si="41"/>
        <v>64.038907529798962</v>
      </c>
      <c r="CW66" s="20">
        <f t="shared" si="13"/>
        <v>575.13953686439993</v>
      </c>
      <c r="CX66" s="59">
        <f t="shared" si="14"/>
        <v>868.4728701977333</v>
      </c>
      <c r="CY66" s="59">
        <f ca="1">AVERAGE(OFFSET($CX$3,0,0,'Données projet'!$E$13+1,1))-AVERAGE(OFFSET($H$3,0,0,'Données projet'!$E$13+1,1))</f>
        <v>393.01180019332998</v>
      </c>
      <c r="CZ66" s="59">
        <f t="shared" si="42"/>
        <v>283.82782416294748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39.605113090671829</v>
      </c>
      <c r="DG66" s="21">
        <f>EXP(-LN(2)/25)*DG65+(1-EXP(-LN(2)/25))/(LN(2)/25)*Calculateur!DB66*Calculateur!DD66*VLOOKUP('Données projet'!$B$13,Paramètres!$A$1:$I$89,3,0)*0.475*44/12</f>
        <v>29.68028485605225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69.285397946724075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16.625</v>
      </c>
      <c r="DO66" s="12">
        <f>IF('Données projet'!$A$166&gt;35,DO65+DN66-DW65,IF(A66&lt;'Données projet'!$A$166,$DL$205^A66,IF(A66='Données projet'!$A$166,'Données projet'!$B$166,DO65+DN66-DW65)))</f>
        <v>445.12499999999994</v>
      </c>
      <c r="DP66" s="17">
        <f>DO66*VLOOKUP('Données projet'!$B$14,Paramètres!$A$1:$I$89,3,0)*VLOOKUP('Données projet'!$B$14,Paramètres!$A$1:$I$89,5,0)</f>
        <v>266.18475000000001</v>
      </c>
      <c r="DQ66" s="13">
        <f t="shared" si="43"/>
        <v>64.038907529798962</v>
      </c>
      <c r="DR66" s="20">
        <f t="shared" si="16"/>
        <v>575.13953686439993</v>
      </c>
      <c r="DS66" s="59">
        <f t="shared" si="17"/>
        <v>868.4728701977333</v>
      </c>
      <c r="DT66" s="59">
        <f ca="1">AVERAGE(OFFSET($DS$3,0,0,'Données projet'!$E$14+1,1))-AVERAGE(OFFSET($H$3,0,0,'Données projet'!$E$14+1,1))</f>
        <v>393.01180019332998</v>
      </c>
      <c r="DU66" s="59">
        <f t="shared" si="44"/>
        <v>283.82782416294748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39.605113090671829</v>
      </c>
      <c r="EB66" s="21">
        <f>EXP(-LN(2)/25)*EB65+(1-EXP(-LN(2)/25))/(LN(2)/25)*Calculateur!DW66*Calculateur!DY66*VLOOKUP('Données projet'!$B$14,Paramètres!$A$1:$I$89,3,0)*0.475*44/12</f>
        <v>29.68028485605225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69.285397946724075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7.3881600000000125</v>
      </c>
      <c r="D67" s="11">
        <f t="shared" si="32"/>
        <v>2.6976818656989492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15.571124283886116</v>
      </c>
      <c r="H67" s="67">
        <f t="shared" si="1"/>
        <v>274.23284124942569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-1.1368683772161603E-13</v>
      </c>
      <c r="O67" s="13">
        <f>N67*VLOOKUP('Données projet'!$B$9,Paramètres!$A$1:$I$89,3,0)*VLOOKUP('Données projet'!$B$9,Paramètres!$A$1:$I$89,5,0)</f>
        <v>-5.3205440053716299E-14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189.8770435341392</v>
      </c>
      <c r="T67" s="59">
        <f t="shared" si="34"/>
        <v>230.18380961122767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101.41377015551042</v>
      </c>
      <c r="AA67" s="21">
        <f>EXP(-LN(2)/25)*AA66+(1-EXP(-LN(2)/25))/(LN(2)/25)*Calculateur!V67*Calculateur!X67*VLOOKUP('Données projet'!$B$9,Paramètres!$A$1:$I$89,3,0)*0.475*44/12</f>
        <v>55.729950818418374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157.14372097392879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7.6073939999999993</v>
      </c>
      <c r="AI67" s="13">
        <f>IF('Données projet'!$A$62&gt;35,AI66+AH67-AQ66,IF(A67&lt;'Données projet'!$A$62,$AF$205^A67,IF(A67='Données projet'!$A$62,'Données projet'!$B$62,AI66+AH67-AQ66)))</f>
        <v>339.95316599999978</v>
      </c>
      <c r="AJ67" s="13">
        <f>AI67*VLOOKUP('Données projet'!$B$10,Paramètres!$A$1:$I$89,3,0)*VLOOKUP('Données projet'!$B$10,Paramètres!$A$1:$I$89,5,0)</f>
        <v>150.25929937199993</v>
      </c>
      <c r="AK67" s="13">
        <f t="shared" si="35"/>
        <v>38.637506408903505</v>
      </c>
      <c r="AL67" s="20">
        <f t="shared" si="4"/>
        <v>328.9952700684068</v>
      </c>
      <c r="AM67" s="59">
        <f t="shared" si="5"/>
        <v>622.32860340174011</v>
      </c>
      <c r="AN67" s="59">
        <f ca="1">AVERAGE(OFFSET($AM$3,0,0,'Données projet'!$E$10+1,1))-AVERAGE(OFFSET($H$3,0,0,'Données projet'!$E$10+1,1))</f>
        <v>207.77463758757142</v>
      </c>
      <c r="AO67" s="59">
        <f t="shared" si="36"/>
        <v>180.50802165484066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17.740583571025443</v>
      </c>
      <c r="AV67" s="21">
        <f>EXP(-LN(2)/25)*AV66+(1-EXP(-LN(2)/25))/(LN(2)/25)*Calculateur!AQ67*Calculateur!AS67*VLOOKUP('Données projet'!$B$10,Paramètres!$A$1:$I$89,3,0)*0.475*44/12</f>
        <v>24.863790003193827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42.604373574219267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16.625</v>
      </c>
      <c r="BD67" s="12">
        <f>IF('Données projet'!$A$88&gt;35,BD66+BC67-BL66,IF(A67&lt;'Données projet'!$A$88,$BA$205^A67,IF(A67='Données projet'!$A$88,'Données projet'!$B$88,BD66+BC67-BL66)))</f>
        <v>461.74999999999994</v>
      </c>
      <c r="BE67" s="13">
        <f>BD67*VLOOKUP('Données projet'!$B$11,Paramètres!$A$1:$I$89,3,0)*VLOOKUP('Données projet'!$B$11,Paramètres!$A$1:$I$89,5,0)</f>
        <v>276.12649999999996</v>
      </c>
      <c r="BF67" s="13">
        <f t="shared" si="37"/>
        <v>66.147764494536574</v>
      </c>
      <c r="BG67" s="20">
        <f t="shared" si="7"/>
        <v>596.12767732798443</v>
      </c>
      <c r="BH67" s="59">
        <f t="shared" si="8"/>
        <v>889.46101066131769</v>
      </c>
      <c r="BI67" s="59">
        <f ca="1">AVERAGE(OFFSET($BH$3,0,0,'Données projet'!$E$11+1,1))-AVERAGE(OFFSET($H$3,0,0,'Données projet'!$E$11+1,1))</f>
        <v>393.01180019332998</v>
      </c>
      <c r="BJ67" s="59">
        <f t="shared" si="38"/>
        <v>283.82782416294748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38.82848097969746</v>
      </c>
      <c r="BQ67" s="21">
        <f>EXP(-LN(2)/25)*BQ66+(1-EXP(-LN(2)/25))/(LN(2)/25)*Calculateur!BL67*Calculateur!BN67*VLOOKUP('Données projet'!$B$11,Paramètres!$A$1:$I$89,3,0)*0.475*44/12</f>
        <v>28.868675905845155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67.697156885542611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16.625</v>
      </c>
      <c r="BY67" s="12">
        <f>IF('Données projet'!$A$114&gt;35,BY66+BX67-CG66,IF(A67&lt;'Données projet'!$A$114,$BV$205^A67,IF(A67='Données projet'!$A$114,'Données projet'!$B$114,BY66+BX67-CG66)))</f>
        <v>461.74999999999994</v>
      </c>
      <c r="BZ67" s="13">
        <f>BY67*VLOOKUP('Données projet'!$B$12,Paramètres!$A$1:$I$89,3,0)*VLOOKUP('Données projet'!$B$12,Paramètres!$A$1:$I$89,5,0)</f>
        <v>276.12649999999996</v>
      </c>
      <c r="CA67" s="13">
        <f t="shared" si="39"/>
        <v>66.147764494536574</v>
      </c>
      <c r="CB67" s="20">
        <f t="shared" si="10"/>
        <v>596.12767732798443</v>
      </c>
      <c r="CC67" s="59">
        <f t="shared" si="11"/>
        <v>889.46101066131769</v>
      </c>
      <c r="CD67" s="59">
        <f ca="1">AVERAGE(OFFSET($CC$3,0,0,'Données projet'!$E$12+1,1))-AVERAGE(OFFSET($H$3,0,0,'Données projet'!$E$12+1,1))</f>
        <v>393.01180019332998</v>
      </c>
      <c r="CE67" s="59">
        <f t="shared" si="40"/>
        <v>283.82782416294748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38.82848097969746</v>
      </c>
      <c r="CL67" s="21">
        <f>EXP(-LN(2)/25)*CL66+(1-EXP(-LN(2)/25))/(LN(2)/25)*Calculateur!CG67*Calculateur!CI67*VLOOKUP('Données projet'!$B$12,Paramètres!$A$1:$I$89,3,0)*0.475*44/12</f>
        <v>28.868675905845155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67.697156885542611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16.625</v>
      </c>
      <c r="CT67" s="12">
        <f>IF('Données projet'!$A$140&gt;35,CT66+CS67-DB66,IF(A67&lt;'Données projet'!$A$140,$CQ$205^A67,IF(A67='Données projet'!$A$140,'Données projet'!$B$140,CT66+CS67-DB66)))</f>
        <v>461.74999999999994</v>
      </c>
      <c r="CU67" s="17">
        <f>CT67*VLOOKUP('Données projet'!$B$13,Paramètres!$A$1:$I$89,3,0)*VLOOKUP('Données projet'!$B$13,Paramètres!$A$1:$I$89,5,0)</f>
        <v>276.12649999999996</v>
      </c>
      <c r="CV67" s="13">
        <f t="shared" si="41"/>
        <v>66.147764494536574</v>
      </c>
      <c r="CW67" s="20">
        <f t="shared" si="13"/>
        <v>596.12767732798443</v>
      </c>
      <c r="CX67" s="59">
        <f t="shared" si="14"/>
        <v>889.46101066131769</v>
      </c>
      <c r="CY67" s="59">
        <f ca="1">AVERAGE(OFFSET($CX$3,0,0,'Données projet'!$E$13+1,1))-AVERAGE(OFFSET($H$3,0,0,'Données projet'!$E$13+1,1))</f>
        <v>393.01180019332998</v>
      </c>
      <c r="CZ67" s="59">
        <f t="shared" si="42"/>
        <v>283.82782416294748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38.82848097969746</v>
      </c>
      <c r="DG67" s="21">
        <f>EXP(-LN(2)/25)*DG66+(1-EXP(-LN(2)/25))/(LN(2)/25)*Calculateur!DB67*Calculateur!DD67*VLOOKUP('Données projet'!$B$13,Paramètres!$A$1:$I$89,3,0)*0.475*44/12</f>
        <v>28.868675905845155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67.697156885542611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16.625</v>
      </c>
      <c r="DO67" s="12">
        <f>IF('Données projet'!$A$166&gt;35,DO66+DN67-DW66,IF(A67&lt;'Données projet'!$A$166,$DL$205^A67,IF(A67='Données projet'!$A$166,'Données projet'!$B$166,DO66+DN67-DW66)))</f>
        <v>461.74999999999994</v>
      </c>
      <c r="DP67" s="17">
        <f>DO67*VLOOKUP('Données projet'!$B$14,Paramètres!$A$1:$I$89,3,0)*VLOOKUP('Données projet'!$B$14,Paramètres!$A$1:$I$89,5,0)</f>
        <v>276.12649999999996</v>
      </c>
      <c r="DQ67" s="13">
        <f t="shared" si="43"/>
        <v>66.147764494536574</v>
      </c>
      <c r="DR67" s="20">
        <f t="shared" si="16"/>
        <v>596.12767732798443</v>
      </c>
      <c r="DS67" s="59">
        <f t="shared" si="17"/>
        <v>889.46101066131769</v>
      </c>
      <c r="DT67" s="59">
        <f ca="1">AVERAGE(OFFSET($DS$3,0,0,'Données projet'!$E$14+1,1))-AVERAGE(OFFSET($H$3,0,0,'Données projet'!$E$14+1,1))</f>
        <v>393.01180019332998</v>
      </c>
      <c r="DU67" s="59">
        <f t="shared" si="44"/>
        <v>283.82782416294748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38.82848097969746</v>
      </c>
      <c r="EB67" s="21">
        <f>EXP(-LN(2)/25)*EB66+(1-EXP(-LN(2)/25))/(LN(2)/25)*Calculateur!DW67*Calculateur!DY67*VLOOKUP('Données projet'!$B$14,Paramètres!$A$1:$I$89,3,0)*0.475*44/12</f>
        <v>28.868675905845155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67.697156885542611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7.5036000000000129</v>
      </c>
      <c r="D68" s="11">
        <f t="shared" si="32"/>
        <v>2.7348930617282776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15.806796305826134</v>
      </c>
      <c r="H68" s="67">
        <f t="shared" ref="H68:H131" si="56">(B68+E68+F68)*44/12+(C68+D68)*0.475*44/12</f>
        <v>274.49870874917679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-1.1368683772161603E-13</v>
      </c>
      <c r="O68" s="13">
        <f>N68*VLOOKUP('Données projet'!$B$9,Paramètres!$A$1:$I$89,3,0)*VLOOKUP('Données projet'!$B$9,Paramètres!$A$1:$I$89,5,0)</f>
        <v>-5.3205440053716299E-14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189.8770435341392</v>
      </c>
      <c r="T68" s="59">
        <f t="shared" si="34"/>
        <v>230.18380961122767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99.425107979052854</v>
      </c>
      <c r="AA68" s="21">
        <f>EXP(-LN(2)/25)*AA67+(1-EXP(-LN(2)/25))/(LN(2)/25)*Calculateur!V68*Calculateur!X68*VLOOKUP('Données projet'!$B$9,Paramètres!$A$1:$I$89,3,0)*0.475*44/12</f>
        <v>54.206012382577981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153.63112036163085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347.56056000000001</v>
      </c>
      <c r="AG68" s="12">
        <f>VLOOKUP(A68,'Données projet'!$A$61:$I$81,9,0)</f>
        <v>7.6073939999999993</v>
      </c>
      <c r="AH68" s="12">
        <f t="array" ref="AH68">INDEX(AG:AG,MIN(IF(ISNUMBER(AG68:AG264),ROW(AG68:AG264),"")))</f>
        <v>7.6073939999999993</v>
      </c>
      <c r="AI68" s="13">
        <f>IF('Données projet'!$A$62&gt;35,AI67+AH68-AQ67,IF(A68&lt;'Données projet'!$A$62,$AF$205^A68,IF(A68='Données projet'!$A$62,'Données projet'!$B$62,AI67+AH68-AQ67)))</f>
        <v>347.56055999999978</v>
      </c>
      <c r="AJ68" s="13">
        <f>AI68*VLOOKUP('Données projet'!$B$10,Paramètres!$A$1:$I$89,3,0)*VLOOKUP('Données projet'!$B$10,Paramètres!$A$1:$I$89,5,0)</f>
        <v>153.62176751999993</v>
      </c>
      <c r="AK68" s="13">
        <f t="shared" si="35"/>
        <v>39.400498946355512</v>
      </c>
      <c r="AL68" s="20">
        <f t="shared" ref="AL68:AL131" si="58">(AJ68+AK68)*0.475*44/12</f>
        <v>336.18044742890237</v>
      </c>
      <c r="AM68" s="59">
        <f t="shared" ref="AM68:AM131" si="59">AL68+(AD68+AE68)*44/12</f>
        <v>629.51378076223568</v>
      </c>
      <c r="AN68" s="59">
        <f ca="1">AVERAGE(OFFSET($AM$3,0,0,'Données projet'!$E$10+1,1))-AVERAGE(OFFSET($H$3,0,0,'Données projet'!$E$10+1,1))</f>
        <v>207.77463758757142</v>
      </c>
      <c r="AO68" s="59">
        <f t="shared" si="36"/>
        <v>180.50802165484066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15.503220000000001</v>
      </c>
      <c r="AR68" s="16">
        <f>IF(ISNA(VLOOKUP(A68,'Données projet'!$A$61:$I$81,5,0)),0%,VLOOKUP(A68,'Données projet'!$A$61:$I$81,5,0)*VLOOKUP('Données projet'!$B$10,Paramètres!$A$1:$I$89,7,0))</f>
        <v>0.38500000000000001</v>
      </c>
      <c r="AS68" s="16">
        <f>IF(ISNA(VLOOKUP(A68,'Données projet'!$A$61:$I$81,6,0)),0%,VLOOKUP(A68,'Données projet'!$A$61:$I$81,6,0)*VLOOKUP('Données projet'!$B$10,Paramètres!$A$1:$I$89,7,0))</f>
        <v>0.16500000000000001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20.892421272852719</v>
      </c>
      <c r="AV68" s="21">
        <f>EXP(-LN(2)/25)*AV67+(1-EXP(-LN(2)/25))/(LN(2)/25)*Calculateur!AQ68*Calculateur!AS68*VLOOKUP('Données projet'!$B$10,Paramètres!$A$1:$I$89,3,0)*0.475*44/12</f>
        <v>25.677862641560576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46.570283914413295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16.625</v>
      </c>
      <c r="BD68" s="12">
        <f>IF('Données projet'!$A$88&gt;35,BD67+BC68-BL67,IF(A68&lt;'Données projet'!$A$88,$BA$205^A68,IF(A68='Données projet'!$A$88,'Données projet'!$B$88,BD67+BC68-BL67)))</f>
        <v>478.37499999999994</v>
      </c>
      <c r="BE68" s="13">
        <f>BD68*VLOOKUP('Données projet'!$B$11,Paramètres!$A$1:$I$89,3,0)*VLOOKUP('Données projet'!$B$11,Paramètres!$A$1:$I$89,5,0)</f>
        <v>286.06824999999998</v>
      </c>
      <c r="BF68" s="13">
        <f t="shared" si="37"/>
        <v>68.247799922382825</v>
      </c>
      <c r="BG68" s="20">
        <f t="shared" ref="BG68:BG131" si="61">(BE68+BF68)*0.475*44/12</f>
        <v>617.10045361481673</v>
      </c>
      <c r="BH68" s="59">
        <f t="shared" ref="BH68:BH131" si="62">BG68+(AY68+AZ68)*44/12</f>
        <v>910.4337869481501</v>
      </c>
      <c r="BI68" s="59">
        <f ca="1">AVERAGE(OFFSET($BH$3,0,0,'Données projet'!$E$11+1,1))-AVERAGE(OFFSET($H$3,0,0,'Données projet'!$E$11+1,1))</f>
        <v>393.01180019332998</v>
      </c>
      <c r="BJ68" s="59">
        <f t="shared" si="38"/>
        <v>283.82782416294748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38.067078150720484</v>
      </c>
      <c r="BQ68" s="21">
        <f>EXP(-LN(2)/25)*BQ67+(1-EXP(-LN(2)/25))/(LN(2)/25)*Calculateur!BL68*Calculateur!BN68*VLOOKUP('Données projet'!$B$11,Paramètres!$A$1:$I$89,3,0)*0.475*44/12</f>
        <v>28.079260445062133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66.146338595782623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16.625</v>
      </c>
      <c r="BY68" s="12">
        <f>IF('Données projet'!$A$114&gt;35,BY67+BX68-CG67,IF(A68&lt;'Données projet'!$A$114,$BV$205^A68,IF(A68='Données projet'!$A$114,'Données projet'!$B$114,BY67+BX68-CG67)))</f>
        <v>478.37499999999994</v>
      </c>
      <c r="BZ68" s="13">
        <f>BY68*VLOOKUP('Données projet'!$B$12,Paramètres!$A$1:$I$89,3,0)*VLOOKUP('Données projet'!$B$12,Paramètres!$A$1:$I$89,5,0)</f>
        <v>286.06824999999998</v>
      </c>
      <c r="CA68" s="13">
        <f t="shared" si="39"/>
        <v>68.247799922382825</v>
      </c>
      <c r="CB68" s="20">
        <f t="shared" ref="CB68:CB131" si="64">(BZ68+CA68)*0.475*44/12</f>
        <v>617.10045361481673</v>
      </c>
      <c r="CC68" s="59">
        <f t="shared" ref="CC68:CC131" si="65">CB68+(BT68+BU68)*44/12</f>
        <v>910.4337869481501</v>
      </c>
      <c r="CD68" s="59">
        <f ca="1">AVERAGE(OFFSET($CC$3,0,0,'Données projet'!$E$12+1,1))-AVERAGE(OFFSET($H$3,0,0,'Données projet'!$E$12+1,1))</f>
        <v>393.01180019332998</v>
      </c>
      <c r="CE68" s="59">
        <f t="shared" si="40"/>
        <v>283.82782416294748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38.067078150720484</v>
      </c>
      <c r="CL68" s="21">
        <f>EXP(-LN(2)/25)*CL67+(1-EXP(-LN(2)/25))/(LN(2)/25)*Calculateur!CG68*Calculateur!CI68*VLOOKUP('Données projet'!$B$12,Paramètres!$A$1:$I$89,3,0)*0.475*44/12</f>
        <v>28.079260445062133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66.146338595782623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16.625</v>
      </c>
      <c r="CT68" s="12">
        <f>IF('Données projet'!$A$140&gt;35,CT67+CS68-DB67,IF(A68&lt;'Données projet'!$A$140,$CQ$205^A68,IF(A68='Données projet'!$A$140,'Données projet'!$B$140,CT67+CS68-DB67)))</f>
        <v>478.37499999999994</v>
      </c>
      <c r="CU68" s="17">
        <f>CT68*VLOOKUP('Données projet'!$B$13,Paramètres!$A$1:$I$89,3,0)*VLOOKUP('Données projet'!$B$13,Paramètres!$A$1:$I$89,5,0)</f>
        <v>286.06824999999998</v>
      </c>
      <c r="CV68" s="13">
        <f t="shared" si="41"/>
        <v>68.247799922382825</v>
      </c>
      <c r="CW68" s="20">
        <f t="shared" ref="CW68:CW131" si="67">(CU68+CV68)*0.475*44/12</f>
        <v>617.10045361481673</v>
      </c>
      <c r="CX68" s="59">
        <f t="shared" ref="CX68:CX131" si="68">CW68+(CO68+CP68)*44/12</f>
        <v>910.4337869481501</v>
      </c>
      <c r="CY68" s="59">
        <f ca="1">AVERAGE(OFFSET($CX$3,0,0,'Données projet'!$E$13+1,1))-AVERAGE(OFFSET($H$3,0,0,'Données projet'!$E$13+1,1))</f>
        <v>393.01180019332998</v>
      </c>
      <c r="CZ68" s="59">
        <f t="shared" si="42"/>
        <v>283.82782416294748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38.067078150720484</v>
      </c>
      <c r="DG68" s="21">
        <f>EXP(-LN(2)/25)*DG67+(1-EXP(-LN(2)/25))/(LN(2)/25)*Calculateur!DB68*Calculateur!DD68*VLOOKUP('Données projet'!$B$13,Paramètres!$A$1:$I$89,3,0)*0.475*44/12</f>
        <v>28.079260445062133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66.146338595782623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16.625</v>
      </c>
      <c r="DO68" s="12">
        <f>IF('Données projet'!$A$166&gt;35,DO67+DN68-DW67,IF(A68&lt;'Données projet'!$A$166,$DL$205^A68,IF(A68='Données projet'!$A$166,'Données projet'!$B$166,DO67+DN68-DW67)))</f>
        <v>478.37499999999994</v>
      </c>
      <c r="DP68" s="17">
        <f>DO68*VLOOKUP('Données projet'!$B$14,Paramètres!$A$1:$I$89,3,0)*VLOOKUP('Données projet'!$B$14,Paramètres!$A$1:$I$89,5,0)</f>
        <v>286.06824999999998</v>
      </c>
      <c r="DQ68" s="13">
        <f t="shared" si="43"/>
        <v>68.247799922382825</v>
      </c>
      <c r="DR68" s="20">
        <f t="shared" ref="DR68:DR131" si="70">(DP68+DQ68)*0.475*44/12</f>
        <v>617.10045361481673</v>
      </c>
      <c r="DS68" s="59">
        <f t="shared" ref="DS68:DS131" si="71">DR68+(DJ68+DK68)*44/12</f>
        <v>910.4337869481501</v>
      </c>
      <c r="DT68" s="59">
        <f ca="1">AVERAGE(OFFSET($DS$3,0,0,'Données projet'!$E$14+1,1))-AVERAGE(OFFSET($H$3,0,0,'Données projet'!$E$14+1,1))</f>
        <v>393.01180019332998</v>
      </c>
      <c r="DU68" s="59">
        <f t="shared" si="44"/>
        <v>283.82782416294748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38.067078150720484</v>
      </c>
      <c r="EB68" s="21">
        <f>EXP(-LN(2)/25)*EB67+(1-EXP(-LN(2)/25))/(LN(2)/25)*Calculateur!DW68*Calculateur!DY68*VLOOKUP('Données projet'!$B$14,Paramètres!$A$1:$I$89,3,0)*0.475*44/12</f>
        <v>28.079260445062133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66.146338595782623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7.6190400000000134</v>
      </c>
      <c r="D69" s="11">
        <f t="shared" ref="D69:D132" si="86">IFERROR(EXP(-1.0587+0.8836*LN(C69)+0.284),0)</f>
        <v>2.7720376779456091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16.042365537880965</v>
      </c>
      <c r="H69" s="67">
        <f t="shared" si="56"/>
        <v>274.76446028908867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-1.1368683772161603E-13</v>
      </c>
      <c r="O69" s="13">
        <f>N69*VLOOKUP('Données projet'!$B$9,Paramètres!$A$1:$I$89,3,0)*VLOOKUP('Données projet'!$B$9,Paramètres!$A$1:$I$89,5,0)</f>
        <v>-5.3205440053716299E-14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189.8770435341392</v>
      </c>
      <c r="T69" s="59">
        <f t="shared" ref="T69:T132" si="88">$T$3</f>
        <v>230.18380961122767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97.475442254911457</v>
      </c>
      <c r="AA69" s="21">
        <f>EXP(-LN(2)/25)*AA68+(1-EXP(-LN(2)/25))/(LN(2)/25)*Calculateur!V69*Calculateur!X69*VLOOKUP('Données projet'!$B$9,Paramètres!$A$1:$I$89,3,0)*0.475*44/12</f>
        <v>52.723746123406087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150.19918837831756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5.1196680000000017</v>
      </c>
      <c r="AI69" s="13">
        <f>IF('Données projet'!$A$62&gt;35,AI68+AH69-AQ68,IF(A69&lt;'Données projet'!$A$62,$AF$205^A69,IF(A69='Données projet'!$A$62,'Données projet'!$B$62,AI68+AH69-AQ68)))</f>
        <v>337.17700799999977</v>
      </c>
      <c r="AJ69" s="13">
        <f>AI69*VLOOKUP('Données projet'!$B$10,Paramètres!$A$1:$I$89,3,0)*VLOOKUP('Données projet'!$B$10,Paramètres!$A$1:$I$89,5,0)</f>
        <v>149.03223753599991</v>
      </c>
      <c r="AK69" s="13">
        <f t="shared" ref="AK69:AK132" si="89">EXP(-1.0587+0.8836*LN(AJ69)+0.284)</f>
        <v>38.358575348298629</v>
      </c>
      <c r="AL69" s="20">
        <f t="shared" si="58"/>
        <v>326.37233244015329</v>
      </c>
      <c r="AM69" s="59">
        <f t="shared" si="59"/>
        <v>619.70566577348654</v>
      </c>
      <c r="AN69" s="59">
        <f ca="1">AVERAGE(OFFSET($AM$3,0,0,'Données projet'!$E$10+1,1))-AVERAGE(OFFSET($H$3,0,0,'Données projet'!$E$10+1,1))</f>
        <v>207.77463758757142</v>
      </c>
      <c r="AO69" s="59">
        <f t="shared" ref="AO69:AO132" si="90">$AO$3</f>
        <v>180.50802165484066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20.482733634810774</v>
      </c>
      <c r="AV69" s="21">
        <f>EXP(-LN(2)/25)*AV68+(1-EXP(-LN(2)/25))/(LN(2)/25)*Calculateur!AQ69*Calculateur!AS69*VLOOKUP('Données projet'!$B$10,Paramètres!$A$1:$I$89,3,0)*0.475*44/12</f>
        <v>24.975700137286992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45.458433772097763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>
        <f>VLOOKUP(A69,'Données projet'!$A$87:$I$107,2,0)</f>
        <v>495</v>
      </c>
      <c r="BB69" s="12">
        <f>VLOOKUP(A69,'Données projet'!$A$87:$I$107,9,0)</f>
        <v>16.625</v>
      </c>
      <c r="BC69" s="12">
        <f t="array" ref="BC69">INDEX(BB:BB,MIN(IF(ISNUMBER(BB69:BB265),ROW(BB69:BB265),"")))</f>
        <v>16.625</v>
      </c>
      <c r="BD69" s="12">
        <f>IF('Données projet'!$A$88&gt;35,BD68+BC69-BL68,IF(A69&lt;'Données projet'!$A$88,$BA$205^A69,IF(A69='Données projet'!$A$88,'Données projet'!$B$88,BD68+BC69-BL68)))</f>
        <v>494.99999999999994</v>
      </c>
      <c r="BE69" s="13">
        <f>BD69*VLOOKUP('Données projet'!$B$11,Paramètres!$A$1:$I$89,3,0)*VLOOKUP('Données projet'!$B$11,Paramètres!$A$1:$I$89,5,0)</f>
        <v>296.01</v>
      </c>
      <c r="BF69" s="13">
        <f t="shared" ref="BF69:BF132" si="91">EXP(-1.0587+0.8836*LN(BE69)+0.284)</f>
        <v>70.339355522692159</v>
      </c>
      <c r="BG69" s="20">
        <f t="shared" si="61"/>
        <v>638.05846086868871</v>
      </c>
      <c r="BH69" s="59">
        <f t="shared" si="62"/>
        <v>931.39179420202208</v>
      </c>
      <c r="BI69" s="59">
        <f ca="1">AVERAGE(OFFSET($BH$3,0,0,'Données projet'!$E$11+1,1))-AVERAGE(OFFSET($H$3,0,0,'Données projet'!$E$11+1,1))</f>
        <v>393.01180019332998</v>
      </c>
      <c r="BJ69" s="59">
        <f t="shared" ref="BJ69:BJ132" si="92">$BJ$3</f>
        <v>283.82782416294748</v>
      </c>
      <c r="BK69" s="15">
        <f>IF(ISNA(VLOOKUP(A69,'Données projet'!$A$87:$I$107,3,0)),0,VLOOKUP(A69,'Données projet'!$A$87:$I$107,3,0))</f>
        <v>9</v>
      </c>
      <c r="BL69" s="15">
        <f>IF(ISNA(VLOOKUP(A69,'Données projet'!$A$87:$I$107,4,0)),0,VLOOKUP(A69,'Données projet'!$A$87:$I$107,4,0))</f>
        <v>65</v>
      </c>
      <c r="BM69" s="16">
        <f>IF(ISNA(VLOOKUP(A69,'Données projet'!$A$87:$I$107,5,0)),0%,VLOOKUP(A69,'Données projet'!$A$87:$I$107,5,0)*VLOOKUP('Données projet'!$B$11,Paramètres!$A$1:$I$89,7,0))</f>
        <v>0.315</v>
      </c>
      <c r="BN69" s="16">
        <f>IF(ISNA(VLOOKUP(A69,'Données projet'!$A$87:$I$107,6,0)),0%,VLOOKUP(A69,'Données projet'!$A$87:$I$107,6,0)*VLOOKUP('Données projet'!$B$11,Paramètres!$A$1:$I$89,7,0))</f>
        <v>0.13500000000000001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53.563127487434386</v>
      </c>
      <c r="BQ69" s="21">
        <f>EXP(-LN(2)/25)*BQ68+(1-EXP(-LN(2)/25))/(LN(2)/25)*Calculateur!BL69*Calculateur!BN69*VLOOKUP('Données projet'!$B$11,Paramètres!$A$1:$I$89,3,0)*0.475*44/12</f>
        <v>34.245103816358593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87.808231303792979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>
        <f>VLOOKUP(A69,'Données projet'!$A$113:$I$133,2,0)</f>
        <v>495</v>
      </c>
      <c r="BW69" s="12">
        <f>VLOOKUP(A69,'Données projet'!$A$113:$I$133,9,0)</f>
        <v>16.625</v>
      </c>
      <c r="BX69" s="12">
        <f t="array" ref="BX69">INDEX(BW:BW,MIN(IF(ISNUMBER(BW69:BW265),ROW(BW69:BW265),"")))</f>
        <v>16.625</v>
      </c>
      <c r="BY69" s="12">
        <f>IF('Données projet'!$A$114&gt;35,BY68+BX69-CG68,IF(A69&lt;'Données projet'!$A$114,$BV$205^A69,IF(A69='Données projet'!$A$114,'Données projet'!$B$114,BY68+BX69-CG68)))</f>
        <v>494.99999999999994</v>
      </c>
      <c r="BZ69" s="13">
        <f>BY69*VLOOKUP('Données projet'!$B$12,Paramètres!$A$1:$I$89,3,0)*VLOOKUP('Données projet'!$B$12,Paramètres!$A$1:$I$89,5,0)</f>
        <v>296.01</v>
      </c>
      <c r="CA69" s="13">
        <f t="shared" ref="CA69:CA132" si="93">EXP(-1.0587+0.8836*LN(BZ69)+0.284)</f>
        <v>70.339355522692159</v>
      </c>
      <c r="CB69" s="20">
        <f t="shared" si="64"/>
        <v>638.05846086868871</v>
      </c>
      <c r="CC69" s="59">
        <f t="shared" si="65"/>
        <v>931.39179420202208</v>
      </c>
      <c r="CD69" s="59">
        <f ca="1">AVERAGE(OFFSET($CC$3,0,0,'Données projet'!$E$12+1,1))-AVERAGE(OFFSET($H$3,0,0,'Données projet'!$E$12+1,1))</f>
        <v>393.01180019332998</v>
      </c>
      <c r="CE69" s="59">
        <f t="shared" ref="CE69:CE132" si="94">$CE$3</f>
        <v>283.82782416294748</v>
      </c>
      <c r="CF69" s="15">
        <f>IF(ISNA(VLOOKUP(A69,'Données projet'!$A$113:$I$133,3,0)),0,VLOOKUP(A69,'Données projet'!$A$113:$I$133,3,0))</f>
        <v>9</v>
      </c>
      <c r="CG69" s="15">
        <f>IF(ISNA(VLOOKUP(A69,'Données projet'!$A$113:$I$133,4,0)),0,VLOOKUP(A69,'Données projet'!$A$113:$I$133,4,0))</f>
        <v>65</v>
      </c>
      <c r="CH69" s="16">
        <f>IF(ISNA(VLOOKUP(A69,'Données projet'!$A$113:$I$133,5,0)),0%,VLOOKUP(A69,'Données projet'!$A$113:$I$133,5,0)*VLOOKUP('Données projet'!$B$12,Paramètres!$A$1:$I$89,7,0))</f>
        <v>0.315</v>
      </c>
      <c r="CI69" s="16">
        <f>IF(ISNA(VLOOKUP(A69,'Données projet'!$A$113:$I$133,6,0)),0%,VLOOKUP(A69,'Données projet'!$A$113:$I$133,6,0)*VLOOKUP('Données projet'!$B$12,Paramètres!$A$1:$I$89,7,0))</f>
        <v>0.13500000000000001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53.563127487434386</v>
      </c>
      <c r="CL69" s="21">
        <f>EXP(-LN(2)/25)*CL68+(1-EXP(-LN(2)/25))/(LN(2)/25)*Calculateur!CG69*Calculateur!CI69*VLOOKUP('Données projet'!$B$12,Paramètres!$A$1:$I$89,3,0)*0.475*44/12</f>
        <v>34.245103816358593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87.808231303792979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>
        <f>VLOOKUP(A69,'Données projet'!$A$139:$I$159,2,0)</f>
        <v>495</v>
      </c>
      <c r="CR69" s="12">
        <f>VLOOKUP(A69,'Données projet'!$A$139:$I$159,9,0)</f>
        <v>16.625</v>
      </c>
      <c r="CS69" s="12">
        <f t="array" ref="CS69">INDEX(CR:CR,MIN(IF(ISNUMBER(CR69:CR265),ROW(CR69:CR265),"")))</f>
        <v>16.625</v>
      </c>
      <c r="CT69" s="12">
        <f>IF('Données projet'!$A$140&gt;35,CT68+CS69-DB68,IF(A69&lt;'Données projet'!$A$140,$CQ$205^A69,IF(A69='Données projet'!$A$140,'Données projet'!$B$140,CT68+CS69-DB68)))</f>
        <v>494.99999999999994</v>
      </c>
      <c r="CU69" s="17">
        <f>CT69*VLOOKUP('Données projet'!$B$13,Paramètres!$A$1:$I$89,3,0)*VLOOKUP('Données projet'!$B$13,Paramètres!$A$1:$I$89,5,0)</f>
        <v>296.01</v>
      </c>
      <c r="CV69" s="13">
        <f t="shared" ref="CV69:CV132" si="95">EXP(-1.0587+0.8836*LN(CU69)+0.284)</f>
        <v>70.339355522692159</v>
      </c>
      <c r="CW69" s="20">
        <f t="shared" si="67"/>
        <v>638.05846086868871</v>
      </c>
      <c r="CX69" s="59">
        <f t="shared" si="68"/>
        <v>931.39179420202208</v>
      </c>
      <c r="CY69" s="59">
        <f ca="1">AVERAGE(OFFSET($CX$3,0,0,'Données projet'!$E$13+1,1))-AVERAGE(OFFSET($H$3,0,0,'Données projet'!$E$13+1,1))</f>
        <v>393.01180019332998</v>
      </c>
      <c r="CZ69" s="59">
        <f t="shared" ref="CZ69:CZ132" si="96">$CZ$3</f>
        <v>283.82782416294748</v>
      </c>
      <c r="DA69" s="15">
        <f>IF(ISNA(VLOOKUP(A69,'Données projet'!$A$139:$I$159,3,0)),0,VLOOKUP(A69,'Données projet'!$A$139:$I$159,3,0))</f>
        <v>9</v>
      </c>
      <c r="DB69" s="15">
        <f>IF(ISNA(VLOOKUP(A69,'Données projet'!$A$139:$I$159,4,0)),0,VLOOKUP(A69,'Données projet'!$A$139:$I$159,4,0))</f>
        <v>65</v>
      </c>
      <c r="DC69" s="16">
        <f>IF(ISNA(VLOOKUP(A69,'Données projet'!$A$139:$I$159,5,0)),0%,VLOOKUP(A69,'Données projet'!$A$139:$I$159,5,0)*VLOOKUP('Données projet'!$B$13,Paramètres!$A$1:$I$89,7,0))</f>
        <v>0.315</v>
      </c>
      <c r="DD69" s="16">
        <f>IF(ISNA(VLOOKUP(A69,'Données projet'!$A$139:$I$159,6,0)),0%,VLOOKUP(A69,'Données projet'!$A$139:$I$159,6,0)*VLOOKUP('Données projet'!$B$13,Paramètres!$A$1:$I$89,7,0))</f>
        <v>0.13500000000000001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53.563127487434386</v>
      </c>
      <c r="DG69" s="21">
        <f>EXP(-LN(2)/25)*DG68+(1-EXP(-LN(2)/25))/(LN(2)/25)*Calculateur!DB69*Calculateur!DD69*VLOOKUP('Données projet'!$B$13,Paramètres!$A$1:$I$89,3,0)*0.475*44/12</f>
        <v>34.245103816358593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87.808231303792979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>
        <f>VLOOKUP(A69,'Données projet'!$A$165:$I$185,2,0)</f>
        <v>495</v>
      </c>
      <c r="DM69" s="12">
        <f>VLOOKUP(A69,'Données projet'!$A$165:$I$185,9,0)</f>
        <v>16.625</v>
      </c>
      <c r="DN69" s="12">
        <f t="array" ref="DN69">INDEX(DM:DM,MIN(IF(ISNUMBER(DM69:DM265),ROW(DM69:DM265),"")))</f>
        <v>16.625</v>
      </c>
      <c r="DO69" s="12">
        <f>IF('Données projet'!$A$166&gt;35,DO68+DN69-DW68,IF(A69&lt;'Données projet'!$A$166,$DL$205^A69,IF(A69='Données projet'!$A$166,'Données projet'!$B$166,DO68+DN69-DW68)))</f>
        <v>494.99999999999994</v>
      </c>
      <c r="DP69" s="17">
        <f>DO69*VLOOKUP('Données projet'!$B$14,Paramètres!$A$1:$I$89,3,0)*VLOOKUP('Données projet'!$B$14,Paramètres!$A$1:$I$89,5,0)</f>
        <v>296.01</v>
      </c>
      <c r="DQ69" s="13">
        <f t="shared" ref="DQ69:DQ132" si="97">EXP(-1.0587+0.8836*LN(DP69)+0.284)</f>
        <v>70.339355522692159</v>
      </c>
      <c r="DR69" s="20">
        <f t="shared" si="70"/>
        <v>638.05846086868871</v>
      </c>
      <c r="DS69" s="59">
        <f t="shared" si="71"/>
        <v>931.39179420202208</v>
      </c>
      <c r="DT69" s="59">
        <f ca="1">AVERAGE(OFFSET($DS$3,0,0,'Données projet'!$E$14+1,1))-AVERAGE(OFFSET($H$3,0,0,'Données projet'!$E$14+1,1))</f>
        <v>393.01180019332998</v>
      </c>
      <c r="DU69" s="59">
        <f t="shared" ref="DU69:DU132" si="98">$DU$3</f>
        <v>283.82782416294748</v>
      </c>
      <c r="DV69" s="15">
        <f>IF(ISNA(VLOOKUP(A69,'Données projet'!$A$165:$I$185,3,0)),0,VLOOKUP(A69,'Données projet'!$A$165:$I$185,3,0))</f>
        <v>9</v>
      </c>
      <c r="DW69" s="15">
        <f>IF(ISNA(VLOOKUP(A69,'Données projet'!$A$165:$I$185,4,0)),0,VLOOKUP(A69,'Données projet'!$A$165:$I$185,4,0))</f>
        <v>65</v>
      </c>
      <c r="DX69" s="16">
        <f>IF(ISNA(VLOOKUP(A69,'Données projet'!$A$165:$I$185,5,0)),0%,VLOOKUP(A69,'Données projet'!$A$165:$I$185,5,0)*VLOOKUP('Données projet'!$B$14,Paramètres!$A$1:$I$89,7,0))</f>
        <v>0.315</v>
      </c>
      <c r="DY69" s="16">
        <f>IF(ISNA(VLOOKUP(A69,'Données projet'!$A$165:$I$185,6,0)),0%,VLOOKUP(A69,'Données projet'!$A$165:$I$185,6,0)*VLOOKUP('Données projet'!$B$14,Paramètres!$A$1:$I$89,7,0))</f>
        <v>0.13500000000000001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53.563127487434386</v>
      </c>
      <c r="EB69" s="21">
        <f>EXP(-LN(2)/25)*EB68+(1-EXP(-LN(2)/25))/(LN(2)/25)*Calculateur!DW69*Calculateur!DY69*VLOOKUP('Données projet'!$B$14,Paramètres!$A$1:$I$89,3,0)*0.475*44/12</f>
        <v>34.245103816358593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87.808231303792979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7.7344800000000138</v>
      </c>
      <c r="D70" s="11">
        <f t="shared" si="86"/>
        <v>2.8091168396527268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16.277833717358622</v>
      </c>
      <c r="H70" s="67">
        <f t="shared" si="56"/>
        <v>275.0300978290619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-1.1368683772161603E-13</v>
      </c>
      <c r="O70" s="13">
        <f>N70*VLOOKUP('Données projet'!$B$9,Paramètres!$A$1:$I$89,3,0)*VLOOKUP('Données projet'!$B$9,Paramètres!$A$1:$I$89,5,0)</f>
        <v>-5.3205440053716299E-14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189.8770435341392</v>
      </c>
      <c r="T70" s="59">
        <f t="shared" si="88"/>
        <v>230.18380961122767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95.564008286441805</v>
      </c>
      <c r="AA70" s="21">
        <f>EXP(-LN(2)/25)*AA69+(1-EXP(-LN(2)/25))/(LN(2)/25)*Calculateur!V70*Calculateur!X70*VLOOKUP('Données projet'!$B$9,Paramètres!$A$1:$I$89,3,0)*0.475*44/12</f>
        <v>51.282012513040243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146.84602079948206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5.1196680000000017</v>
      </c>
      <c r="AI70" s="13">
        <f>IF('Données projet'!$A$62&gt;35,AI69+AH70-AQ69,IF(A70&lt;'Données projet'!$A$62,$AF$205^A70,IF(A70='Données projet'!$A$62,'Données projet'!$B$62,AI69+AH70-AQ69)))</f>
        <v>342.29667599999976</v>
      </c>
      <c r="AJ70" s="13">
        <f>AI70*VLOOKUP('Données projet'!$B$10,Paramètres!$A$1:$I$89,3,0)*VLOOKUP('Données projet'!$B$10,Paramètres!$A$1:$I$89,5,0)</f>
        <v>151.29513079199992</v>
      </c>
      <c r="AK70" s="13">
        <f t="shared" si="89"/>
        <v>38.87276131326157</v>
      </c>
      <c r="AL70" s="20">
        <f t="shared" si="58"/>
        <v>331.2090787499971</v>
      </c>
      <c r="AM70" s="59">
        <f t="shared" si="59"/>
        <v>624.54241208333042</v>
      </c>
      <c r="AN70" s="59">
        <f ca="1">AVERAGE(OFFSET($AM$3,0,0,'Données projet'!$E$10+1,1))-AVERAGE(OFFSET($H$3,0,0,'Données projet'!$E$10+1,1))</f>
        <v>207.77463758757142</v>
      </c>
      <c r="AO70" s="59">
        <f t="shared" si="90"/>
        <v>180.50802165484066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20.081079721466047</v>
      </c>
      <c r="AV70" s="21">
        <f>EXP(-LN(2)/25)*AV69+(1-EXP(-LN(2)/25))/(LN(2)/25)*Calculateur!AQ70*Calculateur!AS70*VLOOKUP('Données projet'!$B$10,Paramètres!$A$1:$I$89,3,0)*0.475*44/12</f>
        <v>24.292738303617892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44.373818025083935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12.875</v>
      </c>
      <c r="BD70" s="12">
        <f>IF('Données projet'!$A$88&gt;35,BD69+BC70-BL69,IF(A70&lt;'Données projet'!$A$88,$BA$205^A70,IF(A70='Données projet'!$A$88,'Données projet'!$B$88,BD69+BC70-BL69)))</f>
        <v>442.87499999999994</v>
      </c>
      <c r="BE70" s="13">
        <f>BD70*VLOOKUP('Données projet'!$B$11,Paramètres!$A$1:$I$89,3,0)*VLOOKUP('Données projet'!$B$11,Paramètres!$A$1:$I$89,5,0)</f>
        <v>264.83924999999999</v>
      </c>
      <c r="BF70" s="13">
        <f t="shared" si="91"/>
        <v>63.752800756768096</v>
      </c>
      <c r="BG70" s="20">
        <f t="shared" si="61"/>
        <v>572.29782173470437</v>
      </c>
      <c r="BH70" s="59">
        <f t="shared" si="62"/>
        <v>865.63115506803774</v>
      </c>
      <c r="BI70" s="59">
        <f ca="1">AVERAGE(OFFSET($BH$3,0,0,'Données projet'!$E$11+1,1))-AVERAGE(OFFSET($H$3,0,0,'Données projet'!$E$11+1,1))</f>
        <v>393.01180019332998</v>
      </c>
      <c r="BJ70" s="59">
        <f t="shared" si="92"/>
        <v>283.82782416294748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52.512787227687646</v>
      </c>
      <c r="BQ70" s="21">
        <f>EXP(-LN(2)/25)*BQ69+(1-EXP(-LN(2)/25))/(LN(2)/25)*Calculateur!BL70*Calculateur!BN70*VLOOKUP('Données projet'!$B$11,Paramètres!$A$1:$I$89,3,0)*0.475*44/12</f>
        <v>33.308669651628527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85.821456879316173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12.875</v>
      </c>
      <c r="BY70" s="12">
        <f>IF('Données projet'!$A$114&gt;35,BY69+BX70-CG69,IF(A70&lt;'Données projet'!$A$114,$BV$205^A70,IF(A70='Données projet'!$A$114,'Données projet'!$B$114,BY69+BX70-CG69)))</f>
        <v>442.87499999999994</v>
      </c>
      <c r="BZ70" s="13">
        <f>BY70*VLOOKUP('Données projet'!$B$12,Paramètres!$A$1:$I$89,3,0)*VLOOKUP('Données projet'!$B$12,Paramètres!$A$1:$I$89,5,0)</f>
        <v>264.83924999999999</v>
      </c>
      <c r="CA70" s="13">
        <f t="shared" si="93"/>
        <v>63.752800756768096</v>
      </c>
      <c r="CB70" s="20">
        <f t="shared" si="64"/>
        <v>572.29782173470437</v>
      </c>
      <c r="CC70" s="59">
        <f t="shared" si="65"/>
        <v>865.63115506803774</v>
      </c>
      <c r="CD70" s="59">
        <f ca="1">AVERAGE(OFFSET($CC$3,0,0,'Données projet'!$E$12+1,1))-AVERAGE(OFFSET($H$3,0,0,'Données projet'!$E$12+1,1))</f>
        <v>393.01180019332998</v>
      </c>
      <c r="CE70" s="59">
        <f t="shared" si="94"/>
        <v>283.82782416294748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52.512787227687646</v>
      </c>
      <c r="CL70" s="21">
        <f>EXP(-LN(2)/25)*CL69+(1-EXP(-LN(2)/25))/(LN(2)/25)*Calculateur!CG70*Calculateur!CI70*VLOOKUP('Données projet'!$B$12,Paramètres!$A$1:$I$89,3,0)*0.475*44/12</f>
        <v>33.308669651628527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85.821456879316173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12.875</v>
      </c>
      <c r="CT70" s="12">
        <f>IF('Données projet'!$A$140&gt;35,CT69+CS70-DB69,IF(A70&lt;'Données projet'!$A$140,$CQ$205^A70,IF(A70='Données projet'!$A$140,'Données projet'!$B$140,CT69+CS70-DB69)))</f>
        <v>442.87499999999994</v>
      </c>
      <c r="CU70" s="17">
        <f>CT70*VLOOKUP('Données projet'!$B$13,Paramètres!$A$1:$I$89,3,0)*VLOOKUP('Données projet'!$B$13,Paramètres!$A$1:$I$89,5,0)</f>
        <v>264.83924999999999</v>
      </c>
      <c r="CV70" s="13">
        <f t="shared" si="95"/>
        <v>63.752800756768096</v>
      </c>
      <c r="CW70" s="20">
        <f t="shared" si="67"/>
        <v>572.29782173470437</v>
      </c>
      <c r="CX70" s="59">
        <f t="shared" si="68"/>
        <v>865.63115506803774</v>
      </c>
      <c r="CY70" s="59">
        <f ca="1">AVERAGE(OFFSET($CX$3,0,0,'Données projet'!$E$13+1,1))-AVERAGE(OFFSET($H$3,0,0,'Données projet'!$E$13+1,1))</f>
        <v>393.01180019332998</v>
      </c>
      <c r="CZ70" s="59">
        <f t="shared" si="96"/>
        <v>283.82782416294748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52.512787227687646</v>
      </c>
      <c r="DG70" s="21">
        <f>EXP(-LN(2)/25)*DG69+(1-EXP(-LN(2)/25))/(LN(2)/25)*Calculateur!DB70*Calculateur!DD70*VLOOKUP('Données projet'!$B$13,Paramètres!$A$1:$I$89,3,0)*0.475*44/12</f>
        <v>33.308669651628527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85.821456879316173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12.875</v>
      </c>
      <c r="DO70" s="12">
        <f>IF('Données projet'!$A$166&gt;35,DO69+DN70-DW69,IF(A70&lt;'Données projet'!$A$166,$DL$205^A70,IF(A70='Données projet'!$A$166,'Données projet'!$B$166,DO69+DN70-DW69)))</f>
        <v>442.87499999999994</v>
      </c>
      <c r="DP70" s="17">
        <f>DO70*VLOOKUP('Données projet'!$B$14,Paramètres!$A$1:$I$89,3,0)*VLOOKUP('Données projet'!$B$14,Paramètres!$A$1:$I$89,5,0)</f>
        <v>264.83924999999999</v>
      </c>
      <c r="DQ70" s="13">
        <f t="shared" si="97"/>
        <v>63.752800756768096</v>
      </c>
      <c r="DR70" s="20">
        <f t="shared" si="70"/>
        <v>572.29782173470437</v>
      </c>
      <c r="DS70" s="59">
        <f t="shared" si="71"/>
        <v>865.63115506803774</v>
      </c>
      <c r="DT70" s="59">
        <f ca="1">AVERAGE(OFFSET($DS$3,0,0,'Données projet'!$E$14+1,1))-AVERAGE(OFFSET($H$3,0,0,'Données projet'!$E$14+1,1))</f>
        <v>393.01180019332998</v>
      </c>
      <c r="DU70" s="59">
        <f t="shared" si="98"/>
        <v>283.82782416294748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52.512787227687646</v>
      </c>
      <c r="EB70" s="21">
        <f>EXP(-LN(2)/25)*EB69+(1-EXP(-LN(2)/25))/(LN(2)/25)*Calculateur!DW70*Calculateur!DY70*VLOOKUP('Données projet'!$B$14,Paramètres!$A$1:$I$89,3,0)*0.475*44/12</f>
        <v>33.308669651628527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85.821456879316173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7.8499200000000142</v>
      </c>
      <c r="D71" s="11">
        <f t="shared" si="86"/>
        <v>2.8461316366322373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16.513202526730495</v>
      </c>
      <c r="H71" s="67">
        <f t="shared" si="56"/>
        <v>275.29562326713454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-1.1368683772161603E-13</v>
      </c>
      <c r="O71" s="13">
        <f>N71*VLOOKUP('Données projet'!$B$9,Paramètres!$A$1:$I$89,3,0)*VLOOKUP('Données projet'!$B$9,Paramètres!$A$1:$I$89,5,0)</f>
        <v>-5.3205440053716299E-14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189.8770435341392</v>
      </c>
      <c r="T71" s="59">
        <f t="shared" si="88"/>
        <v>230.18380961122767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93.690056372234238</v>
      </c>
      <c r="AA71" s="21">
        <f>EXP(-LN(2)/25)*AA70+(1-EXP(-LN(2)/25))/(LN(2)/25)*Calculateur!V71*Calculateur!X71*VLOOKUP('Données projet'!$B$9,Paramètres!$A$1:$I$89,3,0)*0.475*44/12</f>
        <v>49.879703184067324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143.56975955630156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5.1196680000000017</v>
      </c>
      <c r="AI71" s="13">
        <f>IF('Données projet'!$A$62&gt;35,AI70+AH71-AQ70,IF(A71&lt;'Données projet'!$A$62,$AF$205^A71,IF(A71='Données projet'!$A$62,'Données projet'!$B$62,AI70+AH71-AQ70)))</f>
        <v>347.41634399999975</v>
      </c>
      <c r="AJ71" s="13">
        <f>AI71*VLOOKUP('Données projet'!$B$10,Paramètres!$A$1:$I$89,3,0)*VLOOKUP('Données projet'!$B$10,Paramètres!$A$1:$I$89,5,0)</f>
        <v>153.55802404799991</v>
      </c>
      <c r="AK71" s="13">
        <f t="shared" si="89"/>
        <v>39.386052837748878</v>
      </c>
      <c r="AL71" s="20">
        <f t="shared" si="58"/>
        <v>336.04426724267915</v>
      </c>
      <c r="AM71" s="59">
        <f t="shared" si="59"/>
        <v>629.37760057601247</v>
      </c>
      <c r="AN71" s="59">
        <f ca="1">AVERAGE(OFFSET($AM$3,0,0,'Données projet'!$E$10+1,1))-AVERAGE(OFFSET($H$3,0,0,'Données projet'!$E$10+1,1))</f>
        <v>207.77463758757142</v>
      </c>
      <c r="AO71" s="59">
        <f t="shared" si="90"/>
        <v>180.50802165484066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19.687301996377315</v>
      </c>
      <c r="AV71" s="21">
        <f>EXP(-LN(2)/25)*AV70+(1-EXP(-LN(2)/25))/(LN(2)/25)*Calculateur!AQ71*Calculateur!AS71*VLOOKUP('Données projet'!$B$10,Paramètres!$A$1:$I$89,3,0)*0.475*44/12</f>
        <v>23.628452097205876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43.315754093583195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12.875</v>
      </c>
      <c r="BD71" s="12">
        <f>IF('Données projet'!$A$88&gt;35,BD70+BC71-BL70,IF(A71&lt;'Données projet'!$A$88,$BA$205^A71,IF(A71='Données projet'!$A$88,'Données projet'!$B$88,BD70+BC71-BL70)))</f>
        <v>455.74999999999994</v>
      </c>
      <c r="BE71" s="13">
        <f>BD71*VLOOKUP('Données projet'!$B$11,Paramètres!$A$1:$I$89,3,0)*VLOOKUP('Données projet'!$B$11,Paramètres!$A$1:$I$89,5,0)</f>
        <v>272.5385</v>
      </c>
      <c r="BF71" s="13">
        <f t="shared" si="91"/>
        <v>65.387709293034902</v>
      </c>
      <c r="BG71" s="20">
        <f t="shared" si="61"/>
        <v>588.55481451870241</v>
      </c>
      <c r="BH71" s="59">
        <f t="shared" si="62"/>
        <v>881.88814785203567</v>
      </c>
      <c r="BI71" s="59">
        <f ca="1">AVERAGE(OFFSET($BH$3,0,0,'Données projet'!$E$11+1,1))-AVERAGE(OFFSET($H$3,0,0,'Données projet'!$E$11+1,1))</f>
        <v>393.01180019332998</v>
      </c>
      <c r="BJ71" s="59">
        <f t="shared" si="92"/>
        <v>283.82782416294748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51.483043499790234</v>
      </c>
      <c r="BQ71" s="21">
        <f>EXP(-LN(2)/25)*BQ70+(1-EXP(-LN(2)/25))/(LN(2)/25)*Calculateur!BL71*Calculateur!BN71*VLOOKUP('Données projet'!$B$11,Paramètres!$A$1:$I$89,3,0)*0.475*44/12</f>
        <v>32.397842328377934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83.880885828168175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12.875</v>
      </c>
      <c r="BY71" s="12">
        <f>IF('Données projet'!$A$114&gt;35,BY70+BX71-CG70,IF(A71&lt;'Données projet'!$A$114,$BV$205^A71,IF(A71='Données projet'!$A$114,'Données projet'!$B$114,BY70+BX71-CG70)))</f>
        <v>455.74999999999994</v>
      </c>
      <c r="BZ71" s="13">
        <f>BY71*VLOOKUP('Données projet'!$B$12,Paramètres!$A$1:$I$89,3,0)*VLOOKUP('Données projet'!$B$12,Paramètres!$A$1:$I$89,5,0)</f>
        <v>272.5385</v>
      </c>
      <c r="CA71" s="13">
        <f t="shared" si="93"/>
        <v>65.387709293034902</v>
      </c>
      <c r="CB71" s="20">
        <f t="shared" si="64"/>
        <v>588.55481451870241</v>
      </c>
      <c r="CC71" s="59">
        <f t="shared" si="65"/>
        <v>881.88814785203567</v>
      </c>
      <c r="CD71" s="59">
        <f ca="1">AVERAGE(OFFSET($CC$3,0,0,'Données projet'!$E$12+1,1))-AVERAGE(OFFSET($H$3,0,0,'Données projet'!$E$12+1,1))</f>
        <v>393.01180019332998</v>
      </c>
      <c r="CE71" s="59">
        <f t="shared" si="94"/>
        <v>283.82782416294748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51.483043499790234</v>
      </c>
      <c r="CL71" s="21">
        <f>EXP(-LN(2)/25)*CL70+(1-EXP(-LN(2)/25))/(LN(2)/25)*Calculateur!CG71*Calculateur!CI71*VLOOKUP('Données projet'!$B$12,Paramètres!$A$1:$I$89,3,0)*0.475*44/12</f>
        <v>32.397842328377934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83.880885828168175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12.875</v>
      </c>
      <c r="CT71" s="12">
        <f>IF('Données projet'!$A$140&gt;35,CT70+CS71-DB70,IF(A71&lt;'Données projet'!$A$140,$CQ$205^A71,IF(A71='Données projet'!$A$140,'Données projet'!$B$140,CT70+CS71-DB70)))</f>
        <v>455.74999999999994</v>
      </c>
      <c r="CU71" s="17">
        <f>CT71*VLOOKUP('Données projet'!$B$13,Paramètres!$A$1:$I$89,3,0)*VLOOKUP('Données projet'!$B$13,Paramètres!$A$1:$I$89,5,0)</f>
        <v>272.5385</v>
      </c>
      <c r="CV71" s="13">
        <f t="shared" si="95"/>
        <v>65.387709293034902</v>
      </c>
      <c r="CW71" s="20">
        <f t="shared" si="67"/>
        <v>588.55481451870241</v>
      </c>
      <c r="CX71" s="59">
        <f t="shared" si="68"/>
        <v>881.88814785203567</v>
      </c>
      <c r="CY71" s="59">
        <f ca="1">AVERAGE(OFFSET($CX$3,0,0,'Données projet'!$E$13+1,1))-AVERAGE(OFFSET($H$3,0,0,'Données projet'!$E$13+1,1))</f>
        <v>393.01180019332998</v>
      </c>
      <c r="CZ71" s="59">
        <f t="shared" si="96"/>
        <v>283.82782416294748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51.483043499790234</v>
      </c>
      <c r="DG71" s="21">
        <f>EXP(-LN(2)/25)*DG70+(1-EXP(-LN(2)/25))/(LN(2)/25)*Calculateur!DB71*Calculateur!DD71*VLOOKUP('Données projet'!$B$13,Paramètres!$A$1:$I$89,3,0)*0.475*44/12</f>
        <v>32.397842328377934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83.880885828168175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12.875</v>
      </c>
      <c r="DO71" s="12">
        <f>IF('Données projet'!$A$166&gt;35,DO70+DN71-DW70,IF(A71&lt;'Données projet'!$A$166,$DL$205^A71,IF(A71='Données projet'!$A$166,'Données projet'!$B$166,DO70+DN71-DW70)))</f>
        <v>455.74999999999994</v>
      </c>
      <c r="DP71" s="17">
        <f>DO71*VLOOKUP('Données projet'!$B$14,Paramètres!$A$1:$I$89,3,0)*VLOOKUP('Données projet'!$B$14,Paramètres!$A$1:$I$89,5,0)</f>
        <v>272.5385</v>
      </c>
      <c r="DQ71" s="13">
        <f t="shared" si="97"/>
        <v>65.387709293034902</v>
      </c>
      <c r="DR71" s="20">
        <f t="shared" si="70"/>
        <v>588.55481451870241</v>
      </c>
      <c r="DS71" s="59">
        <f t="shared" si="71"/>
        <v>881.88814785203567</v>
      </c>
      <c r="DT71" s="59">
        <f ca="1">AVERAGE(OFFSET($DS$3,0,0,'Données projet'!$E$14+1,1))-AVERAGE(OFFSET($H$3,0,0,'Données projet'!$E$14+1,1))</f>
        <v>393.01180019332998</v>
      </c>
      <c r="DU71" s="59">
        <f t="shared" si="98"/>
        <v>283.82782416294748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51.483043499790234</v>
      </c>
      <c r="EB71" s="21">
        <f>EXP(-LN(2)/25)*EB70+(1-EXP(-LN(2)/25))/(LN(2)/25)*Calculateur!DW71*Calculateur!DY71*VLOOKUP('Données projet'!$B$14,Paramètres!$A$1:$I$89,3,0)*0.475*44/12</f>
        <v>32.397842328377934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83.880885828168175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7.9653600000000147</v>
      </c>
      <c r="D72" s="11">
        <f t="shared" si="86"/>
        <v>2.8830831247742323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16.748473596142698</v>
      </c>
      <c r="H72" s="67">
        <f t="shared" si="56"/>
        <v>275.56103844231518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-1.1368683772161603E-13</v>
      </c>
      <c r="O72" s="13">
        <f>N72*VLOOKUP('Données projet'!$B$9,Paramètres!$A$1:$I$89,3,0)*VLOOKUP('Données projet'!$B$9,Paramètres!$A$1:$I$89,5,0)</f>
        <v>-5.3205440053716299E-14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189.8770435341392</v>
      </c>
      <c r="T72" s="59">
        <f t="shared" si="88"/>
        <v>230.18380961122767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91.852851512066479</v>
      </c>
      <c r="AA72" s="21">
        <f>EXP(-LN(2)/25)*AA71+(1-EXP(-LN(2)/25))/(LN(2)/25)*Calculateur!V72*Calculateur!X72*VLOOKUP('Données projet'!$B$9,Paramètres!$A$1:$I$89,3,0)*0.475*44/12</f>
        <v>48.515740077439418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140.36859158950591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5.1196680000000017</v>
      </c>
      <c r="AI72" s="13">
        <f>IF('Données projet'!$A$62&gt;35,AI71+AH72-AQ71,IF(A72&lt;'Données projet'!$A$62,$AF$205^A72,IF(A72='Données projet'!$A$62,'Données projet'!$B$62,AI71+AH72-AQ71)))</f>
        <v>352.53601199999974</v>
      </c>
      <c r="AJ72" s="13">
        <f>AI72*VLOOKUP('Données projet'!$B$10,Paramètres!$A$1:$I$89,3,0)*VLOOKUP('Données projet'!$B$10,Paramètres!$A$1:$I$89,5,0)</f>
        <v>155.82091730399992</v>
      </c>
      <c r="AK72" s="13">
        <f t="shared" si="89"/>
        <v>39.898464625305309</v>
      </c>
      <c r="AL72" s="20">
        <f t="shared" si="58"/>
        <v>340.87792352687325</v>
      </c>
      <c r="AM72" s="59">
        <f t="shared" si="59"/>
        <v>634.2112568602065</v>
      </c>
      <c r="AN72" s="59">
        <f ca="1">AVERAGE(OFFSET($AM$3,0,0,'Données projet'!$E$10+1,1))-AVERAGE(OFFSET($H$3,0,0,'Données projet'!$E$10+1,1))</f>
        <v>207.77463758757142</v>
      </c>
      <c r="AO72" s="59">
        <f t="shared" si="90"/>
        <v>180.50802165484066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19.301246012296875</v>
      </c>
      <c r="AV72" s="21">
        <f>EXP(-LN(2)/25)*AV71+(1-EXP(-LN(2)/25))/(LN(2)/25)*Calculateur!AQ72*Calculateur!AS72*VLOOKUP('Données projet'!$B$10,Paramètres!$A$1:$I$89,3,0)*0.475*44/12</f>
        <v>22.982330832041491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42.28357684433837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12.875</v>
      </c>
      <c r="BD72" s="12">
        <f>IF('Données projet'!$A$88&gt;35,BD71+BC72-BL71,IF(A72&lt;'Données projet'!$A$88,$BA$205^A72,IF(A72='Données projet'!$A$88,'Données projet'!$B$88,BD71+BC72-BL71)))</f>
        <v>468.62499999999994</v>
      </c>
      <c r="BE72" s="13">
        <f>BD72*VLOOKUP('Données projet'!$B$11,Paramètres!$A$1:$I$89,3,0)*VLOOKUP('Données projet'!$B$11,Paramètres!$A$1:$I$89,5,0)</f>
        <v>280.23775000000001</v>
      </c>
      <c r="BF72" s="13">
        <f t="shared" si="91"/>
        <v>67.017249808465152</v>
      </c>
      <c r="BG72" s="20">
        <f t="shared" si="61"/>
        <v>604.80245799974352</v>
      </c>
      <c r="BH72" s="59">
        <f t="shared" si="62"/>
        <v>898.1357913330769</v>
      </c>
      <c r="BI72" s="59">
        <f ca="1">AVERAGE(OFFSET($BH$3,0,0,'Données projet'!$E$11+1,1))-AVERAGE(OFFSET($H$3,0,0,'Données projet'!$E$11+1,1))</f>
        <v>393.01180019332998</v>
      </c>
      <c r="BJ72" s="59">
        <f t="shared" si="92"/>
        <v>283.82782416294748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50.473492418315239</v>
      </c>
      <c r="BQ72" s="21">
        <f>EXP(-LN(2)/25)*BQ71+(1-EXP(-LN(2)/25))/(LN(2)/25)*Calculateur!BL72*Calculateur!BN72*VLOOKUP('Données projet'!$B$11,Paramètres!$A$1:$I$89,3,0)*0.475*44/12</f>
        <v>31.511921626179959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81.985414044495201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12.875</v>
      </c>
      <c r="BY72" s="12">
        <f>IF('Données projet'!$A$114&gt;35,BY71+BX72-CG71,IF(A72&lt;'Données projet'!$A$114,$BV$205^A72,IF(A72='Données projet'!$A$114,'Données projet'!$B$114,BY71+BX72-CG71)))</f>
        <v>468.62499999999994</v>
      </c>
      <c r="BZ72" s="13">
        <f>BY72*VLOOKUP('Données projet'!$B$12,Paramètres!$A$1:$I$89,3,0)*VLOOKUP('Données projet'!$B$12,Paramètres!$A$1:$I$89,5,0)</f>
        <v>280.23775000000001</v>
      </c>
      <c r="CA72" s="13">
        <f t="shared" si="93"/>
        <v>67.017249808465152</v>
      </c>
      <c r="CB72" s="20">
        <f t="shared" si="64"/>
        <v>604.80245799974352</v>
      </c>
      <c r="CC72" s="59">
        <f t="shared" si="65"/>
        <v>898.1357913330769</v>
      </c>
      <c r="CD72" s="59">
        <f ca="1">AVERAGE(OFFSET($CC$3,0,0,'Données projet'!$E$12+1,1))-AVERAGE(OFFSET($H$3,0,0,'Données projet'!$E$12+1,1))</f>
        <v>393.01180019332998</v>
      </c>
      <c r="CE72" s="59">
        <f t="shared" si="94"/>
        <v>283.82782416294748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50.473492418315239</v>
      </c>
      <c r="CL72" s="21">
        <f>EXP(-LN(2)/25)*CL71+(1-EXP(-LN(2)/25))/(LN(2)/25)*Calculateur!CG72*Calculateur!CI72*VLOOKUP('Données projet'!$B$12,Paramètres!$A$1:$I$89,3,0)*0.475*44/12</f>
        <v>31.511921626179959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81.985414044495201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12.875</v>
      </c>
      <c r="CT72" s="12">
        <f>IF('Données projet'!$A$140&gt;35,CT71+CS72-DB71,IF(A72&lt;'Données projet'!$A$140,$CQ$205^A72,IF(A72='Données projet'!$A$140,'Données projet'!$B$140,CT71+CS72-DB71)))</f>
        <v>468.62499999999994</v>
      </c>
      <c r="CU72" s="17">
        <f>CT72*VLOOKUP('Données projet'!$B$13,Paramètres!$A$1:$I$89,3,0)*VLOOKUP('Données projet'!$B$13,Paramètres!$A$1:$I$89,5,0)</f>
        <v>280.23775000000001</v>
      </c>
      <c r="CV72" s="13">
        <f t="shared" si="95"/>
        <v>67.017249808465152</v>
      </c>
      <c r="CW72" s="20">
        <f t="shared" si="67"/>
        <v>604.80245799974352</v>
      </c>
      <c r="CX72" s="59">
        <f t="shared" si="68"/>
        <v>898.1357913330769</v>
      </c>
      <c r="CY72" s="59">
        <f ca="1">AVERAGE(OFFSET($CX$3,0,0,'Données projet'!$E$13+1,1))-AVERAGE(OFFSET($H$3,0,0,'Données projet'!$E$13+1,1))</f>
        <v>393.01180019332998</v>
      </c>
      <c r="CZ72" s="59">
        <f t="shared" si="96"/>
        <v>283.82782416294748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50.473492418315239</v>
      </c>
      <c r="DG72" s="21">
        <f>EXP(-LN(2)/25)*DG71+(1-EXP(-LN(2)/25))/(LN(2)/25)*Calculateur!DB72*Calculateur!DD72*VLOOKUP('Données projet'!$B$13,Paramètres!$A$1:$I$89,3,0)*0.475*44/12</f>
        <v>31.511921626179959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81.985414044495201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12.875</v>
      </c>
      <c r="DO72" s="12">
        <f>IF('Données projet'!$A$166&gt;35,DO71+DN72-DW71,IF(A72&lt;'Données projet'!$A$166,$DL$205^A72,IF(A72='Données projet'!$A$166,'Données projet'!$B$166,DO71+DN72-DW71)))</f>
        <v>468.62499999999994</v>
      </c>
      <c r="DP72" s="17">
        <f>DO72*VLOOKUP('Données projet'!$B$14,Paramètres!$A$1:$I$89,3,0)*VLOOKUP('Données projet'!$B$14,Paramètres!$A$1:$I$89,5,0)</f>
        <v>280.23775000000001</v>
      </c>
      <c r="DQ72" s="13">
        <f t="shared" si="97"/>
        <v>67.017249808465152</v>
      </c>
      <c r="DR72" s="20">
        <f t="shared" si="70"/>
        <v>604.80245799974352</v>
      </c>
      <c r="DS72" s="59">
        <f t="shared" si="71"/>
        <v>898.1357913330769</v>
      </c>
      <c r="DT72" s="59">
        <f ca="1">AVERAGE(OFFSET($DS$3,0,0,'Données projet'!$E$14+1,1))-AVERAGE(OFFSET($H$3,0,0,'Données projet'!$E$14+1,1))</f>
        <v>393.01180019332998</v>
      </c>
      <c r="DU72" s="59">
        <f t="shared" si="98"/>
        <v>283.82782416294748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50.473492418315239</v>
      </c>
      <c r="EB72" s="21">
        <f>EXP(-LN(2)/25)*EB71+(1-EXP(-LN(2)/25))/(LN(2)/25)*Calculateur!DW72*Calculateur!DY72*VLOOKUP('Données projet'!$B$14,Paramètres!$A$1:$I$89,3,0)*0.475*44/12</f>
        <v>31.511921626179959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81.985414044495201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8.0808000000000142</v>
      </c>
      <c r="D73" s="11">
        <f t="shared" si="86"/>
        <v>2.919972327605977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16.983648505777673</v>
      </c>
      <c r="H73" s="67">
        <f t="shared" si="56"/>
        <v>275.82634513724713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-1.1368683772161603E-13</v>
      </c>
      <c r="O73" s="13">
        <f>N73*VLOOKUP('Données projet'!$B$9,Paramètres!$A$1:$I$89,3,0)*VLOOKUP('Données projet'!$B$9,Paramètres!$A$1:$I$89,5,0)</f>
        <v>-5.3205440053716299E-14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189.8770435341392</v>
      </c>
      <c r="T73" s="59">
        <f t="shared" si="88"/>
        <v>230.18380961122767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90.051673118622304</v>
      </c>
      <c r="AA73" s="21">
        <f>EXP(-LN(2)/25)*AA72+(1-EXP(-LN(2)/25))/(LN(2)/25)*Calculateur!V73*Calculateur!X73*VLOOKUP('Données projet'!$B$9,Paramètres!$A$1:$I$89,3,0)*0.475*44/12</f>
        <v>47.189074613689954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137.24074773231226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357.65568000000002</v>
      </c>
      <c r="AG73" s="12">
        <f>VLOOKUP(A73,'Données projet'!$A$61:$I$81,9,0)</f>
        <v>5.1196680000000017</v>
      </c>
      <c r="AH73" s="12">
        <f t="array" ref="AH73">INDEX(AG:AG,MIN(IF(ISNUMBER(AG73:AG269),ROW(AG73:AG269),"")))</f>
        <v>5.1196680000000017</v>
      </c>
      <c r="AI73" s="13">
        <f>IF('Données projet'!$A$62&gt;35,AI72+AH73-AQ72,IF(A73&lt;'Données projet'!$A$62,$AF$205^A73,IF(A73='Données projet'!$A$62,'Données projet'!$B$62,AI72+AH73-AQ72)))</f>
        <v>357.65567999999973</v>
      </c>
      <c r="AJ73" s="13">
        <f>AI73*VLOOKUP('Données projet'!$B$10,Paramètres!$A$1:$I$89,3,0)*VLOOKUP('Données projet'!$B$10,Paramètres!$A$1:$I$89,5,0)</f>
        <v>158.0838105599999</v>
      </c>
      <c r="AK73" s="13">
        <f t="shared" si="89"/>
        <v>40.410010927893609</v>
      </c>
      <c r="AL73" s="20">
        <f t="shared" si="58"/>
        <v>345.71007242474792</v>
      </c>
      <c r="AM73" s="59">
        <f t="shared" si="59"/>
        <v>639.04340575808124</v>
      </c>
      <c r="AN73" s="59">
        <f ca="1">AVERAGE(OFFSET($AM$3,0,0,'Données projet'!$E$10+1,1))-AVERAGE(OFFSET($H$3,0,0,'Données projet'!$E$10+1,1))</f>
        <v>207.77463758757142</v>
      </c>
      <c r="AO73" s="59">
        <f t="shared" si="90"/>
        <v>180.50802165484066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13.520250000000001</v>
      </c>
      <c r="AR73" s="16">
        <f>IF(ISNA(VLOOKUP(A73,'Données projet'!$A$61:$I$81,5,0)),0%,VLOOKUP(A73,'Données projet'!$A$61:$I$81,5,0)*VLOOKUP('Données projet'!$B$10,Paramètres!$A$1:$I$89,7,0))</f>
        <v>0.38499999999999995</v>
      </c>
      <c r="AS73" s="16">
        <f>IF(ISNA(VLOOKUP(A73,'Données projet'!$A$61:$I$81,6,0)),0%,VLOOKUP(A73,'Données projet'!$A$61:$I$81,6,0)*VLOOKUP('Données projet'!$B$10,Paramètres!$A$1:$I$89,7,0))</f>
        <v>0.16500000000000001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21.974841506088321</v>
      </c>
      <c r="AV73" s="21">
        <f>EXP(-LN(2)/25)*AV72+(1-EXP(-LN(2)/25))/(LN(2)/25)*Calculateur!AQ73*Calculateur!AS73*VLOOKUP('Données projet'!$B$10,Paramètres!$A$1:$I$89,3,0)*0.475*44/12</f>
        <v>23.656762336444647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45.631603842532968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12.875</v>
      </c>
      <c r="BD73" s="12">
        <f>IF('Données projet'!$A$88&gt;35,BD72+BC73-BL72,IF(A73&lt;'Données projet'!$A$88,$BA$205^A73,IF(A73='Données projet'!$A$88,'Données projet'!$B$88,BD72+BC73-BL72)))</f>
        <v>481.49999999999994</v>
      </c>
      <c r="BE73" s="13">
        <f>BD73*VLOOKUP('Données projet'!$B$11,Paramètres!$A$1:$I$89,3,0)*VLOOKUP('Données projet'!$B$11,Paramètres!$A$1:$I$89,5,0)</f>
        <v>287.93700000000001</v>
      </c>
      <c r="BF73" s="13">
        <f t="shared" si="91"/>
        <v>68.641586729718156</v>
      </c>
      <c r="BG73" s="20">
        <f t="shared" si="61"/>
        <v>621.04103855425899</v>
      </c>
      <c r="BH73" s="59">
        <f t="shared" si="62"/>
        <v>914.37437188759236</v>
      </c>
      <c r="BI73" s="59">
        <f ca="1">AVERAGE(OFFSET($BH$3,0,0,'Données projet'!$E$11+1,1))-AVERAGE(OFFSET($H$3,0,0,'Données projet'!$E$11+1,1))</f>
        <v>393.01180019332998</v>
      </c>
      <c r="BJ73" s="59">
        <f t="shared" si="92"/>
        <v>283.82782416294748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49.483738017782606</v>
      </c>
      <c r="BQ73" s="21">
        <f>EXP(-LN(2)/25)*BQ72+(1-EXP(-LN(2)/25))/(LN(2)/25)*Calculateur!BL73*Calculateur!BN73*VLOOKUP('Données projet'!$B$11,Paramètres!$A$1:$I$89,3,0)*0.475*44/12</f>
        <v>30.650226472172132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80.133964489954735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12.875</v>
      </c>
      <c r="BY73" s="12">
        <f>IF('Données projet'!$A$114&gt;35,BY72+BX73-CG72,IF(A73&lt;'Données projet'!$A$114,$BV$205^A73,IF(A73='Données projet'!$A$114,'Données projet'!$B$114,BY72+BX73-CG72)))</f>
        <v>481.49999999999994</v>
      </c>
      <c r="BZ73" s="13">
        <f>BY73*VLOOKUP('Données projet'!$B$12,Paramètres!$A$1:$I$89,3,0)*VLOOKUP('Données projet'!$B$12,Paramètres!$A$1:$I$89,5,0)</f>
        <v>287.93700000000001</v>
      </c>
      <c r="CA73" s="13">
        <f t="shared" si="93"/>
        <v>68.641586729718156</v>
      </c>
      <c r="CB73" s="20">
        <f t="shared" si="64"/>
        <v>621.04103855425899</v>
      </c>
      <c r="CC73" s="59">
        <f t="shared" si="65"/>
        <v>914.37437188759236</v>
      </c>
      <c r="CD73" s="59">
        <f ca="1">AVERAGE(OFFSET($CC$3,0,0,'Données projet'!$E$12+1,1))-AVERAGE(OFFSET($H$3,0,0,'Données projet'!$E$12+1,1))</f>
        <v>393.01180019332998</v>
      </c>
      <c r="CE73" s="59">
        <f t="shared" si="94"/>
        <v>283.82782416294748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49.483738017782606</v>
      </c>
      <c r="CL73" s="21">
        <f>EXP(-LN(2)/25)*CL72+(1-EXP(-LN(2)/25))/(LN(2)/25)*Calculateur!CG73*Calculateur!CI73*VLOOKUP('Données projet'!$B$12,Paramètres!$A$1:$I$89,3,0)*0.475*44/12</f>
        <v>30.650226472172132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80.133964489954735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12.875</v>
      </c>
      <c r="CT73" s="12">
        <f>IF('Données projet'!$A$140&gt;35,CT72+CS73-DB72,IF(A73&lt;'Données projet'!$A$140,$CQ$205^A73,IF(A73='Données projet'!$A$140,'Données projet'!$B$140,CT72+CS73-DB72)))</f>
        <v>481.49999999999994</v>
      </c>
      <c r="CU73" s="17">
        <f>CT73*VLOOKUP('Données projet'!$B$13,Paramètres!$A$1:$I$89,3,0)*VLOOKUP('Données projet'!$B$13,Paramètres!$A$1:$I$89,5,0)</f>
        <v>287.93700000000001</v>
      </c>
      <c r="CV73" s="13">
        <f t="shared" si="95"/>
        <v>68.641586729718156</v>
      </c>
      <c r="CW73" s="20">
        <f t="shared" si="67"/>
        <v>621.04103855425899</v>
      </c>
      <c r="CX73" s="59">
        <f t="shared" si="68"/>
        <v>914.37437188759236</v>
      </c>
      <c r="CY73" s="59">
        <f ca="1">AVERAGE(OFFSET($CX$3,0,0,'Données projet'!$E$13+1,1))-AVERAGE(OFFSET($H$3,0,0,'Données projet'!$E$13+1,1))</f>
        <v>393.01180019332998</v>
      </c>
      <c r="CZ73" s="59">
        <f t="shared" si="96"/>
        <v>283.82782416294748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49.483738017782606</v>
      </c>
      <c r="DG73" s="21">
        <f>EXP(-LN(2)/25)*DG72+(1-EXP(-LN(2)/25))/(LN(2)/25)*Calculateur!DB73*Calculateur!DD73*VLOOKUP('Données projet'!$B$13,Paramètres!$A$1:$I$89,3,0)*0.475*44/12</f>
        <v>30.650226472172132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80.133964489954735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12.875</v>
      </c>
      <c r="DO73" s="12">
        <f>IF('Données projet'!$A$166&gt;35,DO72+DN73-DW72,IF(A73&lt;'Données projet'!$A$166,$DL$205^A73,IF(A73='Données projet'!$A$166,'Données projet'!$B$166,DO72+DN73-DW72)))</f>
        <v>481.49999999999994</v>
      </c>
      <c r="DP73" s="17">
        <f>DO73*VLOOKUP('Données projet'!$B$14,Paramètres!$A$1:$I$89,3,0)*VLOOKUP('Données projet'!$B$14,Paramètres!$A$1:$I$89,5,0)</f>
        <v>287.93700000000001</v>
      </c>
      <c r="DQ73" s="13">
        <f t="shared" si="97"/>
        <v>68.641586729718156</v>
      </c>
      <c r="DR73" s="20">
        <f t="shared" si="70"/>
        <v>621.04103855425899</v>
      </c>
      <c r="DS73" s="59">
        <f t="shared" si="71"/>
        <v>914.37437188759236</v>
      </c>
      <c r="DT73" s="59">
        <f ca="1">AVERAGE(OFFSET($DS$3,0,0,'Données projet'!$E$14+1,1))-AVERAGE(OFFSET($H$3,0,0,'Données projet'!$E$14+1,1))</f>
        <v>393.01180019332998</v>
      </c>
      <c r="DU73" s="59">
        <f t="shared" si="98"/>
        <v>283.82782416294748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49.483738017782606</v>
      </c>
      <c r="EB73" s="21">
        <f>EXP(-LN(2)/25)*EB72+(1-EXP(-LN(2)/25))/(LN(2)/25)*Calculateur!DW73*Calculateur!DY73*VLOOKUP('Données projet'!$B$14,Paramètres!$A$1:$I$89,3,0)*0.475*44/12</f>
        <v>30.650226472172132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80.133964489954735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8.1962400000000137</v>
      </c>
      <c r="D74" s="11">
        <f t="shared" si="86"/>
        <v>2.9568002377317013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17.218728788077041</v>
      </c>
      <c r="H74" s="67">
        <f t="shared" si="56"/>
        <v>276.09154508071606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-1.1368683772161603E-13</v>
      </c>
      <c r="O74" s="13">
        <f>N74*VLOOKUP('Données projet'!$B$9,Paramètres!$A$1:$I$89,3,0)*VLOOKUP('Données projet'!$B$9,Paramètres!$A$1:$I$89,5,0)</f>
        <v>-5.3205440053716299E-14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189.8770435341392</v>
      </c>
      <c r="T74" s="59">
        <f t="shared" si="88"/>
        <v>230.18380961122767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88.285814734863223</v>
      </c>
      <c r="AA74" s="21">
        <f>EXP(-LN(2)/25)*AA73+(1-EXP(-LN(2)/25))/(LN(2)/25)*Calculateur!V74*Calculateur!X74*VLOOKUP('Données projet'!$B$9,Paramètres!$A$1:$I$89,3,0)*0.475*44/12</f>
        <v>45.898686886813017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134.18450162167625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4.6149120000000039</v>
      </c>
      <c r="AI74" s="13">
        <f>IF('Données projet'!$A$62&gt;35,AI73+AH74-AQ73,IF(A74&lt;'Données projet'!$A$62,$AF$205^A74,IF(A74='Données projet'!$A$62,'Données projet'!$B$62,AI73+AH74-AQ73)))</f>
        <v>348.75034199999976</v>
      </c>
      <c r="AJ74" s="13">
        <f>AI74*VLOOKUP('Données projet'!$B$10,Paramètres!$A$1:$I$89,3,0)*VLOOKUP('Données projet'!$B$10,Paramètres!$A$1:$I$89,5,0)</f>
        <v>154.14765116399991</v>
      </c>
      <c r="AK74" s="13">
        <f t="shared" si="89"/>
        <v>39.519652750027312</v>
      </c>
      <c r="AL74" s="20">
        <f t="shared" si="58"/>
        <v>337.30388765026402</v>
      </c>
      <c r="AM74" s="59">
        <f t="shared" si="59"/>
        <v>630.63722098359733</v>
      </c>
      <c r="AN74" s="59">
        <f ca="1">AVERAGE(OFFSET($AM$3,0,0,'Données projet'!$E$10+1,1))-AVERAGE(OFFSET($H$3,0,0,'Données projet'!$E$10+1,1))</f>
        <v>207.77463758757142</v>
      </c>
      <c r="AO74" s="59">
        <f t="shared" si="90"/>
        <v>180.50802165484066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21.543928267483778</v>
      </c>
      <c r="AV74" s="21">
        <f>EXP(-LN(2)/25)*AV73+(1-EXP(-LN(2)/25))/(LN(2)/25)*Calculateur!AQ74*Calculateur!AS74*VLOOKUP('Données projet'!$B$10,Paramètres!$A$1:$I$89,3,0)*0.475*44/12</f>
        <v>23.009866926299505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44.553795193783287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12.875</v>
      </c>
      <c r="BD74" s="12">
        <f>IF('Données projet'!$A$88&gt;35,BD73+BC74-BL73,IF(A74&lt;'Données projet'!$A$88,$BA$205^A74,IF(A74='Données projet'!$A$88,'Données projet'!$B$88,BD73+BC74-BL73)))</f>
        <v>494.37499999999994</v>
      </c>
      <c r="BE74" s="13">
        <f>BD74*VLOOKUP('Données projet'!$B$11,Paramètres!$A$1:$I$89,3,0)*VLOOKUP('Données projet'!$B$11,Paramètres!$A$1:$I$89,5,0)</f>
        <v>295.63625000000002</v>
      </c>
      <c r="BF74" s="13">
        <f t="shared" si="91"/>
        <v>70.260875189476423</v>
      </c>
      <c r="BG74" s="20">
        <f t="shared" si="61"/>
        <v>637.27082637167155</v>
      </c>
      <c r="BH74" s="59">
        <f t="shared" si="62"/>
        <v>930.6041597050048</v>
      </c>
      <c r="BI74" s="59">
        <f ca="1">AVERAGE(OFFSET($BH$3,0,0,'Données projet'!$E$11+1,1))-AVERAGE(OFFSET($H$3,0,0,'Données projet'!$E$11+1,1))</f>
        <v>393.01180019332998</v>
      </c>
      <c r="BJ74" s="59">
        <f t="shared" si="92"/>
        <v>283.82782416294748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48.513392097353844</v>
      </c>
      <c r="BQ74" s="21">
        <f>EXP(-LN(2)/25)*BQ73+(1-EXP(-LN(2)/25))/(LN(2)/25)*Calculateur!BL74*Calculateur!BN74*VLOOKUP('Données projet'!$B$11,Paramètres!$A$1:$I$89,3,0)*0.475*44/12</f>
        <v>29.812094417465229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78.325486514819076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12.875</v>
      </c>
      <c r="BY74" s="12">
        <f>IF('Données projet'!$A$114&gt;35,BY73+BX74-CG73,IF(A74&lt;'Données projet'!$A$114,$BV$205^A74,IF(A74='Données projet'!$A$114,'Données projet'!$B$114,BY73+BX74-CG73)))</f>
        <v>494.37499999999994</v>
      </c>
      <c r="BZ74" s="13">
        <f>BY74*VLOOKUP('Données projet'!$B$12,Paramètres!$A$1:$I$89,3,0)*VLOOKUP('Données projet'!$B$12,Paramètres!$A$1:$I$89,5,0)</f>
        <v>295.63625000000002</v>
      </c>
      <c r="CA74" s="13">
        <f t="shared" si="93"/>
        <v>70.260875189476423</v>
      </c>
      <c r="CB74" s="20">
        <f t="shared" si="64"/>
        <v>637.27082637167155</v>
      </c>
      <c r="CC74" s="59">
        <f t="shared" si="65"/>
        <v>930.6041597050048</v>
      </c>
      <c r="CD74" s="59">
        <f ca="1">AVERAGE(OFFSET($CC$3,0,0,'Données projet'!$E$12+1,1))-AVERAGE(OFFSET($H$3,0,0,'Données projet'!$E$12+1,1))</f>
        <v>393.01180019332998</v>
      </c>
      <c r="CE74" s="59">
        <f t="shared" si="94"/>
        <v>283.82782416294748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48.513392097353844</v>
      </c>
      <c r="CL74" s="21">
        <f>EXP(-LN(2)/25)*CL73+(1-EXP(-LN(2)/25))/(LN(2)/25)*Calculateur!CG74*Calculateur!CI74*VLOOKUP('Données projet'!$B$12,Paramètres!$A$1:$I$89,3,0)*0.475*44/12</f>
        <v>29.812094417465229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78.325486514819076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12.875</v>
      </c>
      <c r="CT74" s="12">
        <f>IF('Données projet'!$A$140&gt;35,CT73+CS74-DB73,IF(A74&lt;'Données projet'!$A$140,$CQ$205^A74,IF(A74='Données projet'!$A$140,'Données projet'!$B$140,CT73+CS74-DB73)))</f>
        <v>494.37499999999994</v>
      </c>
      <c r="CU74" s="17">
        <f>CT74*VLOOKUP('Données projet'!$B$13,Paramètres!$A$1:$I$89,3,0)*VLOOKUP('Données projet'!$B$13,Paramètres!$A$1:$I$89,5,0)</f>
        <v>295.63625000000002</v>
      </c>
      <c r="CV74" s="13">
        <f t="shared" si="95"/>
        <v>70.260875189476423</v>
      </c>
      <c r="CW74" s="20">
        <f t="shared" si="67"/>
        <v>637.27082637167155</v>
      </c>
      <c r="CX74" s="59">
        <f t="shared" si="68"/>
        <v>930.6041597050048</v>
      </c>
      <c r="CY74" s="59">
        <f ca="1">AVERAGE(OFFSET($CX$3,0,0,'Données projet'!$E$13+1,1))-AVERAGE(OFFSET($H$3,0,0,'Données projet'!$E$13+1,1))</f>
        <v>393.01180019332998</v>
      </c>
      <c r="CZ74" s="59">
        <f t="shared" si="96"/>
        <v>283.82782416294748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48.513392097353844</v>
      </c>
      <c r="DG74" s="21">
        <f>EXP(-LN(2)/25)*DG73+(1-EXP(-LN(2)/25))/(LN(2)/25)*Calculateur!DB74*Calculateur!DD74*VLOOKUP('Données projet'!$B$13,Paramètres!$A$1:$I$89,3,0)*0.475*44/12</f>
        <v>29.812094417465229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78.325486514819076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12.875</v>
      </c>
      <c r="DO74" s="12">
        <f>IF('Données projet'!$A$166&gt;35,DO73+DN74-DW73,IF(A74&lt;'Données projet'!$A$166,$DL$205^A74,IF(A74='Données projet'!$A$166,'Données projet'!$B$166,DO73+DN74-DW73)))</f>
        <v>494.37499999999994</v>
      </c>
      <c r="DP74" s="17">
        <f>DO74*VLOOKUP('Données projet'!$B$14,Paramètres!$A$1:$I$89,3,0)*VLOOKUP('Données projet'!$B$14,Paramètres!$A$1:$I$89,5,0)</f>
        <v>295.63625000000002</v>
      </c>
      <c r="DQ74" s="13">
        <f t="shared" si="97"/>
        <v>70.260875189476423</v>
      </c>
      <c r="DR74" s="20">
        <f t="shared" si="70"/>
        <v>637.27082637167155</v>
      </c>
      <c r="DS74" s="59">
        <f t="shared" si="71"/>
        <v>930.6041597050048</v>
      </c>
      <c r="DT74" s="59">
        <f ca="1">AVERAGE(OFFSET($DS$3,0,0,'Données projet'!$E$14+1,1))-AVERAGE(OFFSET($H$3,0,0,'Données projet'!$E$14+1,1))</f>
        <v>393.01180019332998</v>
      </c>
      <c r="DU74" s="59">
        <f t="shared" si="98"/>
        <v>283.82782416294748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48.513392097353844</v>
      </c>
      <c r="EB74" s="21">
        <f>EXP(-LN(2)/25)*EB73+(1-EXP(-LN(2)/25))/(LN(2)/25)*Calculateur!DW74*Calculateur!DY74*VLOOKUP('Données projet'!$B$14,Paramètres!$A$1:$I$89,3,0)*0.475*44/12</f>
        <v>29.812094417465229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78.325486514819076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8.3116800000000133</v>
      </c>
      <c r="D75" s="11">
        <f t="shared" si="86"/>
        <v>2.9935678181889624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17.453715929835614</v>
      </c>
      <c r="H75" s="67">
        <f t="shared" si="56"/>
        <v>276.35663995001249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-1.1368683772161603E-13</v>
      </c>
      <c r="O75" s="13">
        <f>N75*VLOOKUP('Données projet'!$B$9,Paramètres!$A$1:$I$89,3,0)*VLOOKUP('Données projet'!$B$9,Paramètres!$A$1:$I$89,5,0)</f>
        <v>-5.3205440053716299E-14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189.8770435341392</v>
      </c>
      <c r="T75" s="59">
        <f t="shared" si="88"/>
        <v>230.18380961122767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86.554583756942392</v>
      </c>
      <c r="AA75" s="21">
        <f>EXP(-LN(2)/25)*AA74+(1-EXP(-LN(2)/25))/(LN(2)/25)*Calculateur!V75*Calculateur!X75*VLOOKUP('Données projet'!$B$9,Paramètres!$A$1:$I$89,3,0)*0.475*44/12</f>
        <v>44.643584880186076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131.19816863712848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4.6149120000000039</v>
      </c>
      <c r="AI75" s="13">
        <f>IF('Données projet'!$A$62&gt;35,AI74+AH75-AQ74,IF(A75&lt;'Données projet'!$A$62,$AF$205^A75,IF(A75='Données projet'!$A$62,'Données projet'!$B$62,AI74+AH75-AQ74)))</f>
        <v>353.36525399999977</v>
      </c>
      <c r="AJ75" s="13">
        <f>AI75*VLOOKUP('Données projet'!$B$10,Paramètres!$A$1:$I$89,3,0)*VLOOKUP('Données projet'!$B$10,Paramètres!$A$1:$I$89,5,0)</f>
        <v>156.18744226799993</v>
      </c>
      <c r="AK75" s="13">
        <f t="shared" si="89"/>
        <v>39.98137908730682</v>
      </c>
      <c r="AL75" s="20">
        <f t="shared" si="58"/>
        <v>341.66069719382591</v>
      </c>
      <c r="AM75" s="59">
        <f t="shared" si="59"/>
        <v>634.99403052715923</v>
      </c>
      <c r="AN75" s="59">
        <f ca="1">AVERAGE(OFFSET($AM$3,0,0,'Données projet'!$E$10+1,1))-AVERAGE(OFFSET($H$3,0,0,'Données projet'!$E$10+1,1))</f>
        <v>207.77463758757142</v>
      </c>
      <c r="AO75" s="59">
        <f t="shared" si="90"/>
        <v>180.50802165484066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21.121464974657147</v>
      </c>
      <c r="AV75" s="21">
        <f>EXP(-LN(2)/25)*AV74+(1-EXP(-LN(2)/25))/(LN(2)/25)*Calculateur!AQ75*Calculateur!AS75*VLOOKUP('Données projet'!$B$10,Paramètres!$A$1:$I$89,3,0)*0.475*44/12</f>
        <v>22.380660905163534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43.502125879820682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12.875</v>
      </c>
      <c r="BD75" s="12">
        <f>IF('Données projet'!$A$88&gt;35,BD74+BC75-BL74,IF(A75&lt;'Données projet'!$A$88,$BA$205^A75,IF(A75='Données projet'!$A$88,'Données projet'!$B$88,BD74+BC75-BL74)))</f>
        <v>507.24999999999994</v>
      </c>
      <c r="BE75" s="13">
        <f>BD75*VLOOKUP('Données projet'!$B$11,Paramètres!$A$1:$I$89,3,0)*VLOOKUP('Données projet'!$B$11,Paramètres!$A$1:$I$89,5,0)</f>
        <v>303.33549999999997</v>
      </c>
      <c r="BF75" s="13">
        <f t="shared" si="91"/>
        <v>71.875261779950591</v>
      </c>
      <c r="BG75" s="20">
        <f t="shared" si="61"/>
        <v>653.49207676674712</v>
      </c>
      <c r="BH75" s="59">
        <f t="shared" si="62"/>
        <v>946.82541010008049</v>
      </c>
      <c r="BI75" s="59">
        <f ca="1">AVERAGE(OFFSET($BH$3,0,0,'Données projet'!$E$11+1,1))-AVERAGE(OFFSET($H$3,0,0,'Données projet'!$E$11+1,1))</f>
        <v>393.01180019332998</v>
      </c>
      <c r="BJ75" s="59">
        <f t="shared" si="92"/>
        <v>283.82782416294748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47.562074068572123</v>
      </c>
      <c r="BQ75" s="21">
        <f>EXP(-LN(2)/25)*BQ74+(1-EXP(-LN(2)/25))/(LN(2)/25)*Calculateur!BL75*Calculateur!BN75*VLOOKUP('Données projet'!$B$11,Paramètres!$A$1:$I$89,3,0)*0.475*44/12</f>
        <v>28.996881127869734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76.558955196441858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12.875</v>
      </c>
      <c r="BY75" s="12">
        <f>IF('Données projet'!$A$114&gt;35,BY74+BX75-CG74,IF(A75&lt;'Données projet'!$A$114,$BV$205^A75,IF(A75='Données projet'!$A$114,'Données projet'!$B$114,BY74+BX75-CG74)))</f>
        <v>507.24999999999994</v>
      </c>
      <c r="BZ75" s="13">
        <f>BY75*VLOOKUP('Données projet'!$B$12,Paramètres!$A$1:$I$89,3,0)*VLOOKUP('Données projet'!$B$12,Paramètres!$A$1:$I$89,5,0)</f>
        <v>303.33549999999997</v>
      </c>
      <c r="CA75" s="13">
        <f t="shared" si="93"/>
        <v>71.875261779950591</v>
      </c>
      <c r="CB75" s="20">
        <f t="shared" si="64"/>
        <v>653.49207676674712</v>
      </c>
      <c r="CC75" s="59">
        <f t="shared" si="65"/>
        <v>946.82541010008049</v>
      </c>
      <c r="CD75" s="59">
        <f ca="1">AVERAGE(OFFSET($CC$3,0,0,'Données projet'!$E$12+1,1))-AVERAGE(OFFSET($H$3,0,0,'Données projet'!$E$12+1,1))</f>
        <v>393.01180019332998</v>
      </c>
      <c r="CE75" s="59">
        <f t="shared" si="94"/>
        <v>283.82782416294748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47.562074068572123</v>
      </c>
      <c r="CL75" s="21">
        <f>EXP(-LN(2)/25)*CL74+(1-EXP(-LN(2)/25))/(LN(2)/25)*Calculateur!CG75*Calculateur!CI75*VLOOKUP('Données projet'!$B$12,Paramètres!$A$1:$I$89,3,0)*0.475*44/12</f>
        <v>28.996881127869734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76.558955196441858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12.875</v>
      </c>
      <c r="CT75" s="12">
        <f>IF('Données projet'!$A$140&gt;35,CT74+CS75-DB74,IF(A75&lt;'Données projet'!$A$140,$CQ$205^A75,IF(A75='Données projet'!$A$140,'Données projet'!$B$140,CT74+CS75-DB74)))</f>
        <v>507.24999999999994</v>
      </c>
      <c r="CU75" s="17">
        <f>CT75*VLOOKUP('Données projet'!$B$13,Paramètres!$A$1:$I$89,3,0)*VLOOKUP('Données projet'!$B$13,Paramètres!$A$1:$I$89,5,0)</f>
        <v>303.33549999999997</v>
      </c>
      <c r="CV75" s="13">
        <f t="shared" si="95"/>
        <v>71.875261779950591</v>
      </c>
      <c r="CW75" s="20">
        <f t="shared" si="67"/>
        <v>653.49207676674712</v>
      </c>
      <c r="CX75" s="59">
        <f t="shared" si="68"/>
        <v>946.82541010008049</v>
      </c>
      <c r="CY75" s="59">
        <f ca="1">AVERAGE(OFFSET($CX$3,0,0,'Données projet'!$E$13+1,1))-AVERAGE(OFFSET($H$3,0,0,'Données projet'!$E$13+1,1))</f>
        <v>393.01180019332998</v>
      </c>
      <c r="CZ75" s="59">
        <f t="shared" si="96"/>
        <v>283.82782416294748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47.562074068572123</v>
      </c>
      <c r="DG75" s="21">
        <f>EXP(-LN(2)/25)*DG74+(1-EXP(-LN(2)/25))/(LN(2)/25)*Calculateur!DB75*Calculateur!DD75*VLOOKUP('Données projet'!$B$13,Paramètres!$A$1:$I$89,3,0)*0.475*44/12</f>
        <v>28.996881127869734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76.558955196441858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12.875</v>
      </c>
      <c r="DO75" s="12">
        <f>IF('Données projet'!$A$166&gt;35,DO74+DN75-DW74,IF(A75&lt;'Données projet'!$A$166,$DL$205^A75,IF(A75='Données projet'!$A$166,'Données projet'!$B$166,DO74+DN75-DW74)))</f>
        <v>507.24999999999994</v>
      </c>
      <c r="DP75" s="17">
        <f>DO75*VLOOKUP('Données projet'!$B$14,Paramètres!$A$1:$I$89,3,0)*VLOOKUP('Données projet'!$B$14,Paramètres!$A$1:$I$89,5,0)</f>
        <v>303.33549999999997</v>
      </c>
      <c r="DQ75" s="13">
        <f t="shared" si="97"/>
        <v>71.875261779950591</v>
      </c>
      <c r="DR75" s="20">
        <f t="shared" si="70"/>
        <v>653.49207676674712</v>
      </c>
      <c r="DS75" s="59">
        <f t="shared" si="71"/>
        <v>946.82541010008049</v>
      </c>
      <c r="DT75" s="59">
        <f ca="1">AVERAGE(OFFSET($DS$3,0,0,'Données projet'!$E$14+1,1))-AVERAGE(OFFSET($H$3,0,0,'Données projet'!$E$14+1,1))</f>
        <v>393.01180019332998</v>
      </c>
      <c r="DU75" s="59">
        <f t="shared" si="98"/>
        <v>283.82782416294748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47.562074068572123</v>
      </c>
      <c r="EB75" s="21">
        <f>EXP(-LN(2)/25)*EB74+(1-EXP(-LN(2)/25))/(LN(2)/25)*Calculateur!DW75*Calculateur!DY75*VLOOKUP('Données projet'!$B$14,Paramètres!$A$1:$I$89,3,0)*0.475*44/12</f>
        <v>28.996881127869734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76.558955196441858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8.4271200000000128</v>
      </c>
      <c r="D76" s="11">
        <f t="shared" si="86"/>
        <v>3.0302760037275229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17.688611374175846</v>
      </c>
      <c r="H76" s="67">
        <f t="shared" si="56"/>
        <v>276.62163137315883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-1.1368683772161603E-13</v>
      </c>
      <c r="O76" s="13">
        <f>N76*VLOOKUP('Données projet'!$B$9,Paramètres!$A$1:$I$89,3,0)*VLOOKUP('Données projet'!$B$9,Paramètres!$A$1:$I$89,5,0)</f>
        <v>-5.3205440053716299E-14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189.8770435341392</v>
      </c>
      <c r="T76" s="59">
        <f t="shared" si="88"/>
        <v>230.18380961122767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84.857301162551963</v>
      </c>
      <c r="AA76" s="21">
        <f>EXP(-LN(2)/25)*AA75+(1-EXP(-LN(2)/25))/(LN(2)/25)*Calculateur!V76*Calculateur!X76*VLOOKUP('Données projet'!$B$9,Paramètres!$A$1:$I$89,3,0)*0.475*44/12</f>
        <v>43.42280370393329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128.28010486648526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4.6149120000000039</v>
      </c>
      <c r="AI76" s="13">
        <f>IF('Données projet'!$A$62&gt;35,AI75+AH76-AQ75,IF(A76&lt;'Données projet'!$A$62,$AF$205^A76,IF(A76='Données projet'!$A$62,'Données projet'!$B$62,AI75+AH76-AQ75)))</f>
        <v>357.98016599999977</v>
      </c>
      <c r="AJ76" s="13">
        <f>AI76*VLOOKUP('Données projet'!$B$10,Paramètres!$A$1:$I$89,3,0)*VLOOKUP('Données projet'!$B$10,Paramètres!$A$1:$I$89,5,0)</f>
        <v>158.22723337199992</v>
      </c>
      <c r="AK76" s="13">
        <f t="shared" si="89"/>
        <v>40.442404033561438</v>
      </c>
      <c r="AL76" s="20">
        <f t="shared" si="58"/>
        <v>346.01628514801934</v>
      </c>
      <c r="AM76" s="59">
        <f t="shared" si="59"/>
        <v>639.34961848135265</v>
      </c>
      <c r="AN76" s="59">
        <f ca="1">AVERAGE(OFFSET($AM$3,0,0,'Données projet'!$E$10+1,1))-AVERAGE(OFFSET($H$3,0,0,'Données projet'!$E$10+1,1))</f>
        <v>207.77463758757142</v>
      </c>
      <c r="AO76" s="59">
        <f t="shared" si="90"/>
        <v>180.50802165484066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20.707285929325682</v>
      </c>
      <c r="AV76" s="21">
        <f>EXP(-LN(2)/25)*AV75+(1-EXP(-LN(2)/25))/(LN(2)/25)*Calculateur!AQ76*Calculateur!AS76*VLOOKUP('Données projet'!$B$10,Paramètres!$A$1:$I$89,3,0)*0.475*44/12</f>
        <v>21.768660555764033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42.475946485089715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12.875</v>
      </c>
      <c r="BD76" s="12">
        <f>IF('Données projet'!$A$88&gt;35,BD75+BC76-BL75,IF(A76&lt;'Données projet'!$A$88,$BA$205^A76,IF(A76='Données projet'!$A$88,'Données projet'!$B$88,BD75+BC76-BL75)))</f>
        <v>520.125</v>
      </c>
      <c r="BE76" s="13">
        <f>BD76*VLOOKUP('Données projet'!$B$11,Paramètres!$A$1:$I$89,3,0)*VLOOKUP('Données projet'!$B$11,Paramètres!$A$1:$I$89,5,0)</f>
        <v>311.03475000000003</v>
      </c>
      <c r="BF76" s="13">
        <f t="shared" si="91"/>
        <v>73.484885227728896</v>
      </c>
      <c r="BG76" s="20">
        <f t="shared" si="61"/>
        <v>669.70503135496119</v>
      </c>
      <c r="BH76" s="59">
        <f t="shared" si="62"/>
        <v>963.03836468829445</v>
      </c>
      <c r="BI76" s="59">
        <f ca="1">AVERAGE(OFFSET($BH$3,0,0,'Données projet'!$E$11+1,1))-AVERAGE(OFFSET($H$3,0,0,'Données projet'!$E$11+1,1))</f>
        <v>393.01180019332998</v>
      </c>
      <c r="BJ76" s="59">
        <f t="shared" si="92"/>
        <v>283.82782416294748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46.629410806088103</v>
      </c>
      <c r="BQ76" s="21">
        <f>EXP(-LN(2)/25)*BQ75+(1-EXP(-LN(2)/25))/(LN(2)/25)*Calculateur!BL76*Calculateur!BN76*VLOOKUP('Données projet'!$B$11,Paramètres!$A$1:$I$89,3,0)*0.475*44/12</f>
        <v>28.203959888548432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74.833370694636528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12.875</v>
      </c>
      <c r="BY76" s="12">
        <f>IF('Données projet'!$A$114&gt;35,BY75+BX76-CG75,IF(A76&lt;'Données projet'!$A$114,$BV$205^A76,IF(A76='Données projet'!$A$114,'Données projet'!$B$114,BY75+BX76-CG75)))</f>
        <v>520.125</v>
      </c>
      <c r="BZ76" s="13">
        <f>BY76*VLOOKUP('Données projet'!$B$12,Paramètres!$A$1:$I$89,3,0)*VLOOKUP('Données projet'!$B$12,Paramètres!$A$1:$I$89,5,0)</f>
        <v>311.03475000000003</v>
      </c>
      <c r="CA76" s="13">
        <f t="shared" si="93"/>
        <v>73.484885227728896</v>
      </c>
      <c r="CB76" s="20">
        <f t="shared" si="64"/>
        <v>669.70503135496119</v>
      </c>
      <c r="CC76" s="59">
        <f t="shared" si="65"/>
        <v>963.03836468829445</v>
      </c>
      <c r="CD76" s="59">
        <f ca="1">AVERAGE(OFFSET($CC$3,0,0,'Données projet'!$E$12+1,1))-AVERAGE(OFFSET($H$3,0,0,'Données projet'!$E$12+1,1))</f>
        <v>393.01180019332998</v>
      </c>
      <c r="CE76" s="59">
        <f t="shared" si="94"/>
        <v>283.82782416294748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46.629410806088103</v>
      </c>
      <c r="CL76" s="21">
        <f>EXP(-LN(2)/25)*CL75+(1-EXP(-LN(2)/25))/(LN(2)/25)*Calculateur!CG76*Calculateur!CI76*VLOOKUP('Données projet'!$B$12,Paramètres!$A$1:$I$89,3,0)*0.475*44/12</f>
        <v>28.203959888548432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74.833370694636528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12.875</v>
      </c>
      <c r="CT76" s="12">
        <f>IF('Données projet'!$A$140&gt;35,CT75+CS76-DB75,IF(A76&lt;'Données projet'!$A$140,$CQ$205^A76,IF(A76='Données projet'!$A$140,'Données projet'!$B$140,CT75+CS76-DB75)))</f>
        <v>520.125</v>
      </c>
      <c r="CU76" s="17">
        <f>CT76*VLOOKUP('Données projet'!$B$13,Paramètres!$A$1:$I$89,3,0)*VLOOKUP('Données projet'!$B$13,Paramètres!$A$1:$I$89,5,0)</f>
        <v>311.03475000000003</v>
      </c>
      <c r="CV76" s="13">
        <f t="shared" si="95"/>
        <v>73.484885227728896</v>
      </c>
      <c r="CW76" s="20">
        <f t="shared" si="67"/>
        <v>669.70503135496119</v>
      </c>
      <c r="CX76" s="59">
        <f t="shared" si="68"/>
        <v>963.03836468829445</v>
      </c>
      <c r="CY76" s="59">
        <f ca="1">AVERAGE(OFFSET($CX$3,0,0,'Données projet'!$E$13+1,1))-AVERAGE(OFFSET($H$3,0,0,'Données projet'!$E$13+1,1))</f>
        <v>393.01180019332998</v>
      </c>
      <c r="CZ76" s="59">
        <f t="shared" si="96"/>
        <v>283.82782416294748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46.629410806088103</v>
      </c>
      <c r="DG76" s="21">
        <f>EXP(-LN(2)/25)*DG75+(1-EXP(-LN(2)/25))/(LN(2)/25)*Calculateur!DB76*Calculateur!DD76*VLOOKUP('Données projet'!$B$13,Paramètres!$A$1:$I$89,3,0)*0.475*44/12</f>
        <v>28.203959888548432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74.833370694636528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12.875</v>
      </c>
      <c r="DO76" s="12">
        <f>IF('Données projet'!$A$166&gt;35,DO75+DN76-DW75,IF(A76&lt;'Données projet'!$A$166,$DL$205^A76,IF(A76='Données projet'!$A$166,'Données projet'!$B$166,DO75+DN76-DW75)))</f>
        <v>520.125</v>
      </c>
      <c r="DP76" s="17">
        <f>DO76*VLOOKUP('Données projet'!$B$14,Paramètres!$A$1:$I$89,3,0)*VLOOKUP('Données projet'!$B$14,Paramètres!$A$1:$I$89,5,0)</f>
        <v>311.03475000000003</v>
      </c>
      <c r="DQ76" s="13">
        <f t="shared" si="97"/>
        <v>73.484885227728896</v>
      </c>
      <c r="DR76" s="20">
        <f t="shared" si="70"/>
        <v>669.70503135496119</v>
      </c>
      <c r="DS76" s="59">
        <f t="shared" si="71"/>
        <v>963.03836468829445</v>
      </c>
      <c r="DT76" s="59">
        <f ca="1">AVERAGE(OFFSET($DS$3,0,0,'Données projet'!$E$14+1,1))-AVERAGE(OFFSET($H$3,0,0,'Données projet'!$E$14+1,1))</f>
        <v>393.01180019332998</v>
      </c>
      <c r="DU76" s="59">
        <f t="shared" si="98"/>
        <v>283.82782416294748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46.629410806088103</v>
      </c>
      <c r="EB76" s="21">
        <f>EXP(-LN(2)/25)*EB75+(1-EXP(-LN(2)/25))/(LN(2)/25)*Calculateur!DW76*Calculateur!DY76*VLOOKUP('Données projet'!$B$14,Paramètres!$A$1:$I$89,3,0)*0.475*44/12</f>
        <v>28.203959888548432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74.833370694636528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8.5425600000000124</v>
      </c>
      <c r="D77" s="11">
        <f t="shared" si="86"/>
        <v>3.0669257020161584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17.923416522410932</v>
      </c>
      <c r="H77" s="67">
        <f t="shared" si="56"/>
        <v>276.88652093101149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-1.1368683772161603E-13</v>
      </c>
      <c r="O77" s="13">
        <f>N77*VLOOKUP('Données projet'!$B$9,Paramètres!$A$1:$I$89,3,0)*VLOOKUP('Données projet'!$B$9,Paramètres!$A$1:$I$89,5,0)</f>
        <v>-5.3205440053716299E-14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189.8770435341392</v>
      </c>
      <c r="T77" s="59">
        <f t="shared" si="88"/>
        <v>230.18380961122767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83.193301244597365</v>
      </c>
      <c r="AA77" s="21">
        <f>EXP(-LN(2)/25)*AA76+(1-EXP(-LN(2)/25))/(LN(2)/25)*Calculateur!V77*Calculateur!X77*VLOOKUP('Données projet'!$B$9,Paramètres!$A$1:$I$89,3,0)*0.475*44/12</f>
        <v>42.23540485314323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125.42870609774059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4.6149120000000039</v>
      </c>
      <c r="AI77" s="13">
        <f>IF('Données projet'!$A$62&gt;35,AI76+AH77-AQ76,IF(A77&lt;'Données projet'!$A$62,$AF$205^A77,IF(A77='Données projet'!$A$62,'Données projet'!$B$62,AI76+AH77-AQ76)))</f>
        <v>362.59507799999977</v>
      </c>
      <c r="AJ77" s="13">
        <f>AI77*VLOOKUP('Données projet'!$B$10,Paramètres!$A$1:$I$89,3,0)*VLOOKUP('Données projet'!$B$10,Paramètres!$A$1:$I$89,5,0)</f>
        <v>160.2670244759999</v>
      </c>
      <c r="AK77" s="13">
        <f t="shared" si="89"/>
        <v>40.902737676275777</v>
      </c>
      <c r="AL77" s="20">
        <f t="shared" si="58"/>
        <v>350.37066908188012</v>
      </c>
      <c r="AM77" s="59">
        <f t="shared" si="59"/>
        <v>643.70400241521338</v>
      </c>
      <c r="AN77" s="59">
        <f ca="1">AVERAGE(OFFSET($AM$3,0,0,'Données projet'!$E$10+1,1))-AVERAGE(OFFSET($H$3,0,0,'Données projet'!$E$10+1,1))</f>
        <v>207.77463758757142</v>
      </c>
      <c r="AO77" s="59">
        <f t="shared" si="90"/>
        <v>180.50802165484066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20.301228682448894</v>
      </c>
      <c r="AV77" s="21">
        <f>EXP(-LN(2)/25)*AV76+(1-EXP(-LN(2)/25))/(LN(2)/25)*Calculateur!AQ77*Calculateur!AS77*VLOOKUP('Données projet'!$B$10,Paramètres!$A$1:$I$89,3,0)*0.475*44/12</f>
        <v>21.173395388102559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41.474624070551457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>
        <f>VLOOKUP(A77,'Données projet'!$A$87:$I$107,2,0)</f>
        <v>533</v>
      </c>
      <c r="BB77" s="12">
        <f>VLOOKUP(A77,'Données projet'!$A$87:$I$107,9,0)</f>
        <v>12.875</v>
      </c>
      <c r="BC77" s="12">
        <f t="array" ref="BC77">INDEX(BB:BB,MIN(IF(ISNUMBER(BB77:BB273),ROW(BB77:BB273),"")))</f>
        <v>12.875</v>
      </c>
      <c r="BD77" s="12">
        <f>IF('Données projet'!$A$88&gt;35,BD76+BC77-BL76,IF(A77&lt;'Données projet'!$A$88,$BA$205^A77,IF(A77='Données projet'!$A$88,'Données projet'!$B$88,BD76+BC77-BL76)))</f>
        <v>533</v>
      </c>
      <c r="BE77" s="13">
        <f>BD77*VLOOKUP('Données projet'!$B$11,Paramètres!$A$1:$I$89,3,0)*VLOOKUP('Données projet'!$B$11,Paramètres!$A$1:$I$89,5,0)</f>
        <v>318.73400000000004</v>
      </c>
      <c r="BF77" s="13">
        <f t="shared" si="91"/>
        <v>75.089876999925679</v>
      </c>
      <c r="BG77" s="20">
        <f t="shared" si="61"/>
        <v>685.90991910820378</v>
      </c>
      <c r="BH77" s="59">
        <f t="shared" si="62"/>
        <v>979.24325244153715</v>
      </c>
      <c r="BI77" s="59">
        <f ca="1">AVERAGE(OFFSET($BH$3,0,0,'Données projet'!$E$11+1,1))-AVERAGE(OFFSET($H$3,0,0,'Données projet'!$E$11+1,1))</f>
        <v>393.01180019332998</v>
      </c>
      <c r="BJ77" s="59">
        <f t="shared" si="92"/>
        <v>283.82782416294748</v>
      </c>
      <c r="BK77" s="15">
        <f>IF(ISNA(VLOOKUP(A77,'Données projet'!$A$87:$I$107,3,0)),0,VLOOKUP(A77,'Données projet'!$A$87:$I$107,3,0))</f>
        <v>10</v>
      </c>
      <c r="BL77" s="15">
        <f>IF(ISNA(VLOOKUP(A77,'Données projet'!$A$87:$I$107,4,0)),0,VLOOKUP(A77,'Données projet'!$A$87:$I$107,4,0))</f>
        <v>37</v>
      </c>
      <c r="BM77" s="16">
        <f>IF(ISNA(VLOOKUP(A77,'Données projet'!$A$87:$I$107,5,0)),0%,VLOOKUP(A77,'Données projet'!$A$87:$I$107,5,0)*VLOOKUP('Données projet'!$B$11,Paramètres!$A$1:$I$89,7,0))</f>
        <v>0.315</v>
      </c>
      <c r="BN77" s="16">
        <f>IF(ISNA(VLOOKUP(A77,'Données projet'!$A$87:$I$107,6,0)),0%,VLOOKUP(A77,'Données projet'!$A$87:$I$107,6,0)*VLOOKUP('Données projet'!$B$11,Paramètres!$A$1:$I$89,7,0))</f>
        <v>0.13500000000000001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54.96077952074539</v>
      </c>
      <c r="BQ77" s="21">
        <f>EXP(-LN(2)/25)*BQ76+(1-EXP(-LN(2)/25))/(LN(2)/25)*Calculateur!BL77*Calculateur!BN77*VLOOKUP('Données projet'!$B$11,Paramètres!$A$1:$I$89,3,0)*0.475*44/12</f>
        <v>31.379580696325981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86.340360217071378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>
        <f>VLOOKUP(A77,'Données projet'!$A$113:$I$133,2,0)</f>
        <v>533</v>
      </c>
      <c r="BW77" s="12">
        <f>VLOOKUP(A77,'Données projet'!$A$113:$I$133,9,0)</f>
        <v>12.875</v>
      </c>
      <c r="BX77" s="12">
        <f t="array" ref="BX77">INDEX(BW:BW,MIN(IF(ISNUMBER(BW77:BW273),ROW(BW77:BW273),"")))</f>
        <v>12.875</v>
      </c>
      <c r="BY77" s="12">
        <f>IF('Données projet'!$A$114&gt;35,BY76+BX77-CG76,IF(A77&lt;'Données projet'!$A$114,$BV$205^A77,IF(A77='Données projet'!$A$114,'Données projet'!$B$114,BY76+BX77-CG76)))</f>
        <v>533</v>
      </c>
      <c r="BZ77" s="13">
        <f>BY77*VLOOKUP('Données projet'!$B$12,Paramètres!$A$1:$I$89,3,0)*VLOOKUP('Données projet'!$B$12,Paramètres!$A$1:$I$89,5,0)</f>
        <v>318.73400000000004</v>
      </c>
      <c r="CA77" s="13">
        <f t="shared" si="93"/>
        <v>75.089876999925679</v>
      </c>
      <c r="CB77" s="20">
        <f t="shared" si="64"/>
        <v>685.90991910820378</v>
      </c>
      <c r="CC77" s="59">
        <f t="shared" si="65"/>
        <v>979.24325244153715</v>
      </c>
      <c r="CD77" s="59">
        <f ca="1">AVERAGE(OFFSET($CC$3,0,0,'Données projet'!$E$12+1,1))-AVERAGE(OFFSET($H$3,0,0,'Données projet'!$E$12+1,1))</f>
        <v>393.01180019332998</v>
      </c>
      <c r="CE77" s="59">
        <f t="shared" si="94"/>
        <v>283.82782416294748</v>
      </c>
      <c r="CF77" s="15">
        <f>IF(ISNA(VLOOKUP(A77,'Données projet'!$A$113:$I$133,3,0)),0,VLOOKUP(A77,'Données projet'!$A$113:$I$133,3,0))</f>
        <v>10</v>
      </c>
      <c r="CG77" s="15">
        <f>IF(ISNA(VLOOKUP(A77,'Données projet'!$A$113:$I$133,4,0)),0,VLOOKUP(A77,'Données projet'!$A$113:$I$133,4,0))</f>
        <v>37</v>
      </c>
      <c r="CH77" s="16">
        <f>IF(ISNA(VLOOKUP(A77,'Données projet'!$A$113:$I$133,5,0)),0%,VLOOKUP(A77,'Données projet'!$A$113:$I$133,5,0)*VLOOKUP('Données projet'!$B$12,Paramètres!$A$1:$I$89,7,0))</f>
        <v>0.315</v>
      </c>
      <c r="CI77" s="16">
        <f>IF(ISNA(VLOOKUP(A77,'Données projet'!$A$113:$I$133,6,0)),0%,VLOOKUP(A77,'Données projet'!$A$113:$I$133,6,0)*VLOOKUP('Données projet'!$B$12,Paramètres!$A$1:$I$89,7,0))</f>
        <v>0.13500000000000001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54.96077952074539</v>
      </c>
      <c r="CL77" s="21">
        <f>EXP(-LN(2)/25)*CL76+(1-EXP(-LN(2)/25))/(LN(2)/25)*Calculateur!CG77*Calculateur!CI77*VLOOKUP('Données projet'!$B$12,Paramètres!$A$1:$I$89,3,0)*0.475*44/12</f>
        <v>31.379580696325981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86.340360217071378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>
        <f>VLOOKUP(A77,'Données projet'!$A$139:$I$159,2,0)</f>
        <v>533</v>
      </c>
      <c r="CR77" s="12">
        <f>VLOOKUP(A77,'Données projet'!$A$139:$I$159,9,0)</f>
        <v>12.875</v>
      </c>
      <c r="CS77" s="12">
        <f t="array" ref="CS77">INDEX(CR:CR,MIN(IF(ISNUMBER(CR77:CR273),ROW(CR77:CR273),"")))</f>
        <v>12.875</v>
      </c>
      <c r="CT77" s="12">
        <f>IF('Données projet'!$A$140&gt;35,CT76+CS77-DB76,IF(A77&lt;'Données projet'!$A$140,$CQ$205^A77,IF(A77='Données projet'!$A$140,'Données projet'!$B$140,CT76+CS77-DB76)))</f>
        <v>533</v>
      </c>
      <c r="CU77" s="17">
        <f>CT77*VLOOKUP('Données projet'!$B$13,Paramètres!$A$1:$I$89,3,0)*VLOOKUP('Données projet'!$B$13,Paramètres!$A$1:$I$89,5,0)</f>
        <v>318.73400000000004</v>
      </c>
      <c r="CV77" s="13">
        <f t="shared" si="95"/>
        <v>75.089876999925679</v>
      </c>
      <c r="CW77" s="20">
        <f t="shared" si="67"/>
        <v>685.90991910820378</v>
      </c>
      <c r="CX77" s="59">
        <f t="shared" si="68"/>
        <v>979.24325244153715</v>
      </c>
      <c r="CY77" s="59">
        <f ca="1">AVERAGE(OFFSET($CX$3,0,0,'Données projet'!$E$13+1,1))-AVERAGE(OFFSET($H$3,0,0,'Données projet'!$E$13+1,1))</f>
        <v>393.01180019332998</v>
      </c>
      <c r="CZ77" s="59">
        <f t="shared" si="96"/>
        <v>283.82782416294748</v>
      </c>
      <c r="DA77" s="15">
        <f>IF(ISNA(VLOOKUP(A77,'Données projet'!$A$139:$I$159,3,0)),0,VLOOKUP(A77,'Données projet'!$A$139:$I$159,3,0))</f>
        <v>10</v>
      </c>
      <c r="DB77" s="15">
        <f>IF(ISNA(VLOOKUP(A77,'Données projet'!$A$139:$I$159,4,0)),0,VLOOKUP(A77,'Données projet'!$A$139:$I$159,4,0))</f>
        <v>37</v>
      </c>
      <c r="DC77" s="16">
        <f>IF(ISNA(VLOOKUP(A77,'Données projet'!$A$139:$I$159,5,0)),0%,VLOOKUP(A77,'Données projet'!$A$139:$I$159,5,0)*VLOOKUP('Données projet'!$B$13,Paramètres!$A$1:$I$89,7,0))</f>
        <v>0.315</v>
      </c>
      <c r="DD77" s="16">
        <f>IF(ISNA(VLOOKUP(A77,'Données projet'!$A$139:$I$159,6,0)),0%,VLOOKUP(A77,'Données projet'!$A$139:$I$159,6,0)*VLOOKUP('Données projet'!$B$13,Paramètres!$A$1:$I$89,7,0))</f>
        <v>0.13500000000000001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54.96077952074539</v>
      </c>
      <c r="DG77" s="21">
        <f>EXP(-LN(2)/25)*DG76+(1-EXP(-LN(2)/25))/(LN(2)/25)*Calculateur!DB77*Calculateur!DD77*VLOOKUP('Données projet'!$B$13,Paramètres!$A$1:$I$89,3,0)*0.475*44/12</f>
        <v>31.379580696325981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86.340360217071378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>
        <f>VLOOKUP(A77,'Données projet'!$A$165:$I$185,2,0)</f>
        <v>533</v>
      </c>
      <c r="DM77" s="12">
        <f>VLOOKUP(A77,'Données projet'!$A$165:$I$185,9,0)</f>
        <v>12.875</v>
      </c>
      <c r="DN77" s="12">
        <f t="array" ref="DN77">INDEX(DM:DM,MIN(IF(ISNUMBER(DM77:DM273),ROW(DM77:DM273),"")))</f>
        <v>12.875</v>
      </c>
      <c r="DO77" s="12">
        <f>IF('Données projet'!$A$166&gt;35,DO76+DN77-DW76,IF(A77&lt;'Données projet'!$A$166,$DL$205^A77,IF(A77='Données projet'!$A$166,'Données projet'!$B$166,DO76+DN77-DW76)))</f>
        <v>533</v>
      </c>
      <c r="DP77" s="17">
        <f>DO77*VLOOKUP('Données projet'!$B$14,Paramètres!$A$1:$I$89,3,0)*VLOOKUP('Données projet'!$B$14,Paramètres!$A$1:$I$89,5,0)</f>
        <v>318.73400000000004</v>
      </c>
      <c r="DQ77" s="13">
        <f t="shared" si="97"/>
        <v>75.089876999925679</v>
      </c>
      <c r="DR77" s="20">
        <f t="shared" si="70"/>
        <v>685.90991910820378</v>
      </c>
      <c r="DS77" s="59">
        <f t="shared" si="71"/>
        <v>979.24325244153715</v>
      </c>
      <c r="DT77" s="59">
        <f ca="1">AVERAGE(OFFSET($DS$3,0,0,'Données projet'!$E$14+1,1))-AVERAGE(OFFSET($H$3,0,0,'Données projet'!$E$14+1,1))</f>
        <v>393.01180019332998</v>
      </c>
      <c r="DU77" s="59">
        <f t="shared" si="98"/>
        <v>283.82782416294748</v>
      </c>
      <c r="DV77" s="15">
        <f>IF(ISNA(VLOOKUP(A77,'Données projet'!$A$165:$I$185,3,0)),0,VLOOKUP(A77,'Données projet'!$A$165:$I$185,3,0))</f>
        <v>10</v>
      </c>
      <c r="DW77" s="15">
        <f>IF(ISNA(VLOOKUP(A77,'Données projet'!$A$165:$I$185,4,0)),0,VLOOKUP(A77,'Données projet'!$A$165:$I$185,4,0))</f>
        <v>37</v>
      </c>
      <c r="DX77" s="16">
        <f>IF(ISNA(VLOOKUP(A77,'Données projet'!$A$165:$I$185,5,0)),0%,VLOOKUP(A77,'Données projet'!$A$165:$I$185,5,0)*VLOOKUP('Données projet'!$B$14,Paramètres!$A$1:$I$89,7,0))</f>
        <v>0.315</v>
      </c>
      <c r="DY77" s="16">
        <f>IF(ISNA(VLOOKUP(A77,'Données projet'!$A$165:$I$185,6,0)),0%,VLOOKUP(A77,'Données projet'!$A$165:$I$185,6,0)*VLOOKUP('Données projet'!$B$14,Paramètres!$A$1:$I$89,7,0))</f>
        <v>0.13500000000000001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54.96077952074539</v>
      </c>
      <c r="EB77" s="21">
        <f>EXP(-LN(2)/25)*EB76+(1-EXP(-LN(2)/25))/(LN(2)/25)*Calculateur!DW77*Calculateur!DY77*VLOOKUP('Données projet'!$B$14,Paramètres!$A$1:$I$89,3,0)*0.475*44/12</f>
        <v>31.379580696325981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86.340360217071378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8.6580000000000119</v>
      </c>
      <c r="D78" s="11">
        <f t="shared" si="86"/>
        <v>3.1035177947823644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18.158132735804372</v>
      </c>
      <c r="H78" s="67">
        <f t="shared" si="56"/>
        <v>277.15131015924601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-1.1368683772161603E-13</v>
      </c>
      <c r="O78" s="13">
        <f>N78*VLOOKUP('Données projet'!$B$9,Paramètres!$A$1:$I$89,3,0)*VLOOKUP('Données projet'!$B$9,Paramètres!$A$1:$I$89,5,0)</f>
        <v>-5.3205440053716299E-14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189.8770435341392</v>
      </c>
      <c r="T78" s="59">
        <f t="shared" si="88"/>
        <v>230.18380961122767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81.561931350094127</v>
      </c>
      <c r="AA78" s="21">
        <f>EXP(-LN(2)/25)*AA77+(1-EXP(-LN(2)/25))/(LN(2)/25)*Calculateur!V78*Calculateur!X78*VLOOKUP('Données projet'!$B$9,Paramètres!$A$1:$I$89,3,0)*0.475*44/12</f>
        <v>41.080475486370617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122.64240683646474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367.20999000000006</v>
      </c>
      <c r="AG78" s="12">
        <f>VLOOKUP(A78,'Données projet'!$A$61:$I$81,9,0)</f>
        <v>4.6149120000000039</v>
      </c>
      <c r="AH78" s="12">
        <f t="array" ref="AH78">INDEX(AG:AG,MIN(IF(ISNUMBER(AG78:AG274),ROW(AG78:AG274),"")))</f>
        <v>4.6149120000000039</v>
      </c>
      <c r="AI78" s="13">
        <f>IF('Données projet'!$A$62&gt;35,AI77+AH78-AQ77,IF(A78&lt;'Données projet'!$A$62,$AF$205^A78,IF(A78='Données projet'!$A$62,'Données projet'!$B$62,AI77+AH78-AQ77)))</f>
        <v>367.20998999999978</v>
      </c>
      <c r="AJ78" s="13">
        <f>AI78*VLOOKUP('Données projet'!$B$10,Paramètres!$A$1:$I$89,3,0)*VLOOKUP('Données projet'!$B$10,Paramètres!$A$1:$I$89,5,0)</f>
        <v>162.30681557999992</v>
      </c>
      <c r="AK78" s="13">
        <f t="shared" si="89"/>
        <v>41.362389831393507</v>
      </c>
      <c r="AL78" s="20">
        <f t="shared" si="58"/>
        <v>354.72386609151022</v>
      </c>
      <c r="AM78" s="59">
        <f t="shared" si="59"/>
        <v>648.05719942484347</v>
      </c>
      <c r="AN78" s="59">
        <f ca="1">AVERAGE(OFFSET($AM$3,0,0,'Données projet'!$E$10+1,1))-AVERAGE(OFFSET($H$3,0,0,'Données projet'!$E$10+1,1))</f>
        <v>207.77463758757142</v>
      </c>
      <c r="AO78" s="59">
        <f t="shared" si="90"/>
        <v>180.50802165484066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11.717550000000001</v>
      </c>
      <c r="AR78" s="16">
        <f>IF(ISNA(VLOOKUP(A78,'Données projet'!$A$61:$I$81,5,0)),0%,VLOOKUP(A78,'Données projet'!$A$61:$I$81,5,0)*VLOOKUP('Données projet'!$B$10,Paramètres!$A$1:$I$89,7,0))</f>
        <v>0.38500000000000001</v>
      </c>
      <c r="AS78" s="16">
        <f>IF(ISNA(VLOOKUP(A78,'Données projet'!$A$61:$I$81,6,0)),0%,VLOOKUP(A78,'Données projet'!$A$61:$I$81,6,0)*VLOOKUP('Données projet'!$B$10,Paramètres!$A$1:$I$89,7,0))</f>
        <v>0.16500000000000001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22.548270971941864</v>
      </c>
      <c r="AV78" s="21">
        <f>EXP(-LN(2)/25)*AV77+(1-EXP(-LN(2)/25))/(LN(2)/25)*Calculateur!AQ78*Calculateur!AS78*VLOOKUP('Données projet'!$B$10,Paramètres!$A$1:$I$89,3,0)*0.475*44/12</f>
        <v>21.723574387402195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44.271845359344056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8.875</v>
      </c>
      <c r="BD78" s="12">
        <f>IF('Données projet'!$A$88&gt;35,BD77+BC78-BL77,IF(A78&lt;'Données projet'!$A$88,$BA$205^A78,IF(A78='Données projet'!$A$88,'Données projet'!$B$88,BD77+BC78-BL77)))</f>
        <v>504.875</v>
      </c>
      <c r="BE78" s="13">
        <f>BD78*VLOOKUP('Données projet'!$B$11,Paramètres!$A$1:$I$89,3,0)*VLOOKUP('Données projet'!$B$11,Paramètres!$A$1:$I$89,5,0)</f>
        <v>301.91525000000001</v>
      </c>
      <c r="BF78" s="13">
        <f t="shared" si="91"/>
        <v>71.577824610045951</v>
      </c>
      <c r="BG78" s="20">
        <f t="shared" si="61"/>
        <v>650.50043827916329</v>
      </c>
      <c r="BH78" s="59">
        <f t="shared" si="62"/>
        <v>943.83377161249655</v>
      </c>
      <c r="BI78" s="59">
        <f ca="1">AVERAGE(OFFSET($BH$3,0,0,'Données projet'!$E$11+1,1))-AVERAGE(OFFSET($H$3,0,0,'Données projet'!$E$11+1,1))</f>
        <v>393.01180019332998</v>
      </c>
      <c r="BJ78" s="59">
        <f t="shared" si="92"/>
        <v>283.82782416294748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53.883032157108985</v>
      </c>
      <c r="BQ78" s="21">
        <f>EXP(-LN(2)/25)*BQ77+(1-EXP(-LN(2)/25))/(LN(2)/25)*Calculateur!BL78*Calculateur!BN78*VLOOKUP('Données projet'!$B$11,Paramètres!$A$1:$I$89,3,0)*0.475*44/12</f>
        <v>30.521504412004518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84.404536569113503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8.875</v>
      </c>
      <c r="BY78" s="12">
        <f>IF('Données projet'!$A$114&gt;35,BY77+BX78-CG77,IF(A78&lt;'Données projet'!$A$114,$BV$205^A78,IF(A78='Données projet'!$A$114,'Données projet'!$B$114,BY77+BX78-CG77)))</f>
        <v>504.875</v>
      </c>
      <c r="BZ78" s="13">
        <f>BY78*VLOOKUP('Données projet'!$B$12,Paramètres!$A$1:$I$89,3,0)*VLOOKUP('Données projet'!$B$12,Paramètres!$A$1:$I$89,5,0)</f>
        <v>301.91525000000001</v>
      </c>
      <c r="CA78" s="13">
        <f t="shared" si="93"/>
        <v>71.577824610045951</v>
      </c>
      <c r="CB78" s="20">
        <f t="shared" si="64"/>
        <v>650.50043827916329</v>
      </c>
      <c r="CC78" s="59">
        <f t="shared" si="65"/>
        <v>943.83377161249655</v>
      </c>
      <c r="CD78" s="59">
        <f ca="1">AVERAGE(OFFSET($CC$3,0,0,'Données projet'!$E$12+1,1))-AVERAGE(OFFSET($H$3,0,0,'Données projet'!$E$12+1,1))</f>
        <v>393.01180019332998</v>
      </c>
      <c r="CE78" s="59">
        <f t="shared" si="94"/>
        <v>283.82782416294748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53.883032157108985</v>
      </c>
      <c r="CL78" s="21">
        <f>EXP(-LN(2)/25)*CL77+(1-EXP(-LN(2)/25))/(LN(2)/25)*Calculateur!CG78*Calculateur!CI78*VLOOKUP('Données projet'!$B$12,Paramètres!$A$1:$I$89,3,0)*0.475*44/12</f>
        <v>30.521504412004518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84.404536569113503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8.875</v>
      </c>
      <c r="CT78" s="12">
        <f>IF('Données projet'!$A$140&gt;35,CT77+CS78-DB77,IF(A78&lt;'Données projet'!$A$140,$CQ$205^A78,IF(A78='Données projet'!$A$140,'Données projet'!$B$140,CT77+CS78-DB77)))</f>
        <v>504.875</v>
      </c>
      <c r="CU78" s="17">
        <f>CT78*VLOOKUP('Données projet'!$B$13,Paramètres!$A$1:$I$89,3,0)*VLOOKUP('Données projet'!$B$13,Paramètres!$A$1:$I$89,5,0)</f>
        <v>301.91525000000001</v>
      </c>
      <c r="CV78" s="13">
        <f t="shared" si="95"/>
        <v>71.577824610045951</v>
      </c>
      <c r="CW78" s="20">
        <f t="shared" si="67"/>
        <v>650.50043827916329</v>
      </c>
      <c r="CX78" s="59">
        <f t="shared" si="68"/>
        <v>943.83377161249655</v>
      </c>
      <c r="CY78" s="59">
        <f ca="1">AVERAGE(OFFSET($CX$3,0,0,'Données projet'!$E$13+1,1))-AVERAGE(OFFSET($H$3,0,0,'Données projet'!$E$13+1,1))</f>
        <v>393.01180019332998</v>
      </c>
      <c r="CZ78" s="59">
        <f t="shared" si="96"/>
        <v>283.82782416294748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53.883032157108985</v>
      </c>
      <c r="DG78" s="21">
        <f>EXP(-LN(2)/25)*DG77+(1-EXP(-LN(2)/25))/(LN(2)/25)*Calculateur!DB78*Calculateur!DD78*VLOOKUP('Données projet'!$B$13,Paramètres!$A$1:$I$89,3,0)*0.475*44/12</f>
        <v>30.521504412004518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84.404536569113503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8.875</v>
      </c>
      <c r="DO78" s="12">
        <f>IF('Données projet'!$A$166&gt;35,DO77+DN78-DW77,IF(A78&lt;'Données projet'!$A$166,$DL$205^A78,IF(A78='Données projet'!$A$166,'Données projet'!$B$166,DO77+DN78-DW77)))</f>
        <v>504.875</v>
      </c>
      <c r="DP78" s="17">
        <f>DO78*VLOOKUP('Données projet'!$B$14,Paramètres!$A$1:$I$89,3,0)*VLOOKUP('Données projet'!$B$14,Paramètres!$A$1:$I$89,5,0)</f>
        <v>301.91525000000001</v>
      </c>
      <c r="DQ78" s="13">
        <f t="shared" si="97"/>
        <v>71.577824610045951</v>
      </c>
      <c r="DR78" s="20">
        <f t="shared" si="70"/>
        <v>650.50043827916329</v>
      </c>
      <c r="DS78" s="59">
        <f t="shared" si="71"/>
        <v>943.83377161249655</v>
      </c>
      <c r="DT78" s="59">
        <f ca="1">AVERAGE(OFFSET($DS$3,0,0,'Données projet'!$E$14+1,1))-AVERAGE(OFFSET($H$3,0,0,'Données projet'!$E$14+1,1))</f>
        <v>393.01180019332998</v>
      </c>
      <c r="DU78" s="59">
        <f t="shared" si="98"/>
        <v>283.82782416294748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53.883032157108985</v>
      </c>
      <c r="EB78" s="21">
        <f>EXP(-LN(2)/25)*EB77+(1-EXP(-LN(2)/25))/(LN(2)/25)*Calculateur!DW78*Calculateur!DY78*VLOOKUP('Données projet'!$B$14,Paramètres!$A$1:$I$89,3,0)*0.475*44/12</f>
        <v>30.521504412004518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84.404536569113503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8.7734400000000115</v>
      </c>
      <c r="D79" s="11">
        <f t="shared" si="86"/>
        <v>3.1400531388895696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18.39276133723304</v>
      </c>
      <c r="H79" s="67">
        <f t="shared" si="56"/>
        <v>277.4160005502327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-1.1368683772161603E-13</v>
      </c>
      <c r="O79" s="13">
        <f>N79*VLOOKUP('Données projet'!$B$9,Paramètres!$A$1:$I$89,3,0)*VLOOKUP('Données projet'!$B$9,Paramètres!$A$1:$I$89,5,0)</f>
        <v>-5.3205440053716299E-14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189.8770435341392</v>
      </c>
      <c r="T79" s="59">
        <f t="shared" si="88"/>
        <v>230.18380961122767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79.962551624184712</v>
      </c>
      <c r="AA79" s="21">
        <f>EXP(-LN(2)/25)*AA78+(1-EXP(-LN(2)/25))/(LN(2)/25)*Calculateur!V79*Calculateur!X79*VLOOKUP('Données projet'!$B$9,Paramètres!$A$1:$I$89,3,0)*0.475*44/12</f>
        <v>39.957127723867494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119.9196793480522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3.4972379999999932</v>
      </c>
      <c r="AI79" s="13">
        <f>IF('Données projet'!$A$62&gt;35,AI78+AH79-AQ78,IF(A79&lt;'Données projet'!$A$62,$AF$205^A79,IF(A79='Données projet'!$A$62,'Données projet'!$B$62,AI78+AH79-AQ78)))</f>
        <v>358.98967799999974</v>
      </c>
      <c r="AJ79" s="13">
        <f>AI79*VLOOKUP('Données projet'!$B$10,Paramètres!$A$1:$I$89,3,0)*VLOOKUP('Données projet'!$B$10,Paramètres!$A$1:$I$89,5,0)</f>
        <v>158.67343767599991</v>
      </c>
      <c r="AK79" s="13">
        <f t="shared" si="89"/>
        <v>40.543160744381588</v>
      </c>
      <c r="AL79" s="20">
        <f t="shared" si="58"/>
        <v>346.96890891549771</v>
      </c>
      <c r="AM79" s="59">
        <f t="shared" si="59"/>
        <v>640.30224224883102</v>
      </c>
      <c r="AN79" s="59">
        <f ca="1">AVERAGE(OFFSET($AM$3,0,0,'Données projet'!$E$10+1,1))-AVERAGE(OFFSET($H$3,0,0,'Données projet'!$E$10+1,1))</f>
        <v>207.77463758757142</v>
      </c>
      <c r="AO79" s="59">
        <f t="shared" si="90"/>
        <v>180.50802165484066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22.106113131269371</v>
      </c>
      <c r="AV79" s="21">
        <f>EXP(-LN(2)/25)*AV78+(1-EXP(-LN(2)/25))/(LN(2)/25)*Calculateur!AQ79*Calculateur!AS79*VLOOKUP('Données projet'!$B$10,Paramètres!$A$1:$I$89,3,0)*0.475*44/12</f>
        <v>21.129542103385553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43.235655234654928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8.875</v>
      </c>
      <c r="BD79" s="12">
        <f>IF('Données projet'!$A$88&gt;35,BD78+BC79-BL78,IF(A79&lt;'Données projet'!$A$88,$BA$205^A79,IF(A79='Données projet'!$A$88,'Données projet'!$B$88,BD78+BC79-BL78)))</f>
        <v>513.75</v>
      </c>
      <c r="BE79" s="13">
        <f>BD79*VLOOKUP('Données projet'!$B$11,Paramètres!$A$1:$I$89,3,0)*VLOOKUP('Données projet'!$B$11,Paramètres!$A$1:$I$89,5,0)</f>
        <v>307.22250000000003</v>
      </c>
      <c r="BF79" s="13">
        <f t="shared" si="91"/>
        <v>72.68847414066191</v>
      </c>
      <c r="BG79" s="20">
        <f t="shared" si="61"/>
        <v>661.67827996165295</v>
      </c>
      <c r="BH79" s="59">
        <f t="shared" si="62"/>
        <v>955.01161329498632</v>
      </c>
      <c r="BI79" s="59">
        <f ca="1">AVERAGE(OFFSET($BH$3,0,0,'Données projet'!$E$11+1,1))-AVERAGE(OFFSET($H$3,0,0,'Données projet'!$E$11+1,1))</f>
        <v>393.01180019332998</v>
      </c>
      <c r="BJ79" s="59">
        <f t="shared" si="92"/>
        <v>283.82782416294748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52.826418761912507</v>
      </c>
      <c r="BQ79" s="21">
        <f>EXP(-LN(2)/25)*BQ78+(1-EXP(-LN(2)/25))/(LN(2)/25)*Calculateur!BL79*Calculateur!BN79*VLOOKUP('Données projet'!$B$11,Paramètres!$A$1:$I$89,3,0)*0.475*44/12</f>
        <v>29.686892268802094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82.513311030714604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8.875</v>
      </c>
      <c r="BY79" s="12">
        <f>IF('Données projet'!$A$114&gt;35,BY78+BX79-CG78,IF(A79&lt;'Données projet'!$A$114,$BV$205^A79,IF(A79='Données projet'!$A$114,'Données projet'!$B$114,BY78+BX79-CG78)))</f>
        <v>513.75</v>
      </c>
      <c r="BZ79" s="13">
        <f>BY79*VLOOKUP('Données projet'!$B$12,Paramètres!$A$1:$I$89,3,0)*VLOOKUP('Données projet'!$B$12,Paramètres!$A$1:$I$89,5,0)</f>
        <v>307.22250000000003</v>
      </c>
      <c r="CA79" s="13">
        <f t="shared" si="93"/>
        <v>72.68847414066191</v>
      </c>
      <c r="CB79" s="20">
        <f t="shared" si="64"/>
        <v>661.67827996165295</v>
      </c>
      <c r="CC79" s="59">
        <f t="shared" si="65"/>
        <v>955.01161329498632</v>
      </c>
      <c r="CD79" s="59">
        <f ca="1">AVERAGE(OFFSET($CC$3,0,0,'Données projet'!$E$12+1,1))-AVERAGE(OFFSET($H$3,0,0,'Données projet'!$E$12+1,1))</f>
        <v>393.01180019332998</v>
      </c>
      <c r="CE79" s="59">
        <f t="shared" si="94"/>
        <v>283.82782416294748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52.826418761912507</v>
      </c>
      <c r="CL79" s="21">
        <f>EXP(-LN(2)/25)*CL78+(1-EXP(-LN(2)/25))/(LN(2)/25)*Calculateur!CG79*Calculateur!CI79*VLOOKUP('Données projet'!$B$12,Paramètres!$A$1:$I$89,3,0)*0.475*44/12</f>
        <v>29.686892268802094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82.513311030714604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8.875</v>
      </c>
      <c r="CT79" s="12">
        <f>IF('Données projet'!$A$140&gt;35,CT78+CS79-DB78,IF(A79&lt;'Données projet'!$A$140,$CQ$205^A79,IF(A79='Données projet'!$A$140,'Données projet'!$B$140,CT78+CS79-DB78)))</f>
        <v>513.75</v>
      </c>
      <c r="CU79" s="17">
        <f>CT79*VLOOKUP('Données projet'!$B$13,Paramètres!$A$1:$I$89,3,0)*VLOOKUP('Données projet'!$B$13,Paramètres!$A$1:$I$89,5,0)</f>
        <v>307.22250000000003</v>
      </c>
      <c r="CV79" s="13">
        <f t="shared" si="95"/>
        <v>72.68847414066191</v>
      </c>
      <c r="CW79" s="20">
        <f t="shared" si="67"/>
        <v>661.67827996165295</v>
      </c>
      <c r="CX79" s="59">
        <f t="shared" si="68"/>
        <v>955.01161329498632</v>
      </c>
      <c r="CY79" s="59">
        <f ca="1">AVERAGE(OFFSET($CX$3,0,0,'Données projet'!$E$13+1,1))-AVERAGE(OFFSET($H$3,0,0,'Données projet'!$E$13+1,1))</f>
        <v>393.01180019332998</v>
      </c>
      <c r="CZ79" s="59">
        <f t="shared" si="96"/>
        <v>283.82782416294748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52.826418761912507</v>
      </c>
      <c r="DG79" s="21">
        <f>EXP(-LN(2)/25)*DG78+(1-EXP(-LN(2)/25))/(LN(2)/25)*Calculateur!DB79*Calculateur!DD79*VLOOKUP('Données projet'!$B$13,Paramètres!$A$1:$I$89,3,0)*0.475*44/12</f>
        <v>29.686892268802094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82.513311030714604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8.875</v>
      </c>
      <c r="DO79" s="12">
        <f>IF('Données projet'!$A$166&gt;35,DO78+DN79-DW78,IF(A79&lt;'Données projet'!$A$166,$DL$205^A79,IF(A79='Données projet'!$A$166,'Données projet'!$B$166,DO78+DN79-DW78)))</f>
        <v>513.75</v>
      </c>
      <c r="DP79" s="17">
        <f>DO79*VLOOKUP('Données projet'!$B$14,Paramètres!$A$1:$I$89,3,0)*VLOOKUP('Données projet'!$B$14,Paramètres!$A$1:$I$89,5,0)</f>
        <v>307.22250000000003</v>
      </c>
      <c r="DQ79" s="13">
        <f t="shared" si="97"/>
        <v>72.68847414066191</v>
      </c>
      <c r="DR79" s="20">
        <f t="shared" si="70"/>
        <v>661.67827996165295</v>
      </c>
      <c r="DS79" s="59">
        <f t="shared" si="71"/>
        <v>955.01161329498632</v>
      </c>
      <c r="DT79" s="59">
        <f ca="1">AVERAGE(OFFSET($DS$3,0,0,'Données projet'!$E$14+1,1))-AVERAGE(OFFSET($H$3,0,0,'Données projet'!$E$14+1,1))</f>
        <v>393.01180019332998</v>
      </c>
      <c r="DU79" s="59">
        <f t="shared" si="98"/>
        <v>283.82782416294748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52.826418761912507</v>
      </c>
      <c r="EB79" s="21">
        <f>EXP(-LN(2)/25)*EB78+(1-EXP(-LN(2)/25))/(LN(2)/25)*Calculateur!DW79*Calculateur!DY79*VLOOKUP('Données projet'!$B$14,Paramètres!$A$1:$I$89,3,0)*0.475*44/12</f>
        <v>29.686892268802094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82.513311030714604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8.888880000000011</v>
      </c>
      <c r="D80" s="11">
        <f t="shared" si="86"/>
        <v>3.1765325673560247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18.627303612760198</v>
      </c>
      <c r="H80" s="67">
        <f t="shared" si="56"/>
        <v>277.68059355481176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-1.1368683772161603E-13</v>
      </c>
      <c r="O80" s="13">
        <f>N80*VLOOKUP('Données projet'!$B$9,Paramètres!$A$1:$I$89,3,0)*VLOOKUP('Données projet'!$B$9,Paramètres!$A$1:$I$89,5,0)</f>
        <v>-5.3205440053716299E-14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189.8770435341392</v>
      </c>
      <c r="T80" s="59">
        <f t="shared" si="88"/>
        <v>230.18380961122767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78.394534759175073</v>
      </c>
      <c r="AA80" s="21">
        <f>EXP(-LN(2)/25)*AA79+(1-EXP(-LN(2)/25))/(LN(2)/25)*Calculateur!V80*Calculateur!X80*VLOOKUP('Données projet'!$B$9,Paramètres!$A$1:$I$89,3,0)*0.475*44/12</f>
        <v>38.864497965004311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117.25903272417938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3.4972379999999932</v>
      </c>
      <c r="AI80" s="13">
        <f>IF('Données projet'!$A$62&gt;35,AI79+AH80-AQ79,IF(A80&lt;'Données projet'!$A$62,$AF$205^A80,IF(A80='Données projet'!$A$62,'Données projet'!$B$62,AI79+AH80-AQ79)))</f>
        <v>362.48691599999972</v>
      </c>
      <c r="AJ80" s="13">
        <f>AI80*VLOOKUP('Données projet'!$B$10,Paramètres!$A$1:$I$89,3,0)*VLOOKUP('Données projet'!$B$10,Paramètres!$A$1:$I$89,5,0)</f>
        <v>160.21921687199989</v>
      </c>
      <c r="AK80" s="13">
        <f t="shared" si="89"/>
        <v>40.891956443342316</v>
      </c>
      <c r="AL80" s="20">
        <f t="shared" si="58"/>
        <v>350.26862685755435</v>
      </c>
      <c r="AM80" s="59">
        <f t="shared" si="59"/>
        <v>643.60196019088767</v>
      </c>
      <c r="AN80" s="59">
        <f ca="1">AVERAGE(OFFSET($AM$3,0,0,'Données projet'!$E$10+1,1))-AVERAGE(OFFSET($H$3,0,0,'Données projet'!$E$10+1,1))</f>
        <v>207.77463758757142</v>
      </c>
      <c r="AO80" s="59">
        <f t="shared" si="90"/>
        <v>180.50802165484066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21.672625736162814</v>
      </c>
      <c r="AV80" s="21">
        <f>EXP(-LN(2)/25)*AV79+(1-EXP(-LN(2)/25))/(LN(2)/25)*Calculateur!AQ80*Calculateur!AS80*VLOOKUP('Données projet'!$B$10,Paramètres!$A$1:$I$89,3,0)*0.475*44/12</f>
        <v>20.55175366341415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42.224379399576961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8.875</v>
      </c>
      <c r="BD80" s="12">
        <f>IF('Données projet'!$A$88&gt;35,BD79+BC80-BL79,IF(A80&lt;'Données projet'!$A$88,$BA$205^A80,IF(A80='Données projet'!$A$88,'Données projet'!$B$88,BD79+BC80-BL79)))</f>
        <v>522.625</v>
      </c>
      <c r="BE80" s="13">
        <f>BD80*VLOOKUP('Données projet'!$B$11,Paramètres!$A$1:$I$89,3,0)*VLOOKUP('Données projet'!$B$11,Paramètres!$A$1:$I$89,5,0)</f>
        <v>312.52975000000004</v>
      </c>
      <c r="BF80" s="13">
        <f t="shared" si="91"/>
        <v>73.796892500493684</v>
      </c>
      <c r="BG80" s="20">
        <f t="shared" si="61"/>
        <v>672.85223568835988</v>
      </c>
      <c r="BH80" s="59">
        <f t="shared" si="62"/>
        <v>966.18556902169325</v>
      </c>
      <c r="BI80" s="59">
        <f ca="1">AVERAGE(OFFSET($BH$3,0,0,'Données projet'!$E$11+1,1))-AVERAGE(OFFSET($H$3,0,0,'Données projet'!$E$11+1,1))</f>
        <v>393.01180019332998</v>
      </c>
      <c r="BJ80" s="59">
        <f t="shared" si="92"/>
        <v>283.82782416294748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51.790524910925292</v>
      </c>
      <c r="BQ80" s="21">
        <f>EXP(-LN(2)/25)*BQ79+(1-EXP(-LN(2)/25))/(LN(2)/25)*Calculateur!BL80*Calculateur!BN80*VLOOKUP('Données projet'!$B$11,Paramètres!$A$1:$I$89,3,0)*0.475*44/12</f>
        <v>28.875102638545886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80.665627549471182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8.875</v>
      </c>
      <c r="BY80" s="12">
        <f>IF('Données projet'!$A$114&gt;35,BY79+BX80-CG79,IF(A80&lt;'Données projet'!$A$114,$BV$205^A80,IF(A80='Données projet'!$A$114,'Données projet'!$B$114,BY79+BX80-CG79)))</f>
        <v>522.625</v>
      </c>
      <c r="BZ80" s="13">
        <f>BY80*VLOOKUP('Données projet'!$B$12,Paramètres!$A$1:$I$89,3,0)*VLOOKUP('Données projet'!$B$12,Paramètres!$A$1:$I$89,5,0)</f>
        <v>312.52975000000004</v>
      </c>
      <c r="CA80" s="13">
        <f t="shared" si="93"/>
        <v>73.796892500493684</v>
      </c>
      <c r="CB80" s="20">
        <f t="shared" si="64"/>
        <v>672.85223568835988</v>
      </c>
      <c r="CC80" s="59">
        <f t="shared" si="65"/>
        <v>966.18556902169325</v>
      </c>
      <c r="CD80" s="59">
        <f ca="1">AVERAGE(OFFSET($CC$3,0,0,'Données projet'!$E$12+1,1))-AVERAGE(OFFSET($H$3,0,0,'Données projet'!$E$12+1,1))</f>
        <v>393.01180019332998</v>
      </c>
      <c r="CE80" s="59">
        <f t="shared" si="94"/>
        <v>283.82782416294748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51.790524910925292</v>
      </c>
      <c r="CL80" s="21">
        <f>EXP(-LN(2)/25)*CL79+(1-EXP(-LN(2)/25))/(LN(2)/25)*Calculateur!CG80*Calculateur!CI80*VLOOKUP('Données projet'!$B$12,Paramètres!$A$1:$I$89,3,0)*0.475*44/12</f>
        <v>28.875102638545886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80.665627549471182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8.875</v>
      </c>
      <c r="CT80" s="12">
        <f>IF('Données projet'!$A$140&gt;35,CT79+CS80-DB79,IF(A80&lt;'Données projet'!$A$140,$CQ$205^A80,IF(A80='Données projet'!$A$140,'Données projet'!$B$140,CT79+CS80-DB79)))</f>
        <v>522.625</v>
      </c>
      <c r="CU80" s="17">
        <f>CT80*VLOOKUP('Données projet'!$B$13,Paramètres!$A$1:$I$89,3,0)*VLOOKUP('Données projet'!$B$13,Paramètres!$A$1:$I$89,5,0)</f>
        <v>312.52975000000004</v>
      </c>
      <c r="CV80" s="13">
        <f t="shared" si="95"/>
        <v>73.796892500493684</v>
      </c>
      <c r="CW80" s="20">
        <f t="shared" si="67"/>
        <v>672.85223568835988</v>
      </c>
      <c r="CX80" s="59">
        <f t="shared" si="68"/>
        <v>966.18556902169325</v>
      </c>
      <c r="CY80" s="59">
        <f ca="1">AVERAGE(OFFSET($CX$3,0,0,'Données projet'!$E$13+1,1))-AVERAGE(OFFSET($H$3,0,0,'Données projet'!$E$13+1,1))</f>
        <v>393.01180019332998</v>
      </c>
      <c r="CZ80" s="59">
        <f t="shared" si="96"/>
        <v>283.82782416294748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51.790524910925292</v>
      </c>
      <c r="DG80" s="21">
        <f>EXP(-LN(2)/25)*DG79+(1-EXP(-LN(2)/25))/(LN(2)/25)*Calculateur!DB80*Calculateur!DD80*VLOOKUP('Données projet'!$B$13,Paramètres!$A$1:$I$89,3,0)*0.475*44/12</f>
        <v>28.875102638545886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80.665627549471182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8.875</v>
      </c>
      <c r="DO80" s="12">
        <f>IF('Données projet'!$A$166&gt;35,DO79+DN80-DW79,IF(A80&lt;'Données projet'!$A$166,$DL$205^A80,IF(A80='Données projet'!$A$166,'Données projet'!$B$166,DO79+DN80-DW79)))</f>
        <v>522.625</v>
      </c>
      <c r="DP80" s="17">
        <f>DO80*VLOOKUP('Données projet'!$B$14,Paramètres!$A$1:$I$89,3,0)*VLOOKUP('Données projet'!$B$14,Paramètres!$A$1:$I$89,5,0)</f>
        <v>312.52975000000004</v>
      </c>
      <c r="DQ80" s="13">
        <f t="shared" si="97"/>
        <v>73.796892500493684</v>
      </c>
      <c r="DR80" s="20">
        <f t="shared" si="70"/>
        <v>672.85223568835988</v>
      </c>
      <c r="DS80" s="59">
        <f t="shared" si="71"/>
        <v>966.18556902169325</v>
      </c>
      <c r="DT80" s="59">
        <f ca="1">AVERAGE(OFFSET($DS$3,0,0,'Données projet'!$E$14+1,1))-AVERAGE(OFFSET($H$3,0,0,'Données projet'!$E$14+1,1))</f>
        <v>393.01180019332998</v>
      </c>
      <c r="DU80" s="59">
        <f t="shared" si="98"/>
        <v>283.82782416294748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51.790524910925292</v>
      </c>
      <c r="EB80" s="21">
        <f>EXP(-LN(2)/25)*EB79+(1-EXP(-LN(2)/25))/(LN(2)/25)*Calculateur!DW80*Calculateur!DY80*VLOOKUP('Données projet'!$B$14,Paramètres!$A$1:$I$89,3,0)*0.475*44/12</f>
        <v>28.875102638545886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80.665627549471182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9.0043200000000105</v>
      </c>
      <c r="D81" s="11">
        <f t="shared" si="86"/>
        <v>3.2129568903192549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18.86176081312448</v>
      </c>
      <c r="H81" s="67">
        <f t="shared" si="56"/>
        <v>277.94509058397273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-1.1368683772161603E-13</v>
      </c>
      <c r="O81" s="13">
        <f>N81*VLOOKUP('Données projet'!$B$9,Paramètres!$A$1:$I$89,3,0)*VLOOKUP('Données projet'!$B$9,Paramètres!$A$1:$I$89,5,0)</f>
        <v>-5.3205440053716299E-14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189.8770435341392</v>
      </c>
      <c r="T81" s="59">
        <f t="shared" si="88"/>
        <v>230.18380961122767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76.857265748492424</v>
      </c>
      <c r="AA81" s="21">
        <f>EXP(-LN(2)/25)*AA80+(1-EXP(-LN(2)/25))/(LN(2)/25)*Calculateur!V81*Calculateur!X81*VLOOKUP('Données projet'!$B$9,Paramètres!$A$1:$I$89,3,0)*0.475*44/12</f>
        <v>37.801746224356144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114.65901197284856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3.4972379999999932</v>
      </c>
      <c r="AI81" s="13">
        <f>IF('Données projet'!$A$62&gt;35,AI80+AH81-AQ80,IF(A81&lt;'Données projet'!$A$62,$AF$205^A81,IF(A81='Données projet'!$A$62,'Données projet'!$B$62,AI80+AH81-AQ80)))</f>
        <v>365.98415399999971</v>
      </c>
      <c r="AJ81" s="13">
        <f>AI81*VLOOKUP('Données projet'!$B$10,Paramètres!$A$1:$I$89,3,0)*VLOOKUP('Données projet'!$B$10,Paramètres!$A$1:$I$89,5,0)</f>
        <v>161.76499606799987</v>
      </c>
      <c r="AK81" s="13">
        <f t="shared" si="89"/>
        <v>41.240360652690363</v>
      </c>
      <c r="AL81" s="20">
        <f t="shared" si="58"/>
        <v>353.56766295520214</v>
      </c>
      <c r="AM81" s="59">
        <f t="shared" si="59"/>
        <v>646.90099628853545</v>
      </c>
      <c r="AN81" s="59">
        <f ca="1">AVERAGE(OFFSET($AM$3,0,0,'Données projet'!$E$10+1,1))-AVERAGE(OFFSET($H$3,0,0,'Données projet'!$E$10+1,1))</f>
        <v>207.77463758757142</v>
      </c>
      <c r="AO81" s="59">
        <f t="shared" si="90"/>
        <v>180.50802165484066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21.247638764473095</v>
      </c>
      <c r="AV81" s="21">
        <f>EXP(-LN(2)/25)*AV80+(1-EXP(-LN(2)/25))/(LN(2)/25)*Calculateur!AQ81*Calculateur!AS81*VLOOKUP('Données projet'!$B$10,Paramètres!$A$1:$I$89,3,0)*0.475*44/12</f>
        <v>19.989764878718336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41.237403643191428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8.875</v>
      </c>
      <c r="BD81" s="12">
        <f>IF('Données projet'!$A$88&gt;35,BD80+BC81-BL80,IF(A81&lt;'Données projet'!$A$88,$BA$205^A81,IF(A81='Données projet'!$A$88,'Données projet'!$B$88,BD80+BC81-BL80)))</f>
        <v>531.5</v>
      </c>
      <c r="BE81" s="13">
        <f>BD81*VLOOKUP('Données projet'!$B$11,Paramètres!$A$1:$I$89,3,0)*VLOOKUP('Données projet'!$B$11,Paramètres!$A$1:$I$89,5,0)</f>
        <v>317.83700000000005</v>
      </c>
      <c r="BF81" s="13">
        <f t="shared" si="91"/>
        <v>74.903121950927684</v>
      </c>
      <c r="BG81" s="20">
        <f t="shared" si="61"/>
        <v>684.0223790645324</v>
      </c>
      <c r="BH81" s="59">
        <f t="shared" si="62"/>
        <v>977.35571239786577</v>
      </c>
      <c r="BI81" s="59">
        <f ca="1">AVERAGE(OFFSET($BH$3,0,0,'Données projet'!$E$11+1,1))-AVERAGE(OFFSET($H$3,0,0,'Données projet'!$E$11+1,1))</f>
        <v>393.01180019332998</v>
      </c>
      <c r="BJ81" s="59">
        <f t="shared" si="92"/>
        <v>283.82782416294748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50.774944306523075</v>
      </c>
      <c r="BQ81" s="21">
        <f>EXP(-LN(2)/25)*BQ80+(1-EXP(-LN(2)/25))/(LN(2)/25)*Calculateur!BL81*Calculateur!BN81*VLOOKUP('Données projet'!$B$11,Paramètres!$A$1:$I$89,3,0)*0.475*44/12</f>
        <v>28.085511438419196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78.860455744942271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8.875</v>
      </c>
      <c r="BY81" s="12">
        <f>IF('Données projet'!$A$114&gt;35,BY80+BX81-CG80,IF(A81&lt;'Données projet'!$A$114,$BV$205^A81,IF(A81='Données projet'!$A$114,'Données projet'!$B$114,BY80+BX81-CG80)))</f>
        <v>531.5</v>
      </c>
      <c r="BZ81" s="13">
        <f>BY81*VLOOKUP('Données projet'!$B$12,Paramètres!$A$1:$I$89,3,0)*VLOOKUP('Données projet'!$B$12,Paramètres!$A$1:$I$89,5,0)</f>
        <v>317.83700000000005</v>
      </c>
      <c r="CA81" s="13">
        <f t="shared" si="93"/>
        <v>74.903121950927684</v>
      </c>
      <c r="CB81" s="20">
        <f t="shared" si="64"/>
        <v>684.0223790645324</v>
      </c>
      <c r="CC81" s="59">
        <f t="shared" si="65"/>
        <v>977.35571239786577</v>
      </c>
      <c r="CD81" s="59">
        <f ca="1">AVERAGE(OFFSET($CC$3,0,0,'Données projet'!$E$12+1,1))-AVERAGE(OFFSET($H$3,0,0,'Données projet'!$E$12+1,1))</f>
        <v>393.01180019332998</v>
      </c>
      <c r="CE81" s="59">
        <f t="shared" si="94"/>
        <v>283.82782416294748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50.774944306523075</v>
      </c>
      <c r="CL81" s="21">
        <f>EXP(-LN(2)/25)*CL80+(1-EXP(-LN(2)/25))/(LN(2)/25)*Calculateur!CG81*Calculateur!CI81*VLOOKUP('Données projet'!$B$12,Paramètres!$A$1:$I$89,3,0)*0.475*44/12</f>
        <v>28.085511438419196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78.860455744942271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8.875</v>
      </c>
      <c r="CT81" s="12">
        <f>IF('Données projet'!$A$140&gt;35,CT80+CS81-DB80,IF(A81&lt;'Données projet'!$A$140,$CQ$205^A81,IF(A81='Données projet'!$A$140,'Données projet'!$B$140,CT80+CS81-DB80)))</f>
        <v>531.5</v>
      </c>
      <c r="CU81" s="17">
        <f>CT81*VLOOKUP('Données projet'!$B$13,Paramètres!$A$1:$I$89,3,0)*VLOOKUP('Données projet'!$B$13,Paramètres!$A$1:$I$89,5,0)</f>
        <v>317.83700000000005</v>
      </c>
      <c r="CV81" s="13">
        <f t="shared" si="95"/>
        <v>74.903121950927684</v>
      </c>
      <c r="CW81" s="20">
        <f t="shared" si="67"/>
        <v>684.0223790645324</v>
      </c>
      <c r="CX81" s="59">
        <f t="shared" si="68"/>
        <v>977.35571239786577</v>
      </c>
      <c r="CY81" s="59">
        <f ca="1">AVERAGE(OFFSET($CX$3,0,0,'Données projet'!$E$13+1,1))-AVERAGE(OFFSET($H$3,0,0,'Données projet'!$E$13+1,1))</f>
        <v>393.01180019332998</v>
      </c>
      <c r="CZ81" s="59">
        <f t="shared" si="96"/>
        <v>283.82782416294748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50.774944306523075</v>
      </c>
      <c r="DG81" s="21">
        <f>EXP(-LN(2)/25)*DG80+(1-EXP(-LN(2)/25))/(LN(2)/25)*Calculateur!DB81*Calculateur!DD81*VLOOKUP('Données projet'!$B$13,Paramètres!$A$1:$I$89,3,0)*0.475*44/12</f>
        <v>28.085511438419196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78.860455744942271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8.875</v>
      </c>
      <c r="DO81" s="12">
        <f>IF('Données projet'!$A$166&gt;35,DO80+DN81-DW80,IF(A81&lt;'Données projet'!$A$166,$DL$205^A81,IF(A81='Données projet'!$A$166,'Données projet'!$B$166,DO80+DN81-DW80)))</f>
        <v>531.5</v>
      </c>
      <c r="DP81" s="17">
        <f>DO81*VLOOKUP('Données projet'!$B$14,Paramètres!$A$1:$I$89,3,0)*VLOOKUP('Données projet'!$B$14,Paramètres!$A$1:$I$89,5,0)</f>
        <v>317.83700000000005</v>
      </c>
      <c r="DQ81" s="13">
        <f t="shared" si="97"/>
        <v>74.903121950927684</v>
      </c>
      <c r="DR81" s="20">
        <f t="shared" si="70"/>
        <v>684.0223790645324</v>
      </c>
      <c r="DS81" s="59">
        <f t="shared" si="71"/>
        <v>977.35571239786577</v>
      </c>
      <c r="DT81" s="59">
        <f ca="1">AVERAGE(OFFSET($DS$3,0,0,'Données projet'!$E$14+1,1))-AVERAGE(OFFSET($H$3,0,0,'Données projet'!$E$14+1,1))</f>
        <v>393.01180019332998</v>
      </c>
      <c r="DU81" s="59">
        <f t="shared" si="98"/>
        <v>283.82782416294748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50.774944306523075</v>
      </c>
      <c r="EB81" s="21">
        <f>EXP(-LN(2)/25)*EB80+(1-EXP(-LN(2)/25))/(LN(2)/25)*Calculateur!DW81*Calculateur!DY81*VLOOKUP('Données projet'!$B$14,Paramètres!$A$1:$I$89,3,0)*0.475*44/12</f>
        <v>28.085511438419196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78.860455744942271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9.1197600000000101</v>
      </c>
      <c r="D82" s="11">
        <f t="shared" si="86"/>
        <v>3.2493268959496624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19.096134155150377</v>
      </c>
      <c r="H82" s="67">
        <f t="shared" si="56"/>
        <v>278.20949301044573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-1.1368683772161603E-13</v>
      </c>
      <c r="O82" s="13">
        <f>N82*VLOOKUP('Données projet'!$B$9,Paramètres!$A$1:$I$89,3,0)*VLOOKUP('Données projet'!$B$9,Paramètres!$A$1:$I$89,5,0)</f>
        <v>-5.3205440053716299E-14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189.8770435341392</v>
      </c>
      <c r="T82" s="59">
        <f t="shared" si="88"/>
        <v>230.18380961122767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75.350141645467744</v>
      </c>
      <c r="AA82" s="21">
        <f>EXP(-LN(2)/25)*AA81+(1-EXP(-LN(2)/25))/(LN(2)/25)*Calculateur!V82*Calculateur!X82*VLOOKUP('Données projet'!$B$9,Paramètres!$A$1:$I$89,3,0)*0.475*44/12</f>
        <v>36.768055485943691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112.11819713141143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3.4972379999999932</v>
      </c>
      <c r="AI82" s="13">
        <f>IF('Données projet'!$A$62&gt;35,AI81+AH82-AQ81,IF(A82&lt;'Données projet'!$A$62,$AF$205^A82,IF(A82='Données projet'!$A$62,'Données projet'!$B$62,AI81+AH82-AQ81)))</f>
        <v>369.48139199999969</v>
      </c>
      <c r="AJ82" s="13">
        <f>AI82*VLOOKUP('Données projet'!$B$10,Paramètres!$A$1:$I$89,3,0)*VLOOKUP('Données projet'!$B$10,Paramètres!$A$1:$I$89,5,0)</f>
        <v>163.31077526399989</v>
      </c>
      <c r="AK82" s="13">
        <f t="shared" si="89"/>
        <v>41.588377546640025</v>
      </c>
      <c r="AL82" s="20">
        <f t="shared" si="58"/>
        <v>356.86602447853119</v>
      </c>
      <c r="AM82" s="59">
        <f t="shared" si="59"/>
        <v>650.1993578118645</v>
      </c>
      <c r="AN82" s="59">
        <f ca="1">AVERAGE(OFFSET($AM$3,0,0,'Données projet'!$E$10+1,1))-AVERAGE(OFFSET($H$3,0,0,'Données projet'!$E$10+1,1))</f>
        <v>207.77463758757142</v>
      </c>
      <c r="AO82" s="59">
        <f t="shared" si="90"/>
        <v>180.50802165484066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20.830985528081751</v>
      </c>
      <c r="AV82" s="21">
        <f>EXP(-LN(2)/25)*AV81+(1-EXP(-LN(2)/25))/(LN(2)/25)*Calculateur!AQ82*Calculateur!AS82*VLOOKUP('Données projet'!$B$10,Paramètres!$A$1:$I$89,3,0)*0.475*44/12</f>
        <v>19.443143706893736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40.27412923497549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8.875</v>
      </c>
      <c r="BD82" s="12">
        <f>IF('Données projet'!$A$88&gt;35,BD81+BC82-BL81,IF(A82&lt;'Données projet'!$A$88,$BA$205^A82,IF(A82='Données projet'!$A$88,'Données projet'!$B$88,BD81+BC82-BL81)))</f>
        <v>540.375</v>
      </c>
      <c r="BE82" s="13">
        <f>BD82*VLOOKUP('Données projet'!$B$11,Paramètres!$A$1:$I$89,3,0)*VLOOKUP('Données projet'!$B$11,Paramètres!$A$1:$I$89,5,0)</f>
        <v>323.14425000000006</v>
      </c>
      <c r="BF82" s="13">
        <f t="shared" si="91"/>
        <v>76.007203261088534</v>
      </c>
      <c r="BG82" s="20">
        <f t="shared" si="61"/>
        <v>695.18878109639593</v>
      </c>
      <c r="BH82" s="59">
        <f t="shared" si="62"/>
        <v>988.5221144297293</v>
      </c>
      <c r="BI82" s="59">
        <f ca="1">AVERAGE(OFFSET($BH$3,0,0,'Données projet'!$E$11+1,1))-AVERAGE(OFFSET($H$3,0,0,'Données projet'!$E$11+1,1))</f>
        <v>393.01180019332998</v>
      </c>
      <c r="BJ82" s="59">
        <f t="shared" si="92"/>
        <v>283.82782416294748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49.779278618330181</v>
      </c>
      <c r="BQ82" s="21">
        <f>EXP(-LN(2)/25)*BQ81+(1-EXP(-LN(2)/25))/(LN(2)/25)*Calculateur!BL82*Calculateur!BN82*VLOOKUP('Données projet'!$B$11,Paramètres!$A$1:$I$89,3,0)*0.475*44/12</f>
        <v>27.317511651182766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77.096790269512951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8.875</v>
      </c>
      <c r="BY82" s="12">
        <f>IF('Données projet'!$A$114&gt;35,BY81+BX82-CG81,IF(A82&lt;'Données projet'!$A$114,$BV$205^A82,IF(A82='Données projet'!$A$114,'Données projet'!$B$114,BY81+BX82-CG81)))</f>
        <v>540.375</v>
      </c>
      <c r="BZ82" s="13">
        <f>BY82*VLOOKUP('Données projet'!$B$12,Paramètres!$A$1:$I$89,3,0)*VLOOKUP('Données projet'!$B$12,Paramètres!$A$1:$I$89,5,0)</f>
        <v>323.14425000000006</v>
      </c>
      <c r="CA82" s="13">
        <f t="shared" si="93"/>
        <v>76.007203261088534</v>
      </c>
      <c r="CB82" s="20">
        <f t="shared" si="64"/>
        <v>695.18878109639593</v>
      </c>
      <c r="CC82" s="59">
        <f t="shared" si="65"/>
        <v>988.5221144297293</v>
      </c>
      <c r="CD82" s="59">
        <f ca="1">AVERAGE(OFFSET($CC$3,0,0,'Données projet'!$E$12+1,1))-AVERAGE(OFFSET($H$3,0,0,'Données projet'!$E$12+1,1))</f>
        <v>393.01180019332998</v>
      </c>
      <c r="CE82" s="59">
        <f t="shared" si="94"/>
        <v>283.82782416294748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49.779278618330181</v>
      </c>
      <c r="CL82" s="21">
        <f>EXP(-LN(2)/25)*CL81+(1-EXP(-LN(2)/25))/(LN(2)/25)*Calculateur!CG82*Calculateur!CI82*VLOOKUP('Données projet'!$B$12,Paramètres!$A$1:$I$89,3,0)*0.475*44/12</f>
        <v>27.317511651182766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77.096790269512951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8.875</v>
      </c>
      <c r="CT82" s="12">
        <f>IF('Données projet'!$A$140&gt;35,CT81+CS82-DB81,IF(A82&lt;'Données projet'!$A$140,$CQ$205^A82,IF(A82='Données projet'!$A$140,'Données projet'!$B$140,CT81+CS82-DB81)))</f>
        <v>540.375</v>
      </c>
      <c r="CU82" s="17">
        <f>CT82*VLOOKUP('Données projet'!$B$13,Paramètres!$A$1:$I$89,3,0)*VLOOKUP('Données projet'!$B$13,Paramètres!$A$1:$I$89,5,0)</f>
        <v>323.14425000000006</v>
      </c>
      <c r="CV82" s="13">
        <f t="shared" si="95"/>
        <v>76.007203261088534</v>
      </c>
      <c r="CW82" s="20">
        <f t="shared" si="67"/>
        <v>695.18878109639593</v>
      </c>
      <c r="CX82" s="59">
        <f t="shared" si="68"/>
        <v>988.5221144297293</v>
      </c>
      <c r="CY82" s="59">
        <f ca="1">AVERAGE(OFFSET($CX$3,0,0,'Données projet'!$E$13+1,1))-AVERAGE(OFFSET($H$3,0,0,'Données projet'!$E$13+1,1))</f>
        <v>393.01180019332998</v>
      </c>
      <c r="CZ82" s="59">
        <f t="shared" si="96"/>
        <v>283.82782416294748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49.779278618330181</v>
      </c>
      <c r="DG82" s="21">
        <f>EXP(-LN(2)/25)*DG81+(1-EXP(-LN(2)/25))/(LN(2)/25)*Calculateur!DB82*Calculateur!DD82*VLOOKUP('Données projet'!$B$13,Paramètres!$A$1:$I$89,3,0)*0.475*44/12</f>
        <v>27.317511651182766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77.096790269512951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8.875</v>
      </c>
      <c r="DO82" s="12">
        <f>IF('Données projet'!$A$166&gt;35,DO81+DN82-DW81,IF(A82&lt;'Données projet'!$A$166,$DL$205^A82,IF(A82='Données projet'!$A$166,'Données projet'!$B$166,DO81+DN82-DW81)))</f>
        <v>540.375</v>
      </c>
      <c r="DP82" s="17">
        <f>DO82*VLOOKUP('Données projet'!$B$14,Paramètres!$A$1:$I$89,3,0)*VLOOKUP('Données projet'!$B$14,Paramètres!$A$1:$I$89,5,0)</f>
        <v>323.14425000000006</v>
      </c>
      <c r="DQ82" s="13">
        <f t="shared" si="97"/>
        <v>76.007203261088534</v>
      </c>
      <c r="DR82" s="20">
        <f t="shared" si="70"/>
        <v>695.18878109639593</v>
      </c>
      <c r="DS82" s="59">
        <f t="shared" si="71"/>
        <v>988.5221144297293</v>
      </c>
      <c r="DT82" s="59">
        <f ca="1">AVERAGE(OFFSET($DS$3,0,0,'Données projet'!$E$14+1,1))-AVERAGE(OFFSET($H$3,0,0,'Données projet'!$E$14+1,1))</f>
        <v>393.01180019332998</v>
      </c>
      <c r="DU82" s="59">
        <f t="shared" si="98"/>
        <v>283.82782416294748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49.779278618330181</v>
      </c>
      <c r="EB82" s="21">
        <f>EXP(-LN(2)/25)*EB81+(1-EXP(-LN(2)/25))/(LN(2)/25)*Calculateur!DW82*Calculateur!DY82*VLOOKUP('Données projet'!$B$14,Paramètres!$A$1:$I$89,3,0)*0.475*44/12</f>
        <v>27.317511651182766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77.096790269512951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9.2352000000000096</v>
      </c>
      <c r="D83" s="11">
        <f t="shared" si="86"/>
        <v>3.2856433513165295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19.330424823085185</v>
      </c>
      <c r="H83" s="67">
        <f t="shared" si="56"/>
        <v>278.47380217020964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-1.1368683772161603E-13</v>
      </c>
      <c r="O83" s="13">
        <f>N83*VLOOKUP('Données projet'!$B$9,Paramètres!$A$1:$I$89,3,0)*VLOOKUP('Données projet'!$B$9,Paramètres!$A$1:$I$89,5,0)</f>
        <v>-5.3205440053716299E-14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189.8770435341392</v>
      </c>
      <c r="T83" s="59">
        <f t="shared" si="88"/>
        <v>230.18380961122767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73.872571326848444</v>
      </c>
      <c r="AA83" s="21">
        <f>EXP(-LN(2)/25)*AA82+(1-EXP(-LN(2)/25))/(LN(2)/25)*Calculateur!V83*Calculateur!X83*VLOOKUP('Données projet'!$B$9,Paramètres!$A$1:$I$89,3,0)*0.475*44/12</f>
        <v>35.76263107513256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109.635202401981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372.97863000000001</v>
      </c>
      <c r="AG83" s="12">
        <f>VLOOKUP(A83,'Données projet'!$A$61:$I$81,9,0)</f>
        <v>3.4972379999999932</v>
      </c>
      <c r="AH83" s="12">
        <f t="array" ref="AH83">INDEX(AG:AG,MIN(IF(ISNUMBER(AG83:AG279),ROW(AG83:AG279),"")))</f>
        <v>3.4972379999999932</v>
      </c>
      <c r="AI83" s="13">
        <f>IF('Données projet'!$A$62&gt;35,AI82+AH83-AQ82,IF(A83&lt;'Données projet'!$A$62,$AF$205^A83,IF(A83='Données projet'!$A$62,'Données projet'!$B$62,AI82+AH83-AQ82)))</f>
        <v>372.97862999999967</v>
      </c>
      <c r="AJ83" s="13">
        <f>AI83*VLOOKUP('Données projet'!$B$10,Paramètres!$A$1:$I$89,3,0)*VLOOKUP('Données projet'!$B$10,Paramètres!$A$1:$I$89,5,0)</f>
        <v>164.85655445999987</v>
      </c>
      <c r="AK83" s="13">
        <f t="shared" si="89"/>
        <v>41.936011215828941</v>
      </c>
      <c r="AL83" s="20">
        <f t="shared" si="58"/>
        <v>360.16371855206853</v>
      </c>
      <c r="AM83" s="59">
        <f t="shared" si="59"/>
        <v>653.49705188540179</v>
      </c>
      <c r="AN83" s="59">
        <f ca="1">AVERAGE(OFFSET($AM$3,0,0,'Données projet'!$E$10+1,1))-AVERAGE(OFFSET($H$3,0,0,'Données projet'!$E$10+1,1))</f>
        <v>207.77463758757142</v>
      </c>
      <c r="AO83" s="59">
        <f t="shared" si="90"/>
        <v>180.50802165484066</v>
      </c>
      <c r="AP83" s="15">
        <f>IF(ISNA(VLOOKUP(A83,'Données projet'!$A$61:$I$81,3,0)),0,VLOOKUP(A83,'Données projet'!$A$61:$I$81,3,0))</f>
        <v>13</v>
      </c>
      <c r="AQ83" s="15">
        <f>IF(ISNA(VLOOKUP(A83,'Données projet'!$A$61:$I$81,4,0)),0,VLOOKUP(A83,'Données projet'!$A$61:$I$81,4,0))</f>
        <v>372.97863000000001</v>
      </c>
      <c r="AR83" s="16">
        <f>IF(ISNA(VLOOKUP(A83,'Données projet'!$A$61:$I$81,5,0)),0%,VLOOKUP(A83,'Données projet'!$A$61:$I$81,5,0)*VLOOKUP('Données projet'!$B$10,Paramètres!$A$1:$I$89,7,0))</f>
        <v>0.38500000000000001</v>
      </c>
      <c r="AS83" s="16">
        <f>IF(ISNA(VLOOKUP(A83,'Données projet'!$A$61:$I$81,6,0)),0%,VLOOKUP(A83,'Données projet'!$A$61:$I$81,6,0)*VLOOKUP('Données projet'!$B$10,Paramètres!$A$1:$I$89,7,0))</f>
        <v>0.16500000000000001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104.61924808377715</v>
      </c>
      <c r="AV83" s="21">
        <f>EXP(-LN(2)/25)*AV82+(1-EXP(-LN(2)/25))/(LN(2)/25)*Calculateur!AQ83*Calculateur!AS83*VLOOKUP('Données projet'!$B$10,Paramètres!$A$1:$I$89,3,0)*0.475*44/12</f>
        <v>54.853711694546519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159.47295977832368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8.875</v>
      </c>
      <c r="BD83" s="12">
        <f>IF('Données projet'!$A$88&gt;35,BD82+BC83-BL82,IF(A83&lt;'Données projet'!$A$88,$BA$205^A83,IF(A83='Données projet'!$A$88,'Données projet'!$B$88,BD82+BC83-BL82)))</f>
        <v>549.25</v>
      </c>
      <c r="BE83" s="13">
        <f>BD83*VLOOKUP('Données projet'!$B$11,Paramètres!$A$1:$I$89,3,0)*VLOOKUP('Données projet'!$B$11,Paramètres!$A$1:$I$89,5,0)</f>
        <v>328.45150000000001</v>
      </c>
      <c r="BF83" s="13">
        <f t="shared" si="91"/>
        <v>77.109175784158708</v>
      </c>
      <c r="BG83" s="20">
        <f t="shared" si="61"/>
        <v>706.35151032407646</v>
      </c>
      <c r="BH83" s="59">
        <f t="shared" si="62"/>
        <v>999.68484365740983</v>
      </c>
      <c r="BI83" s="59">
        <f ca="1">AVERAGE(OFFSET($BH$3,0,0,'Données projet'!$E$11+1,1))-AVERAGE(OFFSET($H$3,0,0,'Données projet'!$E$11+1,1))</f>
        <v>393.01180019332998</v>
      </c>
      <c r="BJ83" s="59">
        <f t="shared" si="92"/>
        <v>283.82782416294748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48.803137326986651</v>
      </c>
      <c r="BQ83" s="21">
        <f>EXP(-LN(2)/25)*BQ82+(1-EXP(-LN(2)/25))/(LN(2)/25)*Calculateur!BL83*Calculateur!BN83*VLOOKUP('Données projet'!$B$11,Paramètres!$A$1:$I$89,3,0)*0.475*44/12</f>
        <v>26.57051285851567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75.373650185502328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8.875</v>
      </c>
      <c r="BY83" s="12">
        <f>IF('Données projet'!$A$114&gt;35,BY82+BX83-CG82,IF(A83&lt;'Données projet'!$A$114,$BV$205^A83,IF(A83='Données projet'!$A$114,'Données projet'!$B$114,BY82+BX83-CG82)))</f>
        <v>549.25</v>
      </c>
      <c r="BZ83" s="13">
        <f>BY83*VLOOKUP('Données projet'!$B$12,Paramètres!$A$1:$I$89,3,0)*VLOOKUP('Données projet'!$B$12,Paramètres!$A$1:$I$89,5,0)</f>
        <v>328.45150000000001</v>
      </c>
      <c r="CA83" s="13">
        <f t="shared" si="93"/>
        <v>77.109175784158708</v>
      </c>
      <c r="CB83" s="20">
        <f t="shared" si="64"/>
        <v>706.35151032407646</v>
      </c>
      <c r="CC83" s="59">
        <f t="shared" si="65"/>
        <v>999.68484365740983</v>
      </c>
      <c r="CD83" s="59">
        <f ca="1">AVERAGE(OFFSET($CC$3,0,0,'Données projet'!$E$12+1,1))-AVERAGE(OFFSET($H$3,0,0,'Données projet'!$E$12+1,1))</f>
        <v>393.01180019332998</v>
      </c>
      <c r="CE83" s="59">
        <f t="shared" si="94"/>
        <v>283.82782416294748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48.803137326986651</v>
      </c>
      <c r="CL83" s="21">
        <f>EXP(-LN(2)/25)*CL82+(1-EXP(-LN(2)/25))/(LN(2)/25)*Calculateur!CG83*Calculateur!CI83*VLOOKUP('Données projet'!$B$12,Paramètres!$A$1:$I$89,3,0)*0.475*44/12</f>
        <v>26.57051285851567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75.373650185502328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8.875</v>
      </c>
      <c r="CT83" s="12">
        <f>IF('Données projet'!$A$140&gt;35,CT82+CS83-DB82,IF(A83&lt;'Données projet'!$A$140,$CQ$205^A83,IF(A83='Données projet'!$A$140,'Données projet'!$B$140,CT82+CS83-DB82)))</f>
        <v>549.25</v>
      </c>
      <c r="CU83" s="17">
        <f>CT83*VLOOKUP('Données projet'!$B$13,Paramètres!$A$1:$I$89,3,0)*VLOOKUP('Données projet'!$B$13,Paramètres!$A$1:$I$89,5,0)</f>
        <v>328.45150000000001</v>
      </c>
      <c r="CV83" s="13">
        <f t="shared" si="95"/>
        <v>77.109175784158708</v>
      </c>
      <c r="CW83" s="20">
        <f t="shared" si="67"/>
        <v>706.35151032407646</v>
      </c>
      <c r="CX83" s="59">
        <f t="shared" si="68"/>
        <v>999.68484365740983</v>
      </c>
      <c r="CY83" s="59">
        <f ca="1">AVERAGE(OFFSET($CX$3,0,0,'Données projet'!$E$13+1,1))-AVERAGE(OFFSET($H$3,0,0,'Données projet'!$E$13+1,1))</f>
        <v>393.01180019332998</v>
      </c>
      <c r="CZ83" s="59">
        <f t="shared" si="96"/>
        <v>283.82782416294748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48.803137326986651</v>
      </c>
      <c r="DG83" s="21">
        <f>EXP(-LN(2)/25)*DG82+(1-EXP(-LN(2)/25))/(LN(2)/25)*Calculateur!DB83*Calculateur!DD83*VLOOKUP('Données projet'!$B$13,Paramètres!$A$1:$I$89,3,0)*0.475*44/12</f>
        <v>26.57051285851567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75.373650185502328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8.875</v>
      </c>
      <c r="DO83" s="12">
        <f>IF('Données projet'!$A$166&gt;35,DO82+DN83-DW82,IF(A83&lt;'Données projet'!$A$166,$DL$205^A83,IF(A83='Données projet'!$A$166,'Données projet'!$B$166,DO82+DN83-DW82)))</f>
        <v>549.25</v>
      </c>
      <c r="DP83" s="17">
        <f>DO83*VLOOKUP('Données projet'!$B$14,Paramètres!$A$1:$I$89,3,0)*VLOOKUP('Données projet'!$B$14,Paramètres!$A$1:$I$89,5,0)</f>
        <v>328.45150000000001</v>
      </c>
      <c r="DQ83" s="13">
        <f t="shared" si="97"/>
        <v>77.109175784158708</v>
      </c>
      <c r="DR83" s="20">
        <f t="shared" si="70"/>
        <v>706.35151032407646</v>
      </c>
      <c r="DS83" s="59">
        <f t="shared" si="71"/>
        <v>999.68484365740983</v>
      </c>
      <c r="DT83" s="59">
        <f ca="1">AVERAGE(OFFSET($DS$3,0,0,'Données projet'!$E$14+1,1))-AVERAGE(OFFSET($H$3,0,0,'Données projet'!$E$14+1,1))</f>
        <v>393.01180019332998</v>
      </c>
      <c r="DU83" s="59">
        <f t="shared" si="98"/>
        <v>283.82782416294748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48.803137326986651</v>
      </c>
      <c r="EB83" s="21">
        <f>EXP(-LN(2)/25)*EB82+(1-EXP(-LN(2)/25))/(LN(2)/25)*Calculateur!DW83*Calculateur!DY83*VLOOKUP('Données projet'!$B$14,Paramètres!$A$1:$I$89,3,0)*0.475*44/12</f>
        <v>26.57051285851567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75.373650185502328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9.3506400000000092</v>
      </c>
      <c r="D84" s="11">
        <f t="shared" si="86"/>
        <v>3.3219070032095042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19.56463396986732</v>
      </c>
      <c r="H84" s="67">
        <f t="shared" si="56"/>
        <v>278.73801936392323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-1.1368683772161603E-13</v>
      </c>
      <c r="O84" s="13">
        <f>N84*VLOOKUP('Données projet'!$B$9,Paramètres!$A$1:$I$89,3,0)*VLOOKUP('Données projet'!$B$9,Paramètres!$A$1:$I$89,5,0)</f>
        <v>-5.3205440053716299E-14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189.8770435341392</v>
      </c>
      <c r="T84" s="59">
        <f t="shared" si="88"/>
        <v>230.18380961122767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72.423975260948367</v>
      </c>
      <c r="AA84" s="21">
        <f>EXP(-LN(2)/25)*AA83+(1-EXP(-LN(2)/25))/(LN(2)/25)*Calculateur!V84*Calculateur!X84*VLOOKUP('Données projet'!$B$9,Paramètres!$A$1:$I$89,3,0)*0.475*44/12</f>
        <v>34.784700047708029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107.2086753086564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-3.4106051316484809E-13</v>
      </c>
      <c r="AJ84" s="13">
        <f>AI84*VLOOKUP('Données projet'!$B$10,Paramètres!$A$1:$I$89,3,0)*VLOOKUP('Données projet'!$B$10,Paramètres!$A$1:$I$89,5,0)</f>
        <v>-1.5074874681886286E-13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207.77463758757142</v>
      </c>
      <c r="AO84" s="59">
        <f t="shared" si="90"/>
        <v>180.50802165484066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102.56772844029476</v>
      </c>
      <c r="AV84" s="21">
        <f>EXP(-LN(2)/25)*AV83+(1-EXP(-LN(2)/25))/(LN(2)/25)*Calculateur!AQ84*Calculateur!AS84*VLOOKUP('Données projet'!$B$10,Paramètres!$A$1:$I$89,3,0)*0.475*44/12</f>
        <v>53.353734063627819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155.92146250392258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8.875</v>
      </c>
      <c r="BD84" s="12">
        <f>IF('Données projet'!$A$88&gt;35,BD83+BC84-BL83,IF(A84&lt;'Données projet'!$A$88,$BA$205^A84,IF(A84='Données projet'!$A$88,'Données projet'!$B$88,BD83+BC84-BL83)))</f>
        <v>558.125</v>
      </c>
      <c r="BE84" s="13">
        <f>BD84*VLOOKUP('Données projet'!$B$11,Paramètres!$A$1:$I$89,3,0)*VLOOKUP('Données projet'!$B$11,Paramètres!$A$1:$I$89,5,0)</f>
        <v>333.75875000000002</v>
      </c>
      <c r="BF84" s="13">
        <f t="shared" si="91"/>
        <v>78.209077528625059</v>
      </c>
      <c r="BG84" s="20">
        <f t="shared" si="61"/>
        <v>717.5106329456886</v>
      </c>
      <c r="BH84" s="59">
        <f t="shared" si="62"/>
        <v>1010.843966279022</v>
      </c>
      <c r="BI84" s="59">
        <f ca="1">AVERAGE(OFFSET($BH$3,0,0,'Données projet'!$E$11+1,1))-AVERAGE(OFFSET($H$3,0,0,'Données projet'!$E$11+1,1))</f>
        <v>393.01180019332998</v>
      </c>
      <c r="BJ84" s="59">
        <f t="shared" si="92"/>
        <v>283.82782416294748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47.846137570978968</v>
      </c>
      <c r="BQ84" s="21">
        <f>EXP(-LN(2)/25)*BQ83+(1-EXP(-LN(2)/25))/(LN(2)/25)*Calculateur!BL84*Calculateur!BN84*VLOOKUP('Données projet'!$B$11,Paramètres!$A$1:$I$89,3,0)*0.475*44/12</f>
        <v>25.843940787117017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73.690078358095988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8.875</v>
      </c>
      <c r="BY84" s="12">
        <f>IF('Données projet'!$A$114&gt;35,BY83+BX84-CG83,IF(A84&lt;'Données projet'!$A$114,$BV$205^A84,IF(A84='Données projet'!$A$114,'Données projet'!$B$114,BY83+BX84-CG83)))</f>
        <v>558.125</v>
      </c>
      <c r="BZ84" s="13">
        <f>BY84*VLOOKUP('Données projet'!$B$12,Paramètres!$A$1:$I$89,3,0)*VLOOKUP('Données projet'!$B$12,Paramètres!$A$1:$I$89,5,0)</f>
        <v>333.75875000000002</v>
      </c>
      <c r="CA84" s="13">
        <f t="shared" si="93"/>
        <v>78.209077528625059</v>
      </c>
      <c r="CB84" s="20">
        <f t="shared" si="64"/>
        <v>717.5106329456886</v>
      </c>
      <c r="CC84" s="59">
        <f t="shared" si="65"/>
        <v>1010.843966279022</v>
      </c>
      <c r="CD84" s="59">
        <f ca="1">AVERAGE(OFFSET($CC$3,0,0,'Données projet'!$E$12+1,1))-AVERAGE(OFFSET($H$3,0,0,'Données projet'!$E$12+1,1))</f>
        <v>393.01180019332998</v>
      </c>
      <c r="CE84" s="59">
        <f t="shared" si="94"/>
        <v>283.82782416294748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47.846137570978968</v>
      </c>
      <c r="CL84" s="21">
        <f>EXP(-LN(2)/25)*CL83+(1-EXP(-LN(2)/25))/(LN(2)/25)*Calculateur!CG84*Calculateur!CI84*VLOOKUP('Données projet'!$B$12,Paramètres!$A$1:$I$89,3,0)*0.475*44/12</f>
        <v>25.843940787117017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73.690078358095988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8.875</v>
      </c>
      <c r="CT84" s="12">
        <f>IF('Données projet'!$A$140&gt;35,CT83+CS84-DB83,IF(A84&lt;'Données projet'!$A$140,$CQ$205^A84,IF(A84='Données projet'!$A$140,'Données projet'!$B$140,CT83+CS84-DB83)))</f>
        <v>558.125</v>
      </c>
      <c r="CU84" s="17">
        <f>CT84*VLOOKUP('Données projet'!$B$13,Paramètres!$A$1:$I$89,3,0)*VLOOKUP('Données projet'!$B$13,Paramètres!$A$1:$I$89,5,0)</f>
        <v>333.75875000000002</v>
      </c>
      <c r="CV84" s="13">
        <f t="shared" si="95"/>
        <v>78.209077528625059</v>
      </c>
      <c r="CW84" s="20">
        <f t="shared" si="67"/>
        <v>717.5106329456886</v>
      </c>
      <c r="CX84" s="59">
        <f t="shared" si="68"/>
        <v>1010.843966279022</v>
      </c>
      <c r="CY84" s="59">
        <f ca="1">AVERAGE(OFFSET($CX$3,0,0,'Données projet'!$E$13+1,1))-AVERAGE(OFFSET($H$3,0,0,'Données projet'!$E$13+1,1))</f>
        <v>393.01180019332998</v>
      </c>
      <c r="CZ84" s="59">
        <f t="shared" si="96"/>
        <v>283.82782416294748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47.846137570978968</v>
      </c>
      <c r="DG84" s="21">
        <f>EXP(-LN(2)/25)*DG83+(1-EXP(-LN(2)/25))/(LN(2)/25)*Calculateur!DB84*Calculateur!DD84*VLOOKUP('Données projet'!$B$13,Paramètres!$A$1:$I$89,3,0)*0.475*44/12</f>
        <v>25.843940787117017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73.690078358095988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8.875</v>
      </c>
      <c r="DO84" s="12">
        <f>IF('Données projet'!$A$166&gt;35,DO83+DN84-DW83,IF(A84&lt;'Données projet'!$A$166,$DL$205^A84,IF(A84='Données projet'!$A$166,'Données projet'!$B$166,DO83+DN84-DW83)))</f>
        <v>558.125</v>
      </c>
      <c r="DP84" s="17">
        <f>DO84*VLOOKUP('Données projet'!$B$14,Paramètres!$A$1:$I$89,3,0)*VLOOKUP('Données projet'!$B$14,Paramètres!$A$1:$I$89,5,0)</f>
        <v>333.75875000000002</v>
      </c>
      <c r="DQ84" s="13">
        <f t="shared" si="97"/>
        <v>78.209077528625059</v>
      </c>
      <c r="DR84" s="20">
        <f t="shared" si="70"/>
        <v>717.5106329456886</v>
      </c>
      <c r="DS84" s="59">
        <f t="shared" si="71"/>
        <v>1010.843966279022</v>
      </c>
      <c r="DT84" s="59">
        <f ca="1">AVERAGE(OFFSET($DS$3,0,0,'Données projet'!$E$14+1,1))-AVERAGE(OFFSET($H$3,0,0,'Données projet'!$E$14+1,1))</f>
        <v>393.01180019332998</v>
      </c>
      <c r="DU84" s="59">
        <f t="shared" si="98"/>
        <v>283.82782416294748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47.846137570978968</v>
      </c>
      <c r="EB84" s="21">
        <f>EXP(-LN(2)/25)*EB83+(1-EXP(-LN(2)/25))/(LN(2)/25)*Calculateur!DW84*Calculateur!DY84*VLOOKUP('Données projet'!$B$14,Paramètres!$A$1:$I$89,3,0)*0.475*44/12</f>
        <v>25.843940787117017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73.690078358095988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9.4660800000000087</v>
      </c>
      <c r="D85" s="11">
        <f t="shared" si="86"/>
        <v>3.3581185789183601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19.798762718330114</v>
      </c>
      <c r="H85" s="67">
        <f t="shared" si="56"/>
        <v>279.00214585828286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-1.1368683772161603E-13</v>
      </c>
      <c r="O85" s="13">
        <f>N85*VLOOKUP('Données projet'!$B$9,Paramètres!$A$1:$I$89,3,0)*VLOOKUP('Données projet'!$B$9,Paramètres!$A$1:$I$89,5,0)</f>
        <v>-5.3205440053716299E-14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189.8770435341392</v>
      </c>
      <c r="T85" s="59">
        <f t="shared" si="88"/>
        <v>230.18380961122767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71.003785280344232</v>
      </c>
      <c r="AA85" s="21">
        <f>EXP(-LN(2)/25)*AA84+(1-EXP(-LN(2)/25))/(LN(2)/25)*Calculateur!V85*Calculateur!X85*VLOOKUP('Données projet'!$B$9,Paramètres!$A$1:$I$89,3,0)*0.475*44/12</f>
        <v>33.833510595655575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104.83729587599981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-3.4106051316484809E-13</v>
      </c>
      <c r="AJ85" s="13">
        <f>AI85*VLOOKUP('Données projet'!$B$10,Paramètres!$A$1:$I$89,3,0)*VLOOKUP('Données projet'!$B$10,Paramètres!$A$1:$I$89,5,0)</f>
        <v>-1.5074874681886286E-13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207.77463758757142</v>
      </c>
      <c r="AO85" s="59">
        <f t="shared" si="90"/>
        <v>180.50802165484066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100.55643784571762</v>
      </c>
      <c r="AV85" s="21">
        <f>EXP(-LN(2)/25)*AV84+(1-EXP(-LN(2)/25))/(LN(2)/25)*Calculateur!AQ85*Calculateur!AS85*VLOOKUP('Données projet'!$B$10,Paramètres!$A$1:$I$89,3,0)*0.475*44/12</f>
        <v>51.894773399906981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152.45121124562462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>
        <f>VLOOKUP(A85,'Données projet'!$A$87:$I$107,2,0)</f>
        <v>567</v>
      </c>
      <c r="BB85" s="12">
        <f>VLOOKUP(A85,'Données projet'!$A$87:$I$107,9,0)</f>
        <v>8.875</v>
      </c>
      <c r="BC85" s="12">
        <f t="array" ref="BC85">INDEX(BB:BB,MIN(IF(ISNUMBER(BB85:BB281),ROW(BB85:BB281),"")))</f>
        <v>8.875</v>
      </c>
      <c r="BD85" s="12">
        <f>IF('Données projet'!$A$88&gt;35,BD84+BC85-BL84,IF(A85&lt;'Données projet'!$A$88,$BA$205^A85,IF(A85='Données projet'!$A$88,'Données projet'!$B$88,BD84+BC85-BL84)))</f>
        <v>567</v>
      </c>
      <c r="BE85" s="13">
        <f>BD85*VLOOKUP('Données projet'!$B$11,Paramètres!$A$1:$I$89,3,0)*VLOOKUP('Données projet'!$B$11,Paramètres!$A$1:$I$89,5,0)</f>
        <v>339.06600000000003</v>
      </c>
      <c r="BF85" s="13">
        <f t="shared" si="91"/>
        <v>79.30694522486489</v>
      </c>
      <c r="BG85" s="20">
        <f t="shared" si="61"/>
        <v>728.66621293330627</v>
      </c>
      <c r="BH85" s="59">
        <f t="shared" si="62"/>
        <v>1021.9995462666395</v>
      </c>
      <c r="BI85" s="59">
        <f ca="1">AVERAGE(OFFSET($BH$3,0,0,'Données projet'!$E$11+1,1))-AVERAGE(OFFSET($H$3,0,0,'Données projet'!$E$11+1,1))</f>
        <v>393.01180019332998</v>
      </c>
      <c r="BJ85" s="59">
        <f t="shared" si="92"/>
        <v>283.82782416294748</v>
      </c>
      <c r="BK85" s="15">
        <f>IF(ISNA(VLOOKUP(A85,'Données projet'!$A$87:$I$107,3,0)),0,VLOOKUP(A85,'Données projet'!$A$87:$I$107,3,0))</f>
        <v>11</v>
      </c>
      <c r="BL85" s="15">
        <f>IF(ISNA(VLOOKUP(A85,'Données projet'!$A$87:$I$107,4,0)),0,VLOOKUP(A85,'Données projet'!$A$87:$I$107,4,0))</f>
        <v>26</v>
      </c>
      <c r="BM85" s="16">
        <f>IF(ISNA(VLOOKUP(A85,'Données projet'!$A$87:$I$107,5,0)),0%,VLOOKUP(A85,'Données projet'!$A$87:$I$107,5,0)*VLOOKUP('Données projet'!$B$11,Paramètres!$A$1:$I$89,7,0))</f>
        <v>0.315</v>
      </c>
      <c r="BN85" s="16">
        <f>IF(ISNA(VLOOKUP(A85,'Données projet'!$A$87:$I$107,6,0)),0%,VLOOKUP(A85,'Données projet'!$A$87:$I$107,6,0)*VLOOKUP('Données projet'!$B$11,Paramètres!$A$1:$I$89,7,0))</f>
        <v>0.13500000000000001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53.404912604724181</v>
      </c>
      <c r="BQ85" s="21">
        <f>EXP(-LN(2)/25)*BQ84+(1-EXP(-LN(2)/25))/(LN(2)/25)*Calculateur!BL85*Calculateur!BN85*VLOOKUP('Données projet'!$B$11,Paramètres!$A$1:$I$89,3,0)*0.475*44/12</f>
        <v>27.910705757135851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81.315618361860032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>
        <f>VLOOKUP(A85,'Données projet'!$A$113:$I$133,2,0)</f>
        <v>567</v>
      </c>
      <c r="BW85" s="12">
        <f>VLOOKUP(A85,'Données projet'!$A$113:$I$133,9,0)</f>
        <v>8.875</v>
      </c>
      <c r="BX85" s="12">
        <f t="array" ref="BX85">INDEX(BW:BW,MIN(IF(ISNUMBER(BW85:BW281),ROW(BW85:BW281),"")))</f>
        <v>8.875</v>
      </c>
      <c r="BY85" s="12">
        <f>IF('Données projet'!$A$114&gt;35,BY84+BX85-CG84,IF(A85&lt;'Données projet'!$A$114,$BV$205^A85,IF(A85='Données projet'!$A$114,'Données projet'!$B$114,BY84+BX85-CG84)))</f>
        <v>567</v>
      </c>
      <c r="BZ85" s="13">
        <f>BY85*VLOOKUP('Données projet'!$B$12,Paramètres!$A$1:$I$89,3,0)*VLOOKUP('Données projet'!$B$12,Paramètres!$A$1:$I$89,5,0)</f>
        <v>339.06600000000003</v>
      </c>
      <c r="CA85" s="13">
        <f t="shared" si="93"/>
        <v>79.30694522486489</v>
      </c>
      <c r="CB85" s="20">
        <f t="shared" si="64"/>
        <v>728.66621293330627</v>
      </c>
      <c r="CC85" s="59">
        <f t="shared" si="65"/>
        <v>1021.9995462666395</v>
      </c>
      <c r="CD85" s="59">
        <f ca="1">AVERAGE(OFFSET($CC$3,0,0,'Données projet'!$E$12+1,1))-AVERAGE(OFFSET($H$3,0,0,'Données projet'!$E$12+1,1))</f>
        <v>393.01180019332998</v>
      </c>
      <c r="CE85" s="59">
        <f t="shared" si="94"/>
        <v>283.82782416294748</v>
      </c>
      <c r="CF85" s="15">
        <f>IF(ISNA(VLOOKUP(A85,'Données projet'!$A$113:$I$133,3,0)),0,VLOOKUP(A85,'Données projet'!$A$113:$I$133,3,0))</f>
        <v>11</v>
      </c>
      <c r="CG85" s="15">
        <f>IF(ISNA(VLOOKUP(A85,'Données projet'!$A$113:$I$133,4,0)),0,VLOOKUP(A85,'Données projet'!$A$113:$I$133,4,0))</f>
        <v>26</v>
      </c>
      <c r="CH85" s="16">
        <f>IF(ISNA(VLOOKUP(A85,'Données projet'!$A$113:$I$133,5,0)),0%,VLOOKUP(A85,'Données projet'!$A$113:$I$133,5,0)*VLOOKUP('Données projet'!$B$12,Paramètres!$A$1:$I$89,7,0))</f>
        <v>0.315</v>
      </c>
      <c r="CI85" s="16">
        <f>IF(ISNA(VLOOKUP(A85,'Données projet'!$A$113:$I$133,6,0)),0%,VLOOKUP(A85,'Données projet'!$A$113:$I$133,6,0)*VLOOKUP('Données projet'!$B$12,Paramètres!$A$1:$I$89,7,0))</f>
        <v>0.13500000000000001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53.404912604724181</v>
      </c>
      <c r="CL85" s="21">
        <f>EXP(-LN(2)/25)*CL84+(1-EXP(-LN(2)/25))/(LN(2)/25)*Calculateur!CG85*Calculateur!CI85*VLOOKUP('Données projet'!$B$12,Paramètres!$A$1:$I$89,3,0)*0.475*44/12</f>
        <v>27.910705757135851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81.315618361860032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>
        <f>VLOOKUP(A85,'Données projet'!$A$139:$I$159,2,0)</f>
        <v>567</v>
      </c>
      <c r="CR85" s="12">
        <f>VLOOKUP(A85,'Données projet'!$A$139:$I$159,9,0)</f>
        <v>8.875</v>
      </c>
      <c r="CS85" s="12">
        <f t="array" ref="CS85">INDEX(CR:CR,MIN(IF(ISNUMBER(CR85:CR281),ROW(CR85:CR281),"")))</f>
        <v>8.875</v>
      </c>
      <c r="CT85" s="12">
        <f>IF('Données projet'!$A$140&gt;35,CT84+CS85-DB84,IF(A85&lt;'Données projet'!$A$140,$CQ$205^A85,IF(A85='Données projet'!$A$140,'Données projet'!$B$140,CT84+CS85-DB84)))</f>
        <v>567</v>
      </c>
      <c r="CU85" s="17">
        <f>CT85*VLOOKUP('Données projet'!$B$13,Paramètres!$A$1:$I$89,3,0)*VLOOKUP('Données projet'!$B$13,Paramètres!$A$1:$I$89,5,0)</f>
        <v>339.06600000000003</v>
      </c>
      <c r="CV85" s="13">
        <f t="shared" si="95"/>
        <v>79.30694522486489</v>
      </c>
      <c r="CW85" s="20">
        <f t="shared" si="67"/>
        <v>728.66621293330627</v>
      </c>
      <c r="CX85" s="59">
        <f t="shared" si="68"/>
        <v>1021.9995462666395</v>
      </c>
      <c r="CY85" s="59">
        <f ca="1">AVERAGE(OFFSET($CX$3,0,0,'Données projet'!$E$13+1,1))-AVERAGE(OFFSET($H$3,0,0,'Données projet'!$E$13+1,1))</f>
        <v>393.01180019332998</v>
      </c>
      <c r="CZ85" s="59">
        <f t="shared" si="96"/>
        <v>283.82782416294748</v>
      </c>
      <c r="DA85" s="15">
        <f>IF(ISNA(VLOOKUP(A85,'Données projet'!$A$139:$I$159,3,0)),0,VLOOKUP(A85,'Données projet'!$A$139:$I$159,3,0))</f>
        <v>11</v>
      </c>
      <c r="DB85" s="15">
        <f>IF(ISNA(VLOOKUP(A85,'Données projet'!$A$139:$I$159,4,0)),0,VLOOKUP(A85,'Données projet'!$A$139:$I$159,4,0))</f>
        <v>26</v>
      </c>
      <c r="DC85" s="16">
        <f>IF(ISNA(VLOOKUP(A85,'Données projet'!$A$139:$I$159,5,0)),0%,VLOOKUP(A85,'Données projet'!$A$139:$I$159,5,0)*VLOOKUP('Données projet'!$B$13,Paramètres!$A$1:$I$89,7,0))</f>
        <v>0.315</v>
      </c>
      <c r="DD85" s="16">
        <f>IF(ISNA(VLOOKUP(A85,'Données projet'!$A$139:$I$159,6,0)),0%,VLOOKUP(A85,'Données projet'!$A$139:$I$159,6,0)*VLOOKUP('Données projet'!$B$13,Paramètres!$A$1:$I$89,7,0))</f>
        <v>0.13500000000000001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53.404912604724181</v>
      </c>
      <c r="DG85" s="21">
        <f>EXP(-LN(2)/25)*DG84+(1-EXP(-LN(2)/25))/(LN(2)/25)*Calculateur!DB85*Calculateur!DD85*VLOOKUP('Données projet'!$B$13,Paramètres!$A$1:$I$89,3,0)*0.475*44/12</f>
        <v>27.910705757135851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81.315618361860032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>
        <f>VLOOKUP(A85,'Données projet'!$A$165:$I$185,2,0)</f>
        <v>567</v>
      </c>
      <c r="DM85" s="12">
        <f>VLOOKUP(A85,'Données projet'!$A$165:$I$185,9,0)</f>
        <v>8.875</v>
      </c>
      <c r="DN85" s="12">
        <f t="array" ref="DN85">INDEX(DM:DM,MIN(IF(ISNUMBER(DM85:DM281),ROW(DM85:DM281),"")))</f>
        <v>8.875</v>
      </c>
      <c r="DO85" s="12">
        <f>IF('Données projet'!$A$166&gt;35,DO84+DN85-DW84,IF(A85&lt;'Données projet'!$A$166,$DL$205^A85,IF(A85='Données projet'!$A$166,'Données projet'!$B$166,DO84+DN85-DW84)))</f>
        <v>567</v>
      </c>
      <c r="DP85" s="17">
        <f>DO85*VLOOKUP('Données projet'!$B$14,Paramètres!$A$1:$I$89,3,0)*VLOOKUP('Données projet'!$B$14,Paramètres!$A$1:$I$89,5,0)</f>
        <v>339.06600000000003</v>
      </c>
      <c r="DQ85" s="13">
        <f t="shared" si="97"/>
        <v>79.30694522486489</v>
      </c>
      <c r="DR85" s="20">
        <f t="shared" si="70"/>
        <v>728.66621293330627</v>
      </c>
      <c r="DS85" s="59">
        <f t="shared" si="71"/>
        <v>1021.9995462666395</v>
      </c>
      <c r="DT85" s="59">
        <f ca="1">AVERAGE(OFFSET($DS$3,0,0,'Données projet'!$E$14+1,1))-AVERAGE(OFFSET($H$3,0,0,'Données projet'!$E$14+1,1))</f>
        <v>393.01180019332998</v>
      </c>
      <c r="DU85" s="59">
        <f t="shared" si="98"/>
        <v>283.82782416294748</v>
      </c>
      <c r="DV85" s="15">
        <f>IF(ISNA(VLOOKUP(A85,'Données projet'!$A$165:$I$185,3,0)),0,VLOOKUP(A85,'Données projet'!$A$165:$I$185,3,0))</f>
        <v>11</v>
      </c>
      <c r="DW85" s="15">
        <f>IF(ISNA(VLOOKUP(A85,'Données projet'!$A$165:$I$185,4,0)),0,VLOOKUP(A85,'Données projet'!$A$165:$I$185,4,0))</f>
        <v>26</v>
      </c>
      <c r="DX85" s="16">
        <f>IF(ISNA(VLOOKUP(A85,'Données projet'!$A$165:$I$185,5,0)),0%,VLOOKUP(A85,'Données projet'!$A$165:$I$185,5,0)*VLOOKUP('Données projet'!$B$14,Paramètres!$A$1:$I$89,7,0))</f>
        <v>0.315</v>
      </c>
      <c r="DY85" s="16">
        <f>IF(ISNA(VLOOKUP(A85,'Données projet'!$A$165:$I$185,6,0)),0%,VLOOKUP(A85,'Données projet'!$A$165:$I$185,6,0)*VLOOKUP('Données projet'!$B$14,Paramètres!$A$1:$I$89,7,0))</f>
        <v>0.13500000000000001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53.404912604724181</v>
      </c>
      <c r="EB85" s="21">
        <f>EXP(-LN(2)/25)*EB84+(1-EXP(-LN(2)/25))/(LN(2)/25)*Calculateur!DW85*Calculateur!DY85*VLOOKUP('Données projet'!$B$14,Paramètres!$A$1:$I$89,3,0)*0.475*44/12</f>
        <v>27.910705757135851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81.315618361860032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9.5815200000000083</v>
      </c>
      <c r="D86" s="11">
        <f t="shared" si="86"/>
        <v>3.3942787869736319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20.032812162345273</v>
      </c>
      <c r="H86" s="67">
        <f t="shared" si="56"/>
        <v>279.26618288731243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-1.1368683772161603E-13</v>
      </c>
      <c r="O86" s="13">
        <f>N86*VLOOKUP('Données projet'!$B$9,Paramètres!$A$1:$I$89,3,0)*VLOOKUP('Données projet'!$B$9,Paramètres!$A$1:$I$89,5,0)</f>
        <v>-5.3205440053716299E-14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189.8770435341392</v>
      </c>
      <c r="T86" s="59">
        <f t="shared" si="88"/>
        <v>230.18380961122767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69.611444359029392</v>
      </c>
      <c r="AA86" s="21">
        <f>EXP(-LN(2)/25)*AA85+(1-EXP(-LN(2)/25))/(LN(2)/25)*Calculateur!V86*Calculateur!X86*VLOOKUP('Données projet'!$B$9,Paramètres!$A$1:$I$89,3,0)*0.475*44/12</f>
        <v>32.908331469190379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102.51977582821976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-3.4106051316484809E-13</v>
      </c>
      <c r="AJ86" s="13">
        <f>AI86*VLOOKUP('Données projet'!$B$10,Paramètres!$A$1:$I$89,3,0)*VLOOKUP('Données projet'!$B$10,Paramètres!$A$1:$I$89,5,0)</f>
        <v>-1.5074874681886286E-13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207.77463758757142</v>
      </c>
      <c r="AO86" s="59">
        <f t="shared" si="90"/>
        <v>180.50802165484066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98.584587432934015</v>
      </c>
      <c r="AV86" s="21">
        <f>EXP(-LN(2)/25)*AV85+(1-EXP(-LN(2)/25))/(LN(2)/25)*Calculateur!AQ86*Calculateur!AS86*VLOOKUP('Données projet'!$B$10,Paramètres!$A$1:$I$89,3,0)*0.475*44/12</f>
        <v>50.475708092258998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149.060295525193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6.9000000000000057</v>
      </c>
      <c r="BD86" s="12">
        <f>IF('Données projet'!$A$88&gt;35,BD85+BC86-BL85,IF(A86&lt;'Données projet'!$A$88,$BA$205^A86,IF(A86='Données projet'!$A$88,'Données projet'!$B$88,BD85+BC86-BL85)))</f>
        <v>547.9</v>
      </c>
      <c r="BE86" s="13">
        <f>BD86*VLOOKUP('Données projet'!$B$11,Paramètres!$A$1:$I$89,3,0)*VLOOKUP('Données projet'!$B$11,Paramètres!$A$1:$I$89,5,0)</f>
        <v>327.64420000000001</v>
      </c>
      <c r="BF86" s="13">
        <f t="shared" si="91"/>
        <v>76.941686259817288</v>
      </c>
      <c r="BG86" s="20">
        <f t="shared" si="61"/>
        <v>704.65375190251507</v>
      </c>
      <c r="BH86" s="59">
        <f t="shared" si="62"/>
        <v>997.98708523584833</v>
      </c>
      <c r="BI86" s="59">
        <f ca="1">AVERAGE(OFFSET($BH$3,0,0,'Données projet'!$E$11+1,1))-AVERAGE(OFFSET($H$3,0,0,'Données projet'!$E$11+1,1))</f>
        <v>393.01180019332998</v>
      </c>
      <c r="BJ86" s="59">
        <f t="shared" si="92"/>
        <v>283.82782416294748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52.357674842325835</v>
      </c>
      <c r="BQ86" s="21">
        <f>EXP(-LN(2)/25)*BQ85+(1-EXP(-LN(2)/25))/(LN(2)/25)*Calculateur!BL86*Calculateur!BN86*VLOOKUP('Données projet'!$B$11,Paramètres!$A$1:$I$89,3,0)*0.475*44/12</f>
        <v>27.147486040446747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79.505160882772586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6.9000000000000057</v>
      </c>
      <c r="BY86" s="12">
        <f>IF('Données projet'!$A$114&gt;35,BY85+BX86-CG85,IF(A86&lt;'Données projet'!$A$114,$BV$205^A86,IF(A86='Données projet'!$A$114,'Données projet'!$B$114,BY85+BX86-CG85)))</f>
        <v>547.9</v>
      </c>
      <c r="BZ86" s="13">
        <f>BY86*VLOOKUP('Données projet'!$B$12,Paramètres!$A$1:$I$89,3,0)*VLOOKUP('Données projet'!$B$12,Paramètres!$A$1:$I$89,5,0)</f>
        <v>327.64420000000001</v>
      </c>
      <c r="CA86" s="13">
        <f t="shared" si="93"/>
        <v>76.941686259817288</v>
      </c>
      <c r="CB86" s="20">
        <f t="shared" si="64"/>
        <v>704.65375190251507</v>
      </c>
      <c r="CC86" s="59">
        <f t="shared" si="65"/>
        <v>997.98708523584833</v>
      </c>
      <c r="CD86" s="59">
        <f ca="1">AVERAGE(OFFSET($CC$3,0,0,'Données projet'!$E$12+1,1))-AVERAGE(OFFSET($H$3,0,0,'Données projet'!$E$12+1,1))</f>
        <v>393.01180019332998</v>
      </c>
      <c r="CE86" s="59">
        <f t="shared" si="94"/>
        <v>283.82782416294748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52.357674842325835</v>
      </c>
      <c r="CL86" s="21">
        <f>EXP(-LN(2)/25)*CL85+(1-EXP(-LN(2)/25))/(LN(2)/25)*Calculateur!CG86*Calculateur!CI86*VLOOKUP('Données projet'!$B$12,Paramètres!$A$1:$I$89,3,0)*0.475*44/12</f>
        <v>27.147486040446747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79.505160882772586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6.9000000000000057</v>
      </c>
      <c r="CT86" s="12">
        <f>IF('Données projet'!$A$140&gt;35,CT85+CS86-DB85,IF(A86&lt;'Données projet'!$A$140,$CQ$205^A86,IF(A86='Données projet'!$A$140,'Données projet'!$B$140,CT85+CS86-DB85)))</f>
        <v>547.9</v>
      </c>
      <c r="CU86" s="17">
        <f>CT86*VLOOKUP('Données projet'!$B$13,Paramètres!$A$1:$I$89,3,0)*VLOOKUP('Données projet'!$B$13,Paramètres!$A$1:$I$89,5,0)</f>
        <v>327.64420000000001</v>
      </c>
      <c r="CV86" s="13">
        <f t="shared" si="95"/>
        <v>76.941686259817288</v>
      </c>
      <c r="CW86" s="20">
        <f t="shared" si="67"/>
        <v>704.65375190251507</v>
      </c>
      <c r="CX86" s="59">
        <f t="shared" si="68"/>
        <v>997.98708523584833</v>
      </c>
      <c r="CY86" s="59">
        <f ca="1">AVERAGE(OFFSET($CX$3,0,0,'Données projet'!$E$13+1,1))-AVERAGE(OFFSET($H$3,0,0,'Données projet'!$E$13+1,1))</f>
        <v>393.01180019332998</v>
      </c>
      <c r="CZ86" s="59">
        <f t="shared" si="96"/>
        <v>283.82782416294748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52.357674842325835</v>
      </c>
      <c r="DG86" s="21">
        <f>EXP(-LN(2)/25)*DG85+(1-EXP(-LN(2)/25))/(LN(2)/25)*Calculateur!DB86*Calculateur!DD86*VLOOKUP('Données projet'!$B$13,Paramètres!$A$1:$I$89,3,0)*0.475*44/12</f>
        <v>27.147486040446747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79.505160882772586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6.9000000000000057</v>
      </c>
      <c r="DO86" s="12">
        <f>IF('Données projet'!$A$166&gt;35,DO85+DN86-DW85,IF(A86&lt;'Données projet'!$A$166,$DL$205^A86,IF(A86='Données projet'!$A$166,'Données projet'!$B$166,DO85+DN86-DW85)))</f>
        <v>547.9</v>
      </c>
      <c r="DP86" s="17">
        <f>DO86*VLOOKUP('Données projet'!$B$14,Paramètres!$A$1:$I$89,3,0)*VLOOKUP('Données projet'!$B$14,Paramètres!$A$1:$I$89,5,0)</f>
        <v>327.64420000000001</v>
      </c>
      <c r="DQ86" s="13">
        <f t="shared" si="97"/>
        <v>76.941686259817288</v>
      </c>
      <c r="DR86" s="20">
        <f t="shared" si="70"/>
        <v>704.65375190251507</v>
      </c>
      <c r="DS86" s="59">
        <f t="shared" si="71"/>
        <v>997.98708523584833</v>
      </c>
      <c r="DT86" s="59">
        <f ca="1">AVERAGE(OFFSET($DS$3,0,0,'Données projet'!$E$14+1,1))-AVERAGE(OFFSET($H$3,0,0,'Données projet'!$E$14+1,1))</f>
        <v>393.01180019332998</v>
      </c>
      <c r="DU86" s="59">
        <f t="shared" si="98"/>
        <v>283.82782416294748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52.357674842325835</v>
      </c>
      <c r="EB86" s="21">
        <f>EXP(-LN(2)/25)*EB85+(1-EXP(-LN(2)/25))/(LN(2)/25)*Calculateur!DW86*Calculateur!DY86*VLOOKUP('Données projet'!$B$14,Paramètres!$A$1:$I$89,3,0)*0.475*44/12</f>
        <v>27.147486040446747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79.505160882772586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9.6969600000000078</v>
      </c>
      <c r="D87" s="11">
        <f t="shared" si="86"/>
        <v>3.4303883178505399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20.266783367909621</v>
      </c>
      <c r="H87" s="67">
        <f t="shared" si="56"/>
        <v>279.53013165358971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-1.1368683772161603E-13</v>
      </c>
      <c r="O87" s="13">
        <f>N87*VLOOKUP('Données projet'!$B$9,Paramètres!$A$1:$I$89,3,0)*VLOOKUP('Données projet'!$B$9,Paramètres!$A$1:$I$89,5,0)</f>
        <v>-5.3205440053716299E-14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189.8770435341392</v>
      </c>
      <c r="T87" s="59">
        <f t="shared" si="88"/>
        <v>230.18380961122767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68.246406393937434</v>
      </c>
      <c r="AA87" s="21">
        <f>EXP(-LN(2)/25)*AA86+(1-EXP(-LN(2)/25))/(LN(2)/25)*Calculateur!V87*Calculateur!X87*VLOOKUP('Données projet'!$B$9,Paramètres!$A$1:$I$89,3,0)*0.475*44/12</f>
        <v>32.008451414591427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100.25485780852887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-3.4106051316484809E-13</v>
      </c>
      <c r="AJ87" s="13">
        <f>AI87*VLOOKUP('Données projet'!$B$10,Paramètres!$A$1:$I$89,3,0)*VLOOKUP('Données projet'!$B$10,Paramètres!$A$1:$I$89,5,0)</f>
        <v>-1.5074874681886286E-13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207.77463758757142</v>
      </c>
      <c r="AO87" s="59">
        <f t="shared" si="90"/>
        <v>180.50802165484066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96.651403804035098</v>
      </c>
      <c r="AV87" s="21">
        <f>EXP(-LN(2)/25)*AV86+(1-EXP(-LN(2)/25))/(LN(2)/25)*Calculateur!AQ87*Calculateur!AS87*VLOOKUP('Données projet'!$B$10,Paramètres!$A$1:$I$89,3,0)*0.475*44/12</f>
        <v>49.095447200074048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145.74685100410915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6.9000000000000057</v>
      </c>
      <c r="BD87" s="12">
        <f>IF('Données projet'!$A$88&gt;35,BD86+BC87-BL86,IF(A87&lt;'Données projet'!$A$88,$BA$205^A87,IF(A87='Données projet'!$A$88,'Données projet'!$B$88,BD86+BC87-BL86)))</f>
        <v>554.79999999999995</v>
      </c>
      <c r="BE87" s="13">
        <f>BD87*VLOOKUP('Données projet'!$B$11,Paramètres!$A$1:$I$89,3,0)*VLOOKUP('Données projet'!$B$11,Paramètres!$A$1:$I$89,5,0)</f>
        <v>331.7704</v>
      </c>
      <c r="BF87" s="13">
        <f t="shared" si="91"/>
        <v>77.797241883601728</v>
      </c>
      <c r="BG87" s="20">
        <f t="shared" si="61"/>
        <v>713.33030961393968</v>
      </c>
      <c r="BH87" s="59">
        <f t="shared" si="62"/>
        <v>1006.663642947273</v>
      </c>
      <c r="BI87" s="59">
        <f ca="1">AVERAGE(OFFSET($BH$3,0,0,'Données projet'!$E$11+1,1))-AVERAGE(OFFSET($H$3,0,0,'Données projet'!$E$11+1,1))</f>
        <v>393.01180019332998</v>
      </c>
      <c r="BJ87" s="59">
        <f t="shared" si="92"/>
        <v>283.82782416294748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51.330972773696161</v>
      </c>
      <c r="BQ87" s="21">
        <f>EXP(-LN(2)/25)*BQ86+(1-EXP(-LN(2)/25))/(LN(2)/25)*Calculateur!BL87*Calculateur!BN87*VLOOKUP('Données projet'!$B$11,Paramètres!$A$1:$I$89,3,0)*0.475*44/12</f>
        <v>26.405136607046487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77.736109380742647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6.9000000000000057</v>
      </c>
      <c r="BY87" s="12">
        <f>IF('Données projet'!$A$114&gt;35,BY86+BX87-CG86,IF(A87&lt;'Données projet'!$A$114,$BV$205^A87,IF(A87='Données projet'!$A$114,'Données projet'!$B$114,BY86+BX87-CG86)))</f>
        <v>554.79999999999995</v>
      </c>
      <c r="BZ87" s="13">
        <f>BY87*VLOOKUP('Données projet'!$B$12,Paramètres!$A$1:$I$89,3,0)*VLOOKUP('Données projet'!$B$12,Paramètres!$A$1:$I$89,5,0)</f>
        <v>331.7704</v>
      </c>
      <c r="CA87" s="13">
        <f t="shared" si="93"/>
        <v>77.797241883601728</v>
      </c>
      <c r="CB87" s="20">
        <f t="shared" si="64"/>
        <v>713.33030961393968</v>
      </c>
      <c r="CC87" s="59">
        <f t="shared" si="65"/>
        <v>1006.663642947273</v>
      </c>
      <c r="CD87" s="59">
        <f ca="1">AVERAGE(OFFSET($CC$3,0,0,'Données projet'!$E$12+1,1))-AVERAGE(OFFSET($H$3,0,0,'Données projet'!$E$12+1,1))</f>
        <v>393.01180019332998</v>
      </c>
      <c r="CE87" s="59">
        <f t="shared" si="94"/>
        <v>283.82782416294748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51.330972773696161</v>
      </c>
      <c r="CL87" s="21">
        <f>EXP(-LN(2)/25)*CL86+(1-EXP(-LN(2)/25))/(LN(2)/25)*Calculateur!CG87*Calculateur!CI87*VLOOKUP('Données projet'!$B$12,Paramètres!$A$1:$I$89,3,0)*0.475*44/12</f>
        <v>26.405136607046487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77.736109380742647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6.9000000000000057</v>
      </c>
      <c r="CT87" s="12">
        <f>IF('Données projet'!$A$140&gt;35,CT86+CS87-DB86,IF(A87&lt;'Données projet'!$A$140,$CQ$205^A87,IF(A87='Données projet'!$A$140,'Données projet'!$B$140,CT86+CS87-DB86)))</f>
        <v>554.79999999999995</v>
      </c>
      <c r="CU87" s="17">
        <f>CT87*VLOOKUP('Données projet'!$B$13,Paramètres!$A$1:$I$89,3,0)*VLOOKUP('Données projet'!$B$13,Paramètres!$A$1:$I$89,5,0)</f>
        <v>331.7704</v>
      </c>
      <c r="CV87" s="13">
        <f t="shared" si="95"/>
        <v>77.797241883601728</v>
      </c>
      <c r="CW87" s="20">
        <f t="shared" si="67"/>
        <v>713.33030961393968</v>
      </c>
      <c r="CX87" s="59">
        <f t="shared" si="68"/>
        <v>1006.663642947273</v>
      </c>
      <c r="CY87" s="59">
        <f ca="1">AVERAGE(OFFSET($CX$3,0,0,'Données projet'!$E$13+1,1))-AVERAGE(OFFSET($H$3,0,0,'Données projet'!$E$13+1,1))</f>
        <v>393.01180019332998</v>
      </c>
      <c r="CZ87" s="59">
        <f t="shared" si="96"/>
        <v>283.82782416294748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51.330972773696161</v>
      </c>
      <c r="DG87" s="21">
        <f>EXP(-LN(2)/25)*DG86+(1-EXP(-LN(2)/25))/(LN(2)/25)*Calculateur!DB87*Calculateur!DD87*VLOOKUP('Données projet'!$B$13,Paramètres!$A$1:$I$89,3,0)*0.475*44/12</f>
        <v>26.405136607046487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77.736109380742647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6.9000000000000057</v>
      </c>
      <c r="DO87" s="12">
        <f>IF('Données projet'!$A$166&gt;35,DO86+DN87-DW86,IF(A87&lt;'Données projet'!$A$166,$DL$205^A87,IF(A87='Données projet'!$A$166,'Données projet'!$B$166,DO86+DN87-DW86)))</f>
        <v>554.79999999999995</v>
      </c>
      <c r="DP87" s="17">
        <f>DO87*VLOOKUP('Données projet'!$B$14,Paramètres!$A$1:$I$89,3,0)*VLOOKUP('Données projet'!$B$14,Paramètres!$A$1:$I$89,5,0)</f>
        <v>331.7704</v>
      </c>
      <c r="DQ87" s="13">
        <f t="shared" si="97"/>
        <v>77.797241883601728</v>
      </c>
      <c r="DR87" s="20">
        <f t="shared" si="70"/>
        <v>713.33030961393968</v>
      </c>
      <c r="DS87" s="59">
        <f t="shared" si="71"/>
        <v>1006.663642947273</v>
      </c>
      <c r="DT87" s="59">
        <f ca="1">AVERAGE(OFFSET($DS$3,0,0,'Données projet'!$E$14+1,1))-AVERAGE(OFFSET($H$3,0,0,'Données projet'!$E$14+1,1))</f>
        <v>393.01180019332998</v>
      </c>
      <c r="DU87" s="59">
        <f t="shared" si="98"/>
        <v>283.82782416294748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51.330972773696161</v>
      </c>
      <c r="EB87" s="21">
        <f>EXP(-LN(2)/25)*EB86+(1-EXP(-LN(2)/25))/(LN(2)/25)*Calculateur!DW87*Calculateur!DY87*VLOOKUP('Données projet'!$B$14,Paramètres!$A$1:$I$89,3,0)*0.475*44/12</f>
        <v>26.405136607046487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77.736109380742647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9.8124000000000073</v>
      </c>
      <c r="D88" s="11">
        <f t="shared" si="86"/>
        <v>3.4664478446384446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20.500677374178665</v>
      </c>
      <c r="H88" s="67">
        <f t="shared" si="56"/>
        <v>279.79399332941199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-1.1368683772161603E-13</v>
      </c>
      <c r="O88" s="13">
        <f>N88*VLOOKUP('Données projet'!$B$9,Paramètres!$A$1:$I$89,3,0)*VLOOKUP('Données projet'!$B$9,Paramètres!$A$1:$I$89,5,0)</f>
        <v>-5.3205440053716299E-14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189.8770435341392</v>
      </c>
      <c r="T88" s="59">
        <f t="shared" si="88"/>
        <v>230.18380961122767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66.908135990749969</v>
      </c>
      <c r="AA88" s="21">
        <f>EXP(-LN(2)/25)*AA87+(1-EXP(-LN(2)/25))/(LN(2)/25)*Calculateur!V88*Calculateur!X88*VLOOKUP('Données projet'!$B$9,Paramètres!$A$1:$I$89,3,0)*0.475*44/12</f>
        <v>31.133178627408121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98.041314618158083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-3.4106051316484809E-13</v>
      </c>
      <c r="AJ88" s="13">
        <f>AI88*VLOOKUP('Données projet'!$B$10,Paramètres!$A$1:$I$89,3,0)*VLOOKUP('Données projet'!$B$10,Paramètres!$A$1:$I$89,5,0)</f>
        <v>-1.5074874681886286E-13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207.77463758757142</v>
      </c>
      <c r="AO88" s="59">
        <f t="shared" si="90"/>
        <v>180.50802165484066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94.756128726973316</v>
      </c>
      <c r="AV88" s="21">
        <f>EXP(-LN(2)/25)*AV87+(1-EXP(-LN(2)/25))/(LN(2)/25)*Calculateur!AQ88*Calculateur!AS88*VLOOKUP('Données projet'!$B$10,Paramètres!$A$1:$I$89,3,0)*0.475*44/12</f>
        <v>47.752929614570661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142.50905834154398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6.9000000000000057</v>
      </c>
      <c r="BD88" s="12">
        <f>IF('Données projet'!$A$88&gt;35,BD87+BC88-BL87,IF(A88&lt;'Données projet'!$A$88,$BA$205^A88,IF(A88='Données projet'!$A$88,'Données projet'!$B$88,BD87+BC88-BL87)))</f>
        <v>561.69999999999993</v>
      </c>
      <c r="BE88" s="13">
        <f>BD88*VLOOKUP('Données projet'!$B$11,Paramètres!$A$1:$I$89,3,0)*VLOOKUP('Données projet'!$B$11,Paramètres!$A$1:$I$89,5,0)</f>
        <v>335.89660000000003</v>
      </c>
      <c r="BF88" s="13">
        <f t="shared" si="91"/>
        <v>78.651559818783284</v>
      </c>
      <c r="BG88" s="20">
        <f t="shared" si="61"/>
        <v>722.00471168438105</v>
      </c>
      <c r="BH88" s="59">
        <f t="shared" si="62"/>
        <v>1015.3380450177144</v>
      </c>
      <c r="BI88" s="59">
        <f ca="1">AVERAGE(OFFSET($BH$3,0,0,'Données projet'!$E$11+1,1))-AVERAGE(OFFSET($H$3,0,0,'Données projet'!$E$11+1,1))</f>
        <v>393.01180019332998</v>
      </c>
      <c r="BJ88" s="59">
        <f t="shared" si="92"/>
        <v>283.82782416294748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50.324403706405882</v>
      </c>
      <c r="BQ88" s="21">
        <f>EXP(-LN(2)/25)*BQ87+(1-EXP(-LN(2)/25))/(LN(2)/25)*Calculateur!BL88*Calculateur!BN88*VLOOKUP('Données projet'!$B$11,Paramètres!$A$1:$I$89,3,0)*0.475*44/12</f>
        <v>25.683086757941016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76.007490464346901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6.9000000000000057</v>
      </c>
      <c r="BY88" s="12">
        <f>IF('Données projet'!$A$114&gt;35,BY87+BX88-CG87,IF(A88&lt;'Données projet'!$A$114,$BV$205^A88,IF(A88='Données projet'!$A$114,'Données projet'!$B$114,BY87+BX88-CG87)))</f>
        <v>561.69999999999993</v>
      </c>
      <c r="BZ88" s="13">
        <f>BY88*VLOOKUP('Données projet'!$B$12,Paramètres!$A$1:$I$89,3,0)*VLOOKUP('Données projet'!$B$12,Paramètres!$A$1:$I$89,5,0)</f>
        <v>335.89660000000003</v>
      </c>
      <c r="CA88" s="13">
        <f t="shared" si="93"/>
        <v>78.651559818783284</v>
      </c>
      <c r="CB88" s="20">
        <f t="shared" si="64"/>
        <v>722.00471168438105</v>
      </c>
      <c r="CC88" s="59">
        <f t="shared" si="65"/>
        <v>1015.3380450177144</v>
      </c>
      <c r="CD88" s="59">
        <f ca="1">AVERAGE(OFFSET($CC$3,0,0,'Données projet'!$E$12+1,1))-AVERAGE(OFFSET($H$3,0,0,'Données projet'!$E$12+1,1))</f>
        <v>393.01180019332998</v>
      </c>
      <c r="CE88" s="59">
        <f t="shared" si="94"/>
        <v>283.82782416294748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50.324403706405882</v>
      </c>
      <c r="CL88" s="21">
        <f>EXP(-LN(2)/25)*CL87+(1-EXP(-LN(2)/25))/(LN(2)/25)*Calculateur!CG88*Calculateur!CI88*VLOOKUP('Données projet'!$B$12,Paramètres!$A$1:$I$89,3,0)*0.475*44/12</f>
        <v>25.683086757941016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76.007490464346901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6.9000000000000057</v>
      </c>
      <c r="CT88" s="12">
        <f>IF('Données projet'!$A$140&gt;35,CT87+CS88-DB87,IF(A88&lt;'Données projet'!$A$140,$CQ$205^A88,IF(A88='Données projet'!$A$140,'Données projet'!$B$140,CT87+CS88-DB87)))</f>
        <v>561.69999999999993</v>
      </c>
      <c r="CU88" s="17">
        <f>CT88*VLOOKUP('Données projet'!$B$13,Paramètres!$A$1:$I$89,3,0)*VLOOKUP('Données projet'!$B$13,Paramètres!$A$1:$I$89,5,0)</f>
        <v>335.89660000000003</v>
      </c>
      <c r="CV88" s="13">
        <f t="shared" si="95"/>
        <v>78.651559818783284</v>
      </c>
      <c r="CW88" s="20">
        <f t="shared" si="67"/>
        <v>722.00471168438105</v>
      </c>
      <c r="CX88" s="59">
        <f t="shared" si="68"/>
        <v>1015.3380450177144</v>
      </c>
      <c r="CY88" s="59">
        <f ca="1">AVERAGE(OFFSET($CX$3,0,0,'Données projet'!$E$13+1,1))-AVERAGE(OFFSET($H$3,0,0,'Données projet'!$E$13+1,1))</f>
        <v>393.01180019332998</v>
      </c>
      <c r="CZ88" s="59">
        <f t="shared" si="96"/>
        <v>283.82782416294748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50.324403706405882</v>
      </c>
      <c r="DG88" s="21">
        <f>EXP(-LN(2)/25)*DG87+(1-EXP(-LN(2)/25))/(LN(2)/25)*Calculateur!DB88*Calculateur!DD88*VLOOKUP('Données projet'!$B$13,Paramètres!$A$1:$I$89,3,0)*0.475*44/12</f>
        <v>25.683086757941016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76.007490464346901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6.9000000000000057</v>
      </c>
      <c r="DO88" s="12">
        <f>IF('Données projet'!$A$166&gt;35,DO87+DN88-DW87,IF(A88&lt;'Données projet'!$A$166,$DL$205^A88,IF(A88='Données projet'!$A$166,'Données projet'!$B$166,DO87+DN88-DW87)))</f>
        <v>561.69999999999993</v>
      </c>
      <c r="DP88" s="17">
        <f>DO88*VLOOKUP('Données projet'!$B$14,Paramètres!$A$1:$I$89,3,0)*VLOOKUP('Données projet'!$B$14,Paramètres!$A$1:$I$89,5,0)</f>
        <v>335.89660000000003</v>
      </c>
      <c r="DQ88" s="13">
        <f t="shared" si="97"/>
        <v>78.651559818783284</v>
      </c>
      <c r="DR88" s="20">
        <f t="shared" si="70"/>
        <v>722.00471168438105</v>
      </c>
      <c r="DS88" s="59">
        <f t="shared" si="71"/>
        <v>1015.3380450177144</v>
      </c>
      <c r="DT88" s="59">
        <f ca="1">AVERAGE(OFFSET($DS$3,0,0,'Données projet'!$E$14+1,1))-AVERAGE(OFFSET($H$3,0,0,'Données projet'!$E$14+1,1))</f>
        <v>393.01180019332998</v>
      </c>
      <c r="DU88" s="59">
        <f t="shared" si="98"/>
        <v>283.82782416294748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50.324403706405882</v>
      </c>
      <c r="EB88" s="21">
        <f>EXP(-LN(2)/25)*EB87+(1-EXP(-LN(2)/25))/(LN(2)/25)*Calculateur!DW88*Calculateur!DY88*VLOOKUP('Données projet'!$B$14,Paramètres!$A$1:$I$89,3,0)*0.475*44/12</f>
        <v>25.683086757941016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76.007490464346901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9.9278400000000069</v>
      </c>
      <c r="D89" s="11">
        <f t="shared" si="86"/>
        <v>3.5024580236778911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20.734495194450091</v>
      </c>
      <c r="H89" s="67">
        <f t="shared" si="56"/>
        <v>280.05776905790572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-1.1368683772161603E-13</v>
      </c>
      <c r="O89" s="13">
        <f>N89*VLOOKUP('Données projet'!$B$9,Paramètres!$A$1:$I$89,3,0)*VLOOKUP('Données projet'!$B$9,Paramètres!$A$1:$I$89,5,0)</f>
        <v>-5.3205440053716299E-14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189.8770435341392</v>
      </c>
      <c r="T89" s="59">
        <f t="shared" si="88"/>
        <v>230.18380961122767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65.596108253904674</v>
      </c>
      <c r="AA89" s="21">
        <f>EXP(-LN(2)/25)*AA88+(1-EXP(-LN(2)/25))/(LN(2)/25)*Calculateur!V89*Calculateur!X89*VLOOKUP('Données projet'!$B$9,Paramètres!$A$1:$I$89,3,0)*0.475*44/12</f>
        <v>30.281840220618939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95.877948474523606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-3.4106051316484809E-13</v>
      </c>
      <c r="AJ89" s="13">
        <f>AI89*VLOOKUP('Données projet'!$B$10,Paramètres!$A$1:$I$89,3,0)*VLOOKUP('Données projet'!$B$10,Paramètres!$A$1:$I$89,5,0)</f>
        <v>-1.5074874681886286E-13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207.77463758757142</v>
      </c>
      <c r="AO89" s="59">
        <f t="shared" si="90"/>
        <v>180.50802165484066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92.898018838169051</v>
      </c>
      <c r="AV89" s="21">
        <f>EXP(-LN(2)/25)*AV88+(1-EXP(-LN(2)/25))/(LN(2)/25)*Calculateur!AQ89*Calculateur!AS89*VLOOKUP('Données projet'!$B$10,Paramètres!$A$1:$I$89,3,0)*0.475*44/12</f>
        <v>46.447123243042796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139.34514208121186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6.9000000000000057</v>
      </c>
      <c r="BD89" s="12">
        <f>IF('Données projet'!$A$88&gt;35,BD88+BC89-BL88,IF(A89&lt;'Données projet'!$A$88,$BA$205^A89,IF(A89='Données projet'!$A$88,'Données projet'!$B$88,BD88+BC89-BL88)))</f>
        <v>568.59999999999991</v>
      </c>
      <c r="BE89" s="13">
        <f>BD89*VLOOKUP('Données projet'!$B$11,Paramètres!$A$1:$I$89,3,0)*VLOOKUP('Données projet'!$B$11,Paramètres!$A$1:$I$89,5,0)</f>
        <v>340.02280000000002</v>
      </c>
      <c r="BF89" s="13">
        <f t="shared" si="91"/>
        <v>79.504657027765873</v>
      </c>
      <c r="BG89" s="20">
        <f t="shared" si="61"/>
        <v>730.67698765669229</v>
      </c>
      <c r="BH89" s="59">
        <f t="shared" si="62"/>
        <v>1024.0103209900255</v>
      </c>
      <c r="BI89" s="59">
        <f ca="1">AVERAGE(OFFSET($BH$3,0,0,'Données projet'!$E$11+1,1))-AVERAGE(OFFSET($H$3,0,0,'Données projet'!$E$11+1,1))</f>
        <v>393.01180019332998</v>
      </c>
      <c r="BJ89" s="59">
        <f t="shared" si="92"/>
        <v>283.82782416294748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49.337572844578659</v>
      </c>
      <c r="BQ89" s="21">
        <f>EXP(-LN(2)/25)*BQ88+(1-EXP(-LN(2)/25))/(LN(2)/25)*Calculateur!BL89*Calculateur!BN89*VLOOKUP('Données projet'!$B$11,Paramètres!$A$1:$I$89,3,0)*0.475*44/12</f>
        <v>24.980781399930287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74.318354244508953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6.9000000000000057</v>
      </c>
      <c r="BY89" s="12">
        <f>IF('Données projet'!$A$114&gt;35,BY88+BX89-CG88,IF(A89&lt;'Données projet'!$A$114,$BV$205^A89,IF(A89='Données projet'!$A$114,'Données projet'!$B$114,BY88+BX89-CG88)))</f>
        <v>568.59999999999991</v>
      </c>
      <c r="BZ89" s="13">
        <f>BY89*VLOOKUP('Données projet'!$B$12,Paramètres!$A$1:$I$89,3,0)*VLOOKUP('Données projet'!$B$12,Paramètres!$A$1:$I$89,5,0)</f>
        <v>340.02280000000002</v>
      </c>
      <c r="CA89" s="13">
        <f t="shared" si="93"/>
        <v>79.504657027765873</v>
      </c>
      <c r="CB89" s="20">
        <f t="shared" si="64"/>
        <v>730.67698765669229</v>
      </c>
      <c r="CC89" s="59">
        <f t="shared" si="65"/>
        <v>1024.0103209900255</v>
      </c>
      <c r="CD89" s="59">
        <f ca="1">AVERAGE(OFFSET($CC$3,0,0,'Données projet'!$E$12+1,1))-AVERAGE(OFFSET($H$3,0,0,'Données projet'!$E$12+1,1))</f>
        <v>393.01180019332998</v>
      </c>
      <c r="CE89" s="59">
        <f t="shared" si="94"/>
        <v>283.82782416294748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49.337572844578659</v>
      </c>
      <c r="CL89" s="21">
        <f>EXP(-LN(2)/25)*CL88+(1-EXP(-LN(2)/25))/(LN(2)/25)*Calculateur!CG89*Calculateur!CI89*VLOOKUP('Données projet'!$B$12,Paramètres!$A$1:$I$89,3,0)*0.475*44/12</f>
        <v>24.980781399930287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74.318354244508953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6.9000000000000057</v>
      </c>
      <c r="CT89" s="12">
        <f>IF('Données projet'!$A$140&gt;35,CT88+CS89-DB88,IF(A89&lt;'Données projet'!$A$140,$CQ$205^A89,IF(A89='Données projet'!$A$140,'Données projet'!$B$140,CT88+CS89-DB88)))</f>
        <v>568.59999999999991</v>
      </c>
      <c r="CU89" s="17">
        <f>CT89*VLOOKUP('Données projet'!$B$13,Paramètres!$A$1:$I$89,3,0)*VLOOKUP('Données projet'!$B$13,Paramètres!$A$1:$I$89,5,0)</f>
        <v>340.02280000000002</v>
      </c>
      <c r="CV89" s="13">
        <f t="shared" si="95"/>
        <v>79.504657027765873</v>
      </c>
      <c r="CW89" s="20">
        <f t="shared" si="67"/>
        <v>730.67698765669229</v>
      </c>
      <c r="CX89" s="59">
        <f t="shared" si="68"/>
        <v>1024.0103209900255</v>
      </c>
      <c r="CY89" s="59">
        <f ca="1">AVERAGE(OFFSET($CX$3,0,0,'Données projet'!$E$13+1,1))-AVERAGE(OFFSET($H$3,0,0,'Données projet'!$E$13+1,1))</f>
        <v>393.01180019332998</v>
      </c>
      <c r="CZ89" s="59">
        <f t="shared" si="96"/>
        <v>283.82782416294748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49.337572844578659</v>
      </c>
      <c r="DG89" s="21">
        <f>EXP(-LN(2)/25)*DG88+(1-EXP(-LN(2)/25))/(LN(2)/25)*Calculateur!DB89*Calculateur!DD89*VLOOKUP('Données projet'!$B$13,Paramètres!$A$1:$I$89,3,0)*0.475*44/12</f>
        <v>24.980781399930287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74.318354244508953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6.9000000000000057</v>
      </c>
      <c r="DO89" s="12">
        <f>IF('Données projet'!$A$166&gt;35,DO88+DN89-DW88,IF(A89&lt;'Données projet'!$A$166,$DL$205^A89,IF(A89='Données projet'!$A$166,'Données projet'!$B$166,DO88+DN89-DW88)))</f>
        <v>568.59999999999991</v>
      </c>
      <c r="DP89" s="17">
        <f>DO89*VLOOKUP('Données projet'!$B$14,Paramètres!$A$1:$I$89,3,0)*VLOOKUP('Données projet'!$B$14,Paramètres!$A$1:$I$89,5,0)</f>
        <v>340.02280000000002</v>
      </c>
      <c r="DQ89" s="13">
        <f t="shared" si="97"/>
        <v>79.504657027765873</v>
      </c>
      <c r="DR89" s="20">
        <f t="shared" si="70"/>
        <v>730.67698765669229</v>
      </c>
      <c r="DS89" s="59">
        <f t="shared" si="71"/>
        <v>1024.0103209900255</v>
      </c>
      <c r="DT89" s="59">
        <f ca="1">AVERAGE(OFFSET($DS$3,0,0,'Données projet'!$E$14+1,1))-AVERAGE(OFFSET($H$3,0,0,'Données projet'!$E$14+1,1))</f>
        <v>393.01180019332998</v>
      </c>
      <c r="DU89" s="59">
        <f t="shared" si="98"/>
        <v>283.82782416294748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49.337572844578659</v>
      </c>
      <c r="EB89" s="21">
        <f>EXP(-LN(2)/25)*EB88+(1-EXP(-LN(2)/25))/(LN(2)/25)*Calculateur!DW89*Calculateur!DY89*VLOOKUP('Données projet'!$B$14,Paramètres!$A$1:$I$89,3,0)*0.475*44/12</f>
        <v>24.980781399930287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74.318354244508953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10.043280000000006</v>
      </c>
      <c r="D90" s="11">
        <f t="shared" si="86"/>
        <v>3.5384194951671906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20.968237817100235</v>
      </c>
      <c r="H90" s="67">
        <f t="shared" si="56"/>
        <v>280.32145995408291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-1.1368683772161603E-13</v>
      </c>
      <c r="O90" s="13">
        <f>N90*VLOOKUP('Données projet'!$B$9,Paramètres!$A$1:$I$89,3,0)*VLOOKUP('Données projet'!$B$9,Paramètres!$A$1:$I$89,5,0)</f>
        <v>-5.3205440053716299E-14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189.8770435341392</v>
      </c>
      <c r="T90" s="59">
        <f t="shared" si="88"/>
        <v>230.18380961122767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64.309808580721011</v>
      </c>
      <c r="AA90" s="21">
        <f>EXP(-LN(2)/25)*AA89+(1-EXP(-LN(2)/25))/(LN(2)/25)*Calculateur!V90*Calculateur!X90*VLOOKUP('Données projet'!$B$9,Paramètres!$A$1:$I$89,3,0)*0.475*44/12</f>
        <v>29.453781707333349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93.76359028805436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-3.4106051316484809E-13</v>
      </c>
      <c r="AJ90" s="13">
        <f>AI90*VLOOKUP('Données projet'!$B$10,Paramètres!$A$1:$I$89,3,0)*VLOOKUP('Données projet'!$B$10,Paramètres!$A$1:$I$89,5,0)</f>
        <v>-1.5074874681886286E-13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207.77463758757142</v>
      </c>
      <c r="AO90" s="59">
        <f t="shared" si="90"/>
        <v>180.50802165484066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91.076345350949126</v>
      </c>
      <c r="AV90" s="21">
        <f>EXP(-LN(2)/25)*AV89+(1-EXP(-LN(2)/25))/(LN(2)/25)*Calculateur!AQ90*Calculateur!AS90*VLOOKUP('Données projet'!$B$10,Paramètres!$A$1:$I$89,3,0)*0.475*44/12</f>
        <v>45.177024215413738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136.25336956636286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6.9000000000000057</v>
      </c>
      <c r="BD90" s="12">
        <f>IF('Données projet'!$A$88&gt;35,BD89+BC90-BL89,IF(A90&lt;'Données projet'!$A$88,$BA$205^A90,IF(A90='Données projet'!$A$88,'Données projet'!$B$88,BD89+BC90-BL89)))</f>
        <v>575.49999999999989</v>
      </c>
      <c r="BE90" s="13">
        <f>BD90*VLOOKUP('Données projet'!$B$11,Paramètres!$A$1:$I$89,3,0)*VLOOKUP('Données projet'!$B$11,Paramètres!$A$1:$I$89,5,0)</f>
        <v>344.14899999999994</v>
      </c>
      <c r="BF90" s="13">
        <f t="shared" si="91"/>
        <v>80.356550037589301</v>
      </c>
      <c r="BG90" s="20">
        <f t="shared" si="61"/>
        <v>739.34716631546792</v>
      </c>
      <c r="BH90" s="59">
        <f t="shared" si="62"/>
        <v>1032.6804996488013</v>
      </c>
      <c r="BI90" s="59">
        <f ca="1">AVERAGE(OFFSET($BH$3,0,0,'Données projet'!$E$11+1,1))-AVERAGE(OFFSET($H$3,0,0,'Données projet'!$E$11+1,1))</f>
        <v>393.01180019332998</v>
      </c>
      <c r="BJ90" s="59">
        <f t="shared" si="92"/>
        <v>283.82782416294748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48.370093134044474</v>
      </c>
      <c r="BQ90" s="21">
        <f>EXP(-LN(2)/25)*BQ89+(1-EXP(-LN(2)/25))/(LN(2)/25)*Calculateur!BL90*Calculateur!BN90*VLOOKUP('Données projet'!$B$11,Paramètres!$A$1:$I$89,3,0)*0.475*44/12</f>
        <v>24.297680618866995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72.667773752911472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6.9000000000000057</v>
      </c>
      <c r="BY90" s="12">
        <f>IF('Données projet'!$A$114&gt;35,BY89+BX90-CG89,IF(A90&lt;'Données projet'!$A$114,$BV$205^A90,IF(A90='Données projet'!$A$114,'Données projet'!$B$114,BY89+BX90-CG89)))</f>
        <v>575.49999999999989</v>
      </c>
      <c r="BZ90" s="13">
        <f>BY90*VLOOKUP('Données projet'!$B$12,Paramètres!$A$1:$I$89,3,0)*VLOOKUP('Données projet'!$B$12,Paramètres!$A$1:$I$89,5,0)</f>
        <v>344.14899999999994</v>
      </c>
      <c r="CA90" s="13">
        <f t="shared" si="93"/>
        <v>80.356550037589301</v>
      </c>
      <c r="CB90" s="20">
        <f t="shared" si="64"/>
        <v>739.34716631546792</v>
      </c>
      <c r="CC90" s="59">
        <f t="shared" si="65"/>
        <v>1032.6804996488013</v>
      </c>
      <c r="CD90" s="59">
        <f ca="1">AVERAGE(OFFSET($CC$3,0,0,'Données projet'!$E$12+1,1))-AVERAGE(OFFSET($H$3,0,0,'Données projet'!$E$12+1,1))</f>
        <v>393.01180019332998</v>
      </c>
      <c r="CE90" s="59">
        <f t="shared" si="94"/>
        <v>283.82782416294748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48.370093134044474</v>
      </c>
      <c r="CL90" s="21">
        <f>EXP(-LN(2)/25)*CL89+(1-EXP(-LN(2)/25))/(LN(2)/25)*Calculateur!CG90*Calculateur!CI90*VLOOKUP('Données projet'!$B$12,Paramètres!$A$1:$I$89,3,0)*0.475*44/12</f>
        <v>24.297680618866995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72.667773752911472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6.9000000000000057</v>
      </c>
      <c r="CT90" s="12">
        <f>IF('Données projet'!$A$140&gt;35,CT89+CS90-DB89,IF(A90&lt;'Données projet'!$A$140,$CQ$205^A90,IF(A90='Données projet'!$A$140,'Données projet'!$B$140,CT89+CS90-DB89)))</f>
        <v>575.49999999999989</v>
      </c>
      <c r="CU90" s="17">
        <f>CT90*VLOOKUP('Données projet'!$B$13,Paramètres!$A$1:$I$89,3,0)*VLOOKUP('Données projet'!$B$13,Paramètres!$A$1:$I$89,5,0)</f>
        <v>344.14899999999994</v>
      </c>
      <c r="CV90" s="13">
        <f t="shared" si="95"/>
        <v>80.356550037589301</v>
      </c>
      <c r="CW90" s="20">
        <f t="shared" si="67"/>
        <v>739.34716631546792</v>
      </c>
      <c r="CX90" s="59">
        <f t="shared" si="68"/>
        <v>1032.6804996488013</v>
      </c>
      <c r="CY90" s="59">
        <f ca="1">AVERAGE(OFFSET($CX$3,0,0,'Données projet'!$E$13+1,1))-AVERAGE(OFFSET($H$3,0,0,'Données projet'!$E$13+1,1))</f>
        <v>393.01180019332998</v>
      </c>
      <c r="CZ90" s="59">
        <f t="shared" si="96"/>
        <v>283.82782416294748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48.370093134044474</v>
      </c>
      <c r="DG90" s="21">
        <f>EXP(-LN(2)/25)*DG89+(1-EXP(-LN(2)/25))/(LN(2)/25)*Calculateur!DB90*Calculateur!DD90*VLOOKUP('Données projet'!$B$13,Paramètres!$A$1:$I$89,3,0)*0.475*44/12</f>
        <v>24.297680618866995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72.667773752911472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6.9000000000000057</v>
      </c>
      <c r="DO90" s="12">
        <f>IF('Données projet'!$A$166&gt;35,DO89+DN90-DW89,IF(A90&lt;'Données projet'!$A$166,$DL$205^A90,IF(A90='Données projet'!$A$166,'Données projet'!$B$166,DO89+DN90-DW89)))</f>
        <v>575.49999999999989</v>
      </c>
      <c r="DP90" s="17">
        <f>DO90*VLOOKUP('Données projet'!$B$14,Paramètres!$A$1:$I$89,3,0)*VLOOKUP('Données projet'!$B$14,Paramètres!$A$1:$I$89,5,0)</f>
        <v>344.14899999999994</v>
      </c>
      <c r="DQ90" s="13">
        <f t="shared" si="97"/>
        <v>80.356550037589301</v>
      </c>
      <c r="DR90" s="20">
        <f t="shared" si="70"/>
        <v>739.34716631546792</v>
      </c>
      <c r="DS90" s="59">
        <f t="shared" si="71"/>
        <v>1032.6804996488013</v>
      </c>
      <c r="DT90" s="59">
        <f ca="1">AVERAGE(OFFSET($DS$3,0,0,'Données projet'!$E$14+1,1))-AVERAGE(OFFSET($H$3,0,0,'Données projet'!$E$14+1,1))</f>
        <v>393.01180019332998</v>
      </c>
      <c r="DU90" s="59">
        <f t="shared" si="98"/>
        <v>283.82782416294748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48.370093134044474</v>
      </c>
      <c r="EB90" s="21">
        <f>EXP(-LN(2)/25)*EB89+(1-EXP(-LN(2)/25))/(LN(2)/25)*Calculateur!DW90*Calculateur!DY90*VLOOKUP('Données projet'!$B$14,Paramètres!$A$1:$I$89,3,0)*0.475*44/12</f>
        <v>24.297680618866995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72.667773752911472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10.158720000000006</v>
      </c>
      <c r="D91" s="11">
        <f t="shared" si="86"/>
        <v>3.5743328837402992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21.201906206476263</v>
      </c>
      <c r="H91" s="67">
        <f t="shared" si="56"/>
        <v>280.58506710584771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-1.1368683772161603E-13</v>
      </c>
      <c r="O91" s="13">
        <f>N91*VLOOKUP('Données projet'!$B$9,Paramètres!$A$1:$I$89,3,0)*VLOOKUP('Données projet'!$B$9,Paramètres!$A$1:$I$89,5,0)</f>
        <v>-5.3205440053716299E-14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189.8770435341392</v>
      </c>
      <c r="T91" s="59">
        <f t="shared" si="88"/>
        <v>230.18380961122767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63.048732459563148</v>
      </c>
      <c r="AA91" s="21">
        <f>EXP(-LN(2)/25)*AA90+(1-EXP(-LN(2)/25))/(LN(2)/25)*Calculateur!V91*Calculateur!X91*VLOOKUP('Données projet'!$B$9,Paramètres!$A$1:$I$89,3,0)*0.475*44/12</f>
        <v>28.648366497639255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91.6970989572024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-3.4106051316484809E-13</v>
      </c>
      <c r="AJ91" s="13">
        <f>AI91*VLOOKUP('Données projet'!$B$10,Paramètres!$A$1:$I$89,3,0)*VLOOKUP('Données projet'!$B$10,Paramètres!$A$1:$I$89,5,0)</f>
        <v>-1.5074874681886286E-13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207.77463758757142</v>
      </c>
      <c r="AO91" s="59">
        <f t="shared" si="90"/>
        <v>180.50802165484066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89.290393769702462</v>
      </c>
      <c r="AV91" s="21">
        <f>EXP(-LN(2)/25)*AV90+(1-EXP(-LN(2)/25))/(LN(2)/25)*Calculateur!AQ91*Calculateur!AS91*VLOOKUP('Données projet'!$B$10,Paramètres!$A$1:$I$89,3,0)*0.475*44/12</f>
        <v>43.941656112486797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133.23204988218924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6.9000000000000057</v>
      </c>
      <c r="BD91" s="12">
        <f>IF('Données projet'!$A$88&gt;35,BD90+BC91-BL90,IF(A91&lt;'Données projet'!$A$88,$BA$205^A91,IF(A91='Données projet'!$A$88,'Données projet'!$B$88,BD90+BC91-BL90)))</f>
        <v>582.39999999999986</v>
      </c>
      <c r="BE91" s="13">
        <f>BD91*VLOOKUP('Données projet'!$B$11,Paramètres!$A$1:$I$89,3,0)*VLOOKUP('Données projet'!$B$11,Paramètres!$A$1:$I$89,5,0)</f>
        <v>348.27519999999993</v>
      </c>
      <c r="BF91" s="13">
        <f t="shared" si="91"/>
        <v>81.20725495618683</v>
      </c>
      <c r="BG91" s="20">
        <f t="shared" si="61"/>
        <v>748.0152757153586</v>
      </c>
      <c r="BH91" s="59">
        <f t="shared" si="62"/>
        <v>1041.348609048692</v>
      </c>
      <c r="BI91" s="59">
        <f ca="1">AVERAGE(OFFSET($BH$3,0,0,'Données projet'!$E$11+1,1))-AVERAGE(OFFSET($H$3,0,0,'Données projet'!$E$11+1,1))</f>
        <v>393.01180019332998</v>
      </c>
      <c r="BJ91" s="59">
        <f t="shared" si="92"/>
        <v>283.82782416294748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47.421585110529513</v>
      </c>
      <c r="BQ91" s="21">
        <f>EXP(-LN(2)/25)*BQ90+(1-EXP(-LN(2)/25))/(LN(2)/25)*Calculateur!BL91*Calculateur!BN91*VLOOKUP('Données projet'!$B$11,Paramètres!$A$1:$I$89,3,0)*0.475*44/12</f>
        <v>23.633259264584588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71.054844375114101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6.9000000000000057</v>
      </c>
      <c r="BY91" s="12">
        <f>IF('Données projet'!$A$114&gt;35,BY90+BX91-CG90,IF(A91&lt;'Données projet'!$A$114,$BV$205^A91,IF(A91='Données projet'!$A$114,'Données projet'!$B$114,BY90+BX91-CG90)))</f>
        <v>582.39999999999986</v>
      </c>
      <c r="BZ91" s="13">
        <f>BY91*VLOOKUP('Données projet'!$B$12,Paramètres!$A$1:$I$89,3,0)*VLOOKUP('Données projet'!$B$12,Paramètres!$A$1:$I$89,5,0)</f>
        <v>348.27519999999993</v>
      </c>
      <c r="CA91" s="13">
        <f t="shared" si="93"/>
        <v>81.20725495618683</v>
      </c>
      <c r="CB91" s="20">
        <f t="shared" si="64"/>
        <v>748.0152757153586</v>
      </c>
      <c r="CC91" s="59">
        <f t="shared" si="65"/>
        <v>1041.348609048692</v>
      </c>
      <c r="CD91" s="59">
        <f ca="1">AVERAGE(OFFSET($CC$3,0,0,'Données projet'!$E$12+1,1))-AVERAGE(OFFSET($H$3,0,0,'Données projet'!$E$12+1,1))</f>
        <v>393.01180019332998</v>
      </c>
      <c r="CE91" s="59">
        <f t="shared" si="94"/>
        <v>283.82782416294748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47.421585110529513</v>
      </c>
      <c r="CL91" s="21">
        <f>EXP(-LN(2)/25)*CL90+(1-EXP(-LN(2)/25))/(LN(2)/25)*Calculateur!CG91*Calculateur!CI91*VLOOKUP('Données projet'!$B$12,Paramètres!$A$1:$I$89,3,0)*0.475*44/12</f>
        <v>23.633259264584588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71.054844375114101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6.9000000000000057</v>
      </c>
      <c r="CT91" s="12">
        <f>IF('Données projet'!$A$140&gt;35,CT90+CS91-DB90,IF(A91&lt;'Données projet'!$A$140,$CQ$205^A91,IF(A91='Données projet'!$A$140,'Données projet'!$B$140,CT90+CS91-DB90)))</f>
        <v>582.39999999999986</v>
      </c>
      <c r="CU91" s="17">
        <f>CT91*VLOOKUP('Données projet'!$B$13,Paramètres!$A$1:$I$89,3,0)*VLOOKUP('Données projet'!$B$13,Paramètres!$A$1:$I$89,5,0)</f>
        <v>348.27519999999993</v>
      </c>
      <c r="CV91" s="13">
        <f t="shared" si="95"/>
        <v>81.20725495618683</v>
      </c>
      <c r="CW91" s="20">
        <f t="shared" si="67"/>
        <v>748.0152757153586</v>
      </c>
      <c r="CX91" s="59">
        <f t="shared" si="68"/>
        <v>1041.348609048692</v>
      </c>
      <c r="CY91" s="59">
        <f ca="1">AVERAGE(OFFSET($CX$3,0,0,'Données projet'!$E$13+1,1))-AVERAGE(OFFSET($H$3,0,0,'Données projet'!$E$13+1,1))</f>
        <v>393.01180019332998</v>
      </c>
      <c r="CZ91" s="59">
        <f t="shared" si="96"/>
        <v>283.82782416294748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47.421585110529513</v>
      </c>
      <c r="DG91" s="21">
        <f>EXP(-LN(2)/25)*DG90+(1-EXP(-LN(2)/25))/(LN(2)/25)*Calculateur!DB91*Calculateur!DD91*VLOOKUP('Données projet'!$B$13,Paramètres!$A$1:$I$89,3,0)*0.475*44/12</f>
        <v>23.633259264584588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71.054844375114101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6.9000000000000057</v>
      </c>
      <c r="DO91" s="12">
        <f>IF('Données projet'!$A$166&gt;35,DO90+DN91-DW90,IF(A91&lt;'Données projet'!$A$166,$DL$205^A91,IF(A91='Données projet'!$A$166,'Données projet'!$B$166,DO90+DN91-DW90)))</f>
        <v>582.39999999999986</v>
      </c>
      <c r="DP91" s="17">
        <f>DO91*VLOOKUP('Données projet'!$B$14,Paramètres!$A$1:$I$89,3,0)*VLOOKUP('Données projet'!$B$14,Paramètres!$A$1:$I$89,5,0)</f>
        <v>348.27519999999993</v>
      </c>
      <c r="DQ91" s="13">
        <f t="shared" si="97"/>
        <v>81.20725495618683</v>
      </c>
      <c r="DR91" s="20">
        <f t="shared" si="70"/>
        <v>748.0152757153586</v>
      </c>
      <c r="DS91" s="59">
        <f t="shared" si="71"/>
        <v>1041.348609048692</v>
      </c>
      <c r="DT91" s="59">
        <f ca="1">AVERAGE(OFFSET($DS$3,0,0,'Données projet'!$E$14+1,1))-AVERAGE(OFFSET($H$3,0,0,'Données projet'!$E$14+1,1))</f>
        <v>393.01180019332998</v>
      </c>
      <c r="DU91" s="59">
        <f t="shared" si="98"/>
        <v>283.82782416294748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47.421585110529513</v>
      </c>
      <c r="EB91" s="21">
        <f>EXP(-LN(2)/25)*EB90+(1-EXP(-LN(2)/25))/(LN(2)/25)*Calculateur!DW91*Calculateur!DY91*VLOOKUP('Données projet'!$B$14,Paramètres!$A$1:$I$89,3,0)*0.475*44/12</f>
        <v>23.633259264584588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71.054844375114101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10.274160000000006</v>
      </c>
      <c r="D92" s="11">
        <f t="shared" si="86"/>
        <v>3.6101987990176991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21.43550130374663</v>
      </c>
      <c r="H92" s="67">
        <f t="shared" si="56"/>
        <v>280.84859157495583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-1.1368683772161603E-13</v>
      </c>
      <c r="O92" s="13">
        <f>N92*VLOOKUP('Données projet'!$B$9,Paramètres!$A$1:$I$89,3,0)*VLOOKUP('Données projet'!$B$9,Paramètres!$A$1:$I$89,5,0)</f>
        <v>-5.3205440053716299E-14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189.8770435341392</v>
      </c>
      <c r="T92" s="59">
        <f t="shared" si="88"/>
        <v>230.18380961122767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61.812385271960707</v>
      </c>
      <c r="AA92" s="21">
        <f>EXP(-LN(2)/25)*AA91+(1-EXP(-LN(2)/25))/(LN(2)/25)*Calculateur!V92*Calculateur!X92*VLOOKUP('Données projet'!$B$9,Paramètres!$A$1:$I$89,3,0)*0.475*44/12</f>
        <v>27.864975409209194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89.677360681169901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-3.4106051316484809E-13</v>
      </c>
      <c r="AJ92" s="13">
        <f>AI92*VLOOKUP('Données projet'!$B$10,Paramètres!$A$1:$I$89,3,0)*VLOOKUP('Données projet'!$B$10,Paramètres!$A$1:$I$89,5,0)</f>
        <v>-1.5074874681886286E-13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207.77463758757142</v>
      </c>
      <c r="AO92" s="59">
        <f t="shared" si="90"/>
        <v>180.50802165484066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87.539463609641146</v>
      </c>
      <c r="AV92" s="21">
        <f>EXP(-LN(2)/25)*AV91+(1-EXP(-LN(2)/25))/(LN(2)/25)*Calculateur!AQ92*Calculateur!AS92*VLOOKUP('Données projet'!$B$10,Paramètres!$A$1:$I$89,3,0)*0.475*44/12</f>
        <v>42.740069215299577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130.27953282494073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6.9000000000000057</v>
      </c>
      <c r="BD92" s="12">
        <f>IF('Données projet'!$A$88&gt;35,BD91+BC92-BL91,IF(A92&lt;'Données projet'!$A$88,$BA$205^A92,IF(A92='Données projet'!$A$88,'Données projet'!$B$88,BD91+BC92-BL91)))</f>
        <v>589.29999999999984</v>
      </c>
      <c r="BE92" s="13">
        <f>BD92*VLOOKUP('Données projet'!$B$11,Paramètres!$A$1:$I$89,3,0)*VLOOKUP('Données projet'!$B$11,Paramètres!$A$1:$I$89,5,0)</f>
        <v>352.40139999999991</v>
      </c>
      <c r="BF92" s="13">
        <f t="shared" si="91"/>
        <v>82.056787487849775</v>
      </c>
      <c r="BG92" s="20">
        <f t="shared" si="61"/>
        <v>756.68134320800482</v>
      </c>
      <c r="BH92" s="59">
        <f t="shared" si="62"/>
        <v>1050.0146765413381</v>
      </c>
      <c r="BI92" s="59">
        <f ca="1">AVERAGE(OFFSET($BH$3,0,0,'Données projet'!$E$11+1,1))-AVERAGE(OFFSET($H$3,0,0,'Données projet'!$E$11+1,1))</f>
        <v>393.01180019332998</v>
      </c>
      <c r="BJ92" s="59">
        <f t="shared" si="92"/>
        <v>283.82782416294748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46.491676750822911</v>
      </c>
      <c r="BQ92" s="21">
        <f>EXP(-LN(2)/25)*BQ91+(1-EXP(-LN(2)/25))/(LN(2)/25)*Calculateur!BL92*Calculateur!BN92*VLOOKUP('Données projet'!$B$11,Paramètres!$A$1:$I$89,3,0)*0.475*44/12</f>
        <v>22.987006547175433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69.478683297998344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6.9000000000000057</v>
      </c>
      <c r="BY92" s="12">
        <f>IF('Données projet'!$A$114&gt;35,BY91+BX92-CG91,IF(A92&lt;'Données projet'!$A$114,$BV$205^A92,IF(A92='Données projet'!$A$114,'Données projet'!$B$114,BY91+BX92-CG91)))</f>
        <v>589.29999999999984</v>
      </c>
      <c r="BZ92" s="13">
        <f>BY92*VLOOKUP('Données projet'!$B$12,Paramètres!$A$1:$I$89,3,0)*VLOOKUP('Données projet'!$B$12,Paramètres!$A$1:$I$89,5,0)</f>
        <v>352.40139999999991</v>
      </c>
      <c r="CA92" s="13">
        <f t="shared" si="93"/>
        <v>82.056787487849775</v>
      </c>
      <c r="CB92" s="20">
        <f t="shared" si="64"/>
        <v>756.68134320800482</v>
      </c>
      <c r="CC92" s="59">
        <f t="shared" si="65"/>
        <v>1050.0146765413381</v>
      </c>
      <c r="CD92" s="59">
        <f ca="1">AVERAGE(OFFSET($CC$3,0,0,'Données projet'!$E$12+1,1))-AVERAGE(OFFSET($H$3,0,0,'Données projet'!$E$12+1,1))</f>
        <v>393.01180019332998</v>
      </c>
      <c r="CE92" s="59">
        <f t="shared" si="94"/>
        <v>283.82782416294748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46.491676750822911</v>
      </c>
      <c r="CL92" s="21">
        <f>EXP(-LN(2)/25)*CL91+(1-EXP(-LN(2)/25))/(LN(2)/25)*Calculateur!CG92*Calculateur!CI92*VLOOKUP('Données projet'!$B$12,Paramètres!$A$1:$I$89,3,0)*0.475*44/12</f>
        <v>22.987006547175433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69.478683297998344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6.9000000000000057</v>
      </c>
      <c r="CT92" s="12">
        <f>IF('Données projet'!$A$140&gt;35,CT91+CS92-DB91,IF(A92&lt;'Données projet'!$A$140,$CQ$205^A92,IF(A92='Données projet'!$A$140,'Données projet'!$B$140,CT91+CS92-DB91)))</f>
        <v>589.29999999999984</v>
      </c>
      <c r="CU92" s="17">
        <f>CT92*VLOOKUP('Données projet'!$B$13,Paramètres!$A$1:$I$89,3,0)*VLOOKUP('Données projet'!$B$13,Paramètres!$A$1:$I$89,5,0)</f>
        <v>352.40139999999991</v>
      </c>
      <c r="CV92" s="13">
        <f t="shared" si="95"/>
        <v>82.056787487849775</v>
      </c>
      <c r="CW92" s="20">
        <f t="shared" si="67"/>
        <v>756.68134320800482</v>
      </c>
      <c r="CX92" s="59">
        <f t="shared" si="68"/>
        <v>1050.0146765413381</v>
      </c>
      <c r="CY92" s="59">
        <f ca="1">AVERAGE(OFFSET($CX$3,0,0,'Données projet'!$E$13+1,1))-AVERAGE(OFFSET($H$3,0,0,'Données projet'!$E$13+1,1))</f>
        <v>393.01180019332998</v>
      </c>
      <c r="CZ92" s="59">
        <f t="shared" si="96"/>
        <v>283.82782416294748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46.491676750822911</v>
      </c>
      <c r="DG92" s="21">
        <f>EXP(-LN(2)/25)*DG91+(1-EXP(-LN(2)/25))/(LN(2)/25)*Calculateur!DB92*Calculateur!DD92*VLOOKUP('Données projet'!$B$13,Paramètres!$A$1:$I$89,3,0)*0.475*44/12</f>
        <v>22.987006547175433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69.478683297998344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6.9000000000000057</v>
      </c>
      <c r="DO92" s="12">
        <f>IF('Données projet'!$A$166&gt;35,DO91+DN92-DW91,IF(A92&lt;'Données projet'!$A$166,$DL$205^A92,IF(A92='Données projet'!$A$166,'Données projet'!$B$166,DO91+DN92-DW91)))</f>
        <v>589.29999999999984</v>
      </c>
      <c r="DP92" s="17">
        <f>DO92*VLOOKUP('Données projet'!$B$14,Paramètres!$A$1:$I$89,3,0)*VLOOKUP('Données projet'!$B$14,Paramètres!$A$1:$I$89,5,0)</f>
        <v>352.40139999999991</v>
      </c>
      <c r="DQ92" s="13">
        <f t="shared" si="97"/>
        <v>82.056787487849775</v>
      </c>
      <c r="DR92" s="20">
        <f t="shared" si="70"/>
        <v>756.68134320800482</v>
      </c>
      <c r="DS92" s="59">
        <f t="shared" si="71"/>
        <v>1050.0146765413381</v>
      </c>
      <c r="DT92" s="59">
        <f ca="1">AVERAGE(OFFSET($DS$3,0,0,'Données projet'!$E$14+1,1))-AVERAGE(OFFSET($H$3,0,0,'Données projet'!$E$14+1,1))</f>
        <v>393.01180019332998</v>
      </c>
      <c r="DU92" s="59">
        <f t="shared" si="98"/>
        <v>283.82782416294748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46.491676750822911</v>
      </c>
      <c r="EB92" s="21">
        <f>EXP(-LN(2)/25)*EB91+(1-EXP(-LN(2)/25))/(LN(2)/25)*Calculateur!DW92*Calculateur!DY92*VLOOKUP('Données projet'!$B$14,Paramètres!$A$1:$I$89,3,0)*0.475*44/12</f>
        <v>22.987006547175433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69.478683297998344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10.389600000000005</v>
      </c>
      <c r="D93" s="11">
        <f t="shared" si="86"/>
        <v>3.6460178361318034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21.669024027712268</v>
      </c>
      <c r="H93" s="67">
        <f t="shared" si="56"/>
        <v>281.11203439792956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-1.1368683772161603E-13</v>
      </c>
      <c r="O93" s="13">
        <f>N93*VLOOKUP('Données projet'!$B$9,Paramètres!$A$1:$I$89,3,0)*VLOOKUP('Données projet'!$B$9,Paramètres!$A$1:$I$89,5,0)</f>
        <v>-5.3205440053716299E-14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189.8770435341392</v>
      </c>
      <c r="T93" s="59">
        <f t="shared" si="88"/>
        <v>230.18380961122767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60.600282098609824</v>
      </c>
      <c r="AA93" s="21">
        <f>EXP(-LN(2)/25)*AA92+(1-EXP(-LN(2)/25))/(LN(2)/25)*Calculateur!V93*Calculateur!X93*VLOOKUP('Données projet'!$B$9,Paramètres!$A$1:$I$89,3,0)*0.475*44/12</f>
        <v>27.103006191288998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87.703288289898822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-3.4106051316484809E-13</v>
      </c>
      <c r="AJ93" s="13">
        <f>AI93*VLOOKUP('Données projet'!$B$10,Paramètres!$A$1:$I$89,3,0)*VLOOKUP('Données projet'!$B$10,Paramètres!$A$1:$I$89,5,0)</f>
        <v>-1.5074874681886286E-13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207.77463758757142</v>
      </c>
      <c r="AO93" s="59">
        <f t="shared" si="90"/>
        <v>180.50802165484066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85.82286812205669</v>
      </c>
      <c r="AV93" s="21">
        <f>EXP(-LN(2)/25)*AV92+(1-EXP(-LN(2)/25))/(LN(2)/25)*Calculateur!AQ93*Calculateur!AS93*VLOOKUP('Données projet'!$B$10,Paramètres!$A$1:$I$89,3,0)*0.475*44/12</f>
        <v>41.571339775004652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127.39420789706134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596.20000000000005</v>
      </c>
      <c r="BB93" s="12">
        <f>VLOOKUP(A93,'Données projet'!$A$87:$I$107,9,0)</f>
        <v>6.9000000000000057</v>
      </c>
      <c r="BC93" s="12">
        <f t="array" ref="BC93">INDEX(BB:BB,MIN(IF(ISNUMBER(BB93:BB289),ROW(BB93:BB289),"")))</f>
        <v>6.9000000000000057</v>
      </c>
      <c r="BD93" s="12">
        <f>IF('Données projet'!$A$88&gt;35,BD92+BC93-BL92,IF(A93&lt;'Données projet'!$A$88,$BA$205^A93,IF(A93='Données projet'!$A$88,'Données projet'!$B$88,BD92+BC93-BL92)))</f>
        <v>596.19999999999982</v>
      </c>
      <c r="BE93" s="13">
        <f>BD93*VLOOKUP('Données projet'!$B$11,Paramètres!$A$1:$I$89,3,0)*VLOOKUP('Données projet'!$B$11,Paramètres!$A$1:$I$89,5,0)</f>
        <v>356.52759999999995</v>
      </c>
      <c r="BF93" s="13">
        <f t="shared" si="91"/>
        <v>82.905162947947815</v>
      </c>
      <c r="BG93" s="20">
        <f t="shared" si="61"/>
        <v>765.34539546767564</v>
      </c>
      <c r="BH93" s="59">
        <f t="shared" si="62"/>
        <v>1058.6787288010089</v>
      </c>
      <c r="BI93" s="59">
        <f ca="1">AVERAGE(OFFSET($BH$3,0,0,'Données projet'!$E$11+1,1))-AVERAGE(OFFSET($H$3,0,0,'Données projet'!$E$11+1,1))</f>
        <v>393.01180019332998</v>
      </c>
      <c r="BJ93" s="59">
        <f t="shared" si="92"/>
        <v>283.82782416294748</v>
      </c>
      <c r="BK93" s="15">
        <f>IF(ISNA(VLOOKUP(A93,'Données projet'!$A$87:$I$107,3,0)),0,VLOOKUP(A93,'Données projet'!$A$87:$I$107,3,0))</f>
        <v>12</v>
      </c>
      <c r="BL93" s="15">
        <f>IF(ISNA(VLOOKUP(A93,'Données projet'!$A$87:$I$107,4,0)),0,VLOOKUP(A93,'Données projet'!$A$87:$I$107,4,0))</f>
        <v>596.20000000000005</v>
      </c>
      <c r="BM93" s="16">
        <f>IF(ISNA(VLOOKUP(A93,'Données projet'!$A$87:$I$107,5,0)),0%,VLOOKUP(A93,'Données projet'!$A$87:$I$107,5,0)*VLOOKUP('Données projet'!$B$11,Paramètres!$A$1:$I$89,7,0))</f>
        <v>0.315</v>
      </c>
      <c r="BN93" s="16">
        <f>IF(ISNA(VLOOKUP(A93,'Données projet'!$A$87:$I$107,6,0)),0%,VLOOKUP(A93,'Données projet'!$A$87:$I$107,6,0)*VLOOKUP('Données projet'!$B$11,Paramètres!$A$1:$I$89,7,0))</f>
        <v>0.13500000000000001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194.56140841295945</v>
      </c>
      <c r="BQ93" s="21">
        <f>EXP(-LN(2)/25)*BQ92+(1-EXP(-LN(2)/25))/(LN(2)/25)*Calculateur!BL93*Calculateur!BN93*VLOOKUP('Données projet'!$B$11,Paramètres!$A$1:$I$89,3,0)*0.475*44/12</f>
        <v>85.956200727697791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280.51760914065721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596.20000000000005</v>
      </c>
      <c r="BW93" s="12">
        <f>VLOOKUP(A93,'Données projet'!$A$113:$I$133,9,0)</f>
        <v>6.9000000000000057</v>
      </c>
      <c r="BX93" s="12">
        <f t="array" ref="BX93">INDEX(BW:BW,MIN(IF(ISNUMBER(BW93:BW289),ROW(BW93:BW289),"")))</f>
        <v>6.9000000000000057</v>
      </c>
      <c r="BY93" s="12">
        <f>IF('Données projet'!$A$114&gt;35,BY92+BX93-CG92,IF(A93&lt;'Données projet'!$A$114,$BV$205^A93,IF(A93='Données projet'!$A$114,'Données projet'!$B$114,BY92+BX93-CG92)))</f>
        <v>596.19999999999982</v>
      </c>
      <c r="BZ93" s="13">
        <f>BY93*VLOOKUP('Données projet'!$B$12,Paramètres!$A$1:$I$89,3,0)*VLOOKUP('Données projet'!$B$12,Paramètres!$A$1:$I$89,5,0)</f>
        <v>356.52759999999995</v>
      </c>
      <c r="CA93" s="13">
        <f t="shared" si="93"/>
        <v>82.905162947947815</v>
      </c>
      <c r="CB93" s="20">
        <f t="shared" si="64"/>
        <v>765.34539546767564</v>
      </c>
      <c r="CC93" s="59">
        <f t="shared" si="65"/>
        <v>1058.6787288010089</v>
      </c>
      <c r="CD93" s="59">
        <f ca="1">AVERAGE(OFFSET($CC$3,0,0,'Données projet'!$E$12+1,1))-AVERAGE(OFFSET($H$3,0,0,'Données projet'!$E$12+1,1))</f>
        <v>393.01180019332998</v>
      </c>
      <c r="CE93" s="59">
        <f t="shared" si="94"/>
        <v>283.82782416294748</v>
      </c>
      <c r="CF93" s="15">
        <f>IF(ISNA(VLOOKUP(A93,'Données projet'!$A$113:$I$133,3,0)),0,VLOOKUP(A93,'Données projet'!$A$113:$I$133,3,0))</f>
        <v>12</v>
      </c>
      <c r="CG93" s="15">
        <f>IF(ISNA(VLOOKUP(A93,'Données projet'!$A$113:$I$133,4,0)),0,VLOOKUP(A93,'Données projet'!$A$113:$I$133,4,0))</f>
        <v>596.20000000000005</v>
      </c>
      <c r="CH93" s="16">
        <f>IF(ISNA(VLOOKUP(A93,'Données projet'!$A$113:$I$133,5,0)),0%,VLOOKUP(A93,'Données projet'!$A$113:$I$133,5,0)*VLOOKUP('Données projet'!$B$12,Paramètres!$A$1:$I$89,7,0))</f>
        <v>0.315</v>
      </c>
      <c r="CI93" s="16">
        <f>IF(ISNA(VLOOKUP(A93,'Données projet'!$A$113:$I$133,6,0)),0%,VLOOKUP(A93,'Données projet'!$A$113:$I$133,6,0)*VLOOKUP('Données projet'!$B$12,Paramètres!$A$1:$I$89,7,0))</f>
        <v>0.13500000000000001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194.56140841295945</v>
      </c>
      <c r="CL93" s="21">
        <f>EXP(-LN(2)/25)*CL92+(1-EXP(-LN(2)/25))/(LN(2)/25)*Calculateur!CG93*Calculateur!CI93*VLOOKUP('Données projet'!$B$12,Paramètres!$A$1:$I$89,3,0)*0.475*44/12</f>
        <v>85.956200727697791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280.51760914065721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596.20000000000005</v>
      </c>
      <c r="CR93" s="12">
        <f>VLOOKUP(A93,'Données projet'!$A$139:$I$159,9,0)</f>
        <v>6.9000000000000057</v>
      </c>
      <c r="CS93" s="12">
        <f t="array" ref="CS93">INDEX(CR:CR,MIN(IF(ISNUMBER(CR93:CR289),ROW(CR93:CR289),"")))</f>
        <v>6.9000000000000057</v>
      </c>
      <c r="CT93" s="12">
        <f>IF('Données projet'!$A$140&gt;35,CT92+CS93-DB92,IF(A93&lt;'Données projet'!$A$140,$CQ$205^A93,IF(A93='Données projet'!$A$140,'Données projet'!$B$140,CT92+CS93-DB92)))</f>
        <v>596.19999999999982</v>
      </c>
      <c r="CU93" s="17">
        <f>CT93*VLOOKUP('Données projet'!$B$13,Paramètres!$A$1:$I$89,3,0)*VLOOKUP('Données projet'!$B$13,Paramètres!$A$1:$I$89,5,0)</f>
        <v>356.52759999999995</v>
      </c>
      <c r="CV93" s="13">
        <f t="shared" si="95"/>
        <v>82.905162947947815</v>
      </c>
      <c r="CW93" s="20">
        <f t="shared" si="67"/>
        <v>765.34539546767564</v>
      </c>
      <c r="CX93" s="59">
        <f t="shared" si="68"/>
        <v>1058.6787288010089</v>
      </c>
      <c r="CY93" s="59">
        <f ca="1">AVERAGE(OFFSET($CX$3,0,0,'Données projet'!$E$13+1,1))-AVERAGE(OFFSET($H$3,0,0,'Données projet'!$E$13+1,1))</f>
        <v>393.01180019332998</v>
      </c>
      <c r="CZ93" s="59">
        <f t="shared" si="96"/>
        <v>283.82782416294748</v>
      </c>
      <c r="DA93" s="15">
        <f>IF(ISNA(VLOOKUP(A93,'Données projet'!$A$139:$I$159,3,0)),0,VLOOKUP(A93,'Données projet'!$A$139:$I$159,3,0))</f>
        <v>12</v>
      </c>
      <c r="DB93" s="15">
        <f>IF(ISNA(VLOOKUP(A93,'Données projet'!$A$139:$I$159,4,0)),0,VLOOKUP(A93,'Données projet'!$A$139:$I$159,4,0))</f>
        <v>596.20000000000005</v>
      </c>
      <c r="DC93" s="16">
        <f>IF(ISNA(VLOOKUP(A93,'Données projet'!$A$139:$I$159,5,0)),0%,VLOOKUP(A93,'Données projet'!$A$139:$I$159,5,0)*VLOOKUP('Données projet'!$B$13,Paramètres!$A$1:$I$89,7,0))</f>
        <v>0.315</v>
      </c>
      <c r="DD93" s="16">
        <f>IF(ISNA(VLOOKUP(A93,'Données projet'!$A$139:$I$159,6,0)),0%,VLOOKUP(A93,'Données projet'!$A$139:$I$159,6,0)*VLOOKUP('Données projet'!$B$13,Paramètres!$A$1:$I$89,7,0))</f>
        <v>0.13500000000000001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194.56140841295945</v>
      </c>
      <c r="DG93" s="21">
        <f>EXP(-LN(2)/25)*DG92+(1-EXP(-LN(2)/25))/(LN(2)/25)*Calculateur!DB93*Calculateur!DD93*VLOOKUP('Données projet'!$B$13,Paramètres!$A$1:$I$89,3,0)*0.475*44/12</f>
        <v>85.956200727697791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280.51760914065721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>
        <f>VLOOKUP(A93,'Données projet'!$A$165:$I$185,2,0)</f>
        <v>596.20000000000005</v>
      </c>
      <c r="DM93" s="12">
        <f>VLOOKUP(A93,'Données projet'!$A$165:$I$185,9,0)</f>
        <v>6.9000000000000057</v>
      </c>
      <c r="DN93" s="12">
        <f t="array" ref="DN93">INDEX(DM:DM,MIN(IF(ISNUMBER(DM93:DM289),ROW(DM93:DM289),"")))</f>
        <v>6.9000000000000057</v>
      </c>
      <c r="DO93" s="12">
        <f>IF('Données projet'!$A$166&gt;35,DO92+DN93-DW92,IF(A93&lt;'Données projet'!$A$166,$DL$205^A93,IF(A93='Données projet'!$A$166,'Données projet'!$B$166,DO92+DN93-DW92)))</f>
        <v>596.19999999999982</v>
      </c>
      <c r="DP93" s="17">
        <f>DO93*VLOOKUP('Données projet'!$B$14,Paramètres!$A$1:$I$89,3,0)*VLOOKUP('Données projet'!$B$14,Paramètres!$A$1:$I$89,5,0)</f>
        <v>356.52759999999995</v>
      </c>
      <c r="DQ93" s="13">
        <f t="shared" si="97"/>
        <v>82.905162947947815</v>
      </c>
      <c r="DR93" s="20">
        <f t="shared" si="70"/>
        <v>765.34539546767564</v>
      </c>
      <c r="DS93" s="59">
        <f t="shared" si="71"/>
        <v>1058.6787288010089</v>
      </c>
      <c r="DT93" s="59">
        <f ca="1">AVERAGE(OFFSET($DS$3,0,0,'Données projet'!$E$14+1,1))-AVERAGE(OFFSET($H$3,0,0,'Données projet'!$E$14+1,1))</f>
        <v>393.01180019332998</v>
      </c>
      <c r="DU93" s="59">
        <f t="shared" si="98"/>
        <v>283.82782416294748</v>
      </c>
      <c r="DV93" s="15">
        <f>IF(ISNA(VLOOKUP(A93,'Données projet'!$A$165:$I$185,3,0)),0,VLOOKUP(A93,'Données projet'!$A$165:$I$185,3,0))</f>
        <v>12</v>
      </c>
      <c r="DW93" s="15">
        <f>IF(ISNA(VLOOKUP(A93,'Données projet'!$A$165:$I$185,4,0)),0,VLOOKUP(A93,'Données projet'!$A$165:$I$185,4,0))</f>
        <v>596.20000000000005</v>
      </c>
      <c r="DX93" s="16">
        <f>IF(ISNA(VLOOKUP(A93,'Données projet'!$A$165:$I$185,5,0)),0%,VLOOKUP(A93,'Données projet'!$A$165:$I$185,5,0)*VLOOKUP('Données projet'!$B$14,Paramètres!$A$1:$I$89,7,0))</f>
        <v>0.315</v>
      </c>
      <c r="DY93" s="16">
        <f>IF(ISNA(VLOOKUP(A93,'Données projet'!$A$165:$I$185,6,0)),0%,VLOOKUP(A93,'Données projet'!$A$165:$I$185,6,0)*VLOOKUP('Données projet'!$B$14,Paramètres!$A$1:$I$89,7,0))</f>
        <v>0.13500000000000001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194.56140841295945</v>
      </c>
      <c r="EB93" s="21">
        <f>EXP(-LN(2)/25)*EB92+(1-EXP(-LN(2)/25))/(LN(2)/25)*Calculateur!DW93*Calculateur!DY93*VLOOKUP('Données projet'!$B$14,Paramètres!$A$1:$I$89,3,0)*0.475*44/12</f>
        <v>85.956200727697791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280.51760914065721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10.505040000000005</v>
      </c>
      <c r="D94" s="11">
        <f t="shared" si="86"/>
        <v>3.6817905762283454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21.902475275580613</v>
      </c>
      <c r="H94" s="67">
        <f t="shared" si="56"/>
        <v>281.37539658693106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-1.1368683772161603E-13</v>
      </c>
      <c r="O94" s="13">
        <f>N94*VLOOKUP('Données projet'!$B$9,Paramètres!$A$1:$I$89,3,0)*VLOOKUP('Données projet'!$B$9,Paramètres!$A$1:$I$89,5,0)</f>
        <v>-5.3205440053716299E-14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189.8770435341392</v>
      </c>
      <c r="T94" s="59">
        <f t="shared" si="88"/>
        <v>230.18380961122767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59.41194752917842</v>
      </c>
      <c r="AA94" s="21">
        <f>EXP(-LN(2)/25)*AA93+(1-EXP(-LN(2)/25))/(LN(2)/25)*Calculateur!V94*Calculateur!X94*VLOOKUP('Données projet'!$B$9,Paramètres!$A$1:$I$89,3,0)*0.475*44/12</f>
        <v>26.361873061703051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85.773820590881471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-3.4106051316484809E-13</v>
      </c>
      <c r="AJ94" s="13">
        <f>AI94*VLOOKUP('Données projet'!$B$10,Paramètres!$A$1:$I$89,3,0)*VLOOKUP('Données projet'!$B$10,Paramètres!$A$1:$I$89,5,0)</f>
        <v>-1.5074874681886286E-13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207.77463758757142</v>
      </c>
      <c r="AO94" s="59">
        <f t="shared" si="90"/>
        <v>180.50802165484066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84.139934024963893</v>
      </c>
      <c r="AV94" s="21">
        <f>EXP(-LN(2)/25)*AV93+(1-EXP(-LN(2)/25))/(LN(2)/25)*Calculateur!AQ94*Calculateur!AS94*VLOOKUP('Données projet'!$B$10,Paramètres!$A$1:$I$89,3,0)*0.475*44/12</f>
        <v>40.434569302715403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124.5745033276793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-2.2737367544323206E-13</v>
      </c>
      <c r="BE94" s="13">
        <f>BD94*VLOOKUP('Données projet'!$B$11,Paramètres!$A$1:$I$89,3,0)*VLOOKUP('Données projet'!$B$11,Paramètres!$A$1:$I$89,5,0)</f>
        <v>-1.3596945791505279E-13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393.01180019332998</v>
      </c>
      <c r="BJ94" s="59">
        <f t="shared" si="92"/>
        <v>283.82782416294748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190.74617786472268</v>
      </c>
      <c r="BQ94" s="21">
        <f>EXP(-LN(2)/25)*BQ93+(1-EXP(-LN(2)/25))/(LN(2)/25)*Calculateur!BL94*Calculateur!BN94*VLOOKUP('Données projet'!$B$11,Paramètres!$A$1:$I$89,3,0)*0.475*44/12</f>
        <v>83.60572389855875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274.35190176328143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-2.2737367544323206E-13</v>
      </c>
      <c r="BZ94" s="13">
        <f>BY94*VLOOKUP('Données projet'!$B$12,Paramètres!$A$1:$I$89,3,0)*VLOOKUP('Données projet'!$B$12,Paramètres!$A$1:$I$89,5,0)</f>
        <v>-1.3596945791505279E-13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393.01180019332998</v>
      </c>
      <c r="CE94" s="59">
        <f t="shared" si="94"/>
        <v>283.82782416294748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190.74617786472268</v>
      </c>
      <c r="CL94" s="21">
        <f>EXP(-LN(2)/25)*CL93+(1-EXP(-LN(2)/25))/(LN(2)/25)*Calculateur!CG94*Calculateur!CI94*VLOOKUP('Données projet'!$B$12,Paramètres!$A$1:$I$89,3,0)*0.475*44/12</f>
        <v>83.60572389855875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274.35190176328143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-2.2737367544323206E-13</v>
      </c>
      <c r="CU94" s="17">
        <f>CT94*VLOOKUP('Données projet'!$B$13,Paramètres!$A$1:$I$89,3,0)*VLOOKUP('Données projet'!$B$13,Paramètres!$A$1:$I$89,5,0)</f>
        <v>-1.3596945791505279E-13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393.01180019332998</v>
      </c>
      <c r="CZ94" s="59">
        <f t="shared" si="96"/>
        <v>283.82782416294748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190.74617786472268</v>
      </c>
      <c r="DG94" s="21">
        <f>EXP(-LN(2)/25)*DG93+(1-EXP(-LN(2)/25))/(LN(2)/25)*Calculateur!DB94*Calculateur!DD94*VLOOKUP('Données projet'!$B$13,Paramètres!$A$1:$I$89,3,0)*0.475*44/12</f>
        <v>83.60572389855875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274.35190176328143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-2.2737367544323206E-13</v>
      </c>
      <c r="DP94" s="17">
        <f>DO94*VLOOKUP('Données projet'!$B$14,Paramètres!$A$1:$I$89,3,0)*VLOOKUP('Données projet'!$B$14,Paramètres!$A$1:$I$89,5,0)</f>
        <v>-1.3596945791505279E-13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393.01180019332998</v>
      </c>
      <c r="DU94" s="59">
        <f t="shared" si="98"/>
        <v>283.82782416294748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190.74617786472268</v>
      </c>
      <c r="EB94" s="21">
        <f>EXP(-LN(2)/25)*EB93+(1-EXP(-LN(2)/25))/(LN(2)/25)*Calculateur!DW94*Calculateur!DY94*VLOOKUP('Données projet'!$B$14,Paramètres!$A$1:$I$89,3,0)*0.475*44/12</f>
        <v>83.60572389855875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274.35190176328143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10.620480000000004</v>
      </c>
      <c r="D95" s="11">
        <f t="shared" si="86"/>
        <v>3.717517586945104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22.135855923704728</v>
      </c>
      <c r="H95" s="67">
        <f t="shared" si="56"/>
        <v>281.63867913059607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-1.1368683772161603E-13</v>
      </c>
      <c r="O95" s="13">
        <f>N95*VLOOKUP('Données projet'!$B$9,Paramètres!$A$1:$I$89,3,0)*VLOOKUP('Données projet'!$B$9,Paramètres!$A$1:$I$89,5,0)</f>
        <v>-5.3205440053716299E-14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189.8770435341392</v>
      </c>
      <c r="T95" s="59">
        <f t="shared" si="88"/>
        <v>230.18380961122767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58.24691547584105</v>
      </c>
      <c r="AA95" s="21">
        <f>EXP(-LN(2)/25)*AA94+(1-EXP(-LN(2)/25))/(LN(2)/25)*Calculateur!V95*Calculateur!X95*VLOOKUP('Données projet'!$B$9,Paramètres!$A$1:$I$89,3,0)*0.475*44/12</f>
        <v>25.641006256520129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83.887921732361178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-3.4106051316484809E-13</v>
      </c>
      <c r="AJ95" s="13">
        <f>AI95*VLOOKUP('Données projet'!$B$10,Paramètres!$A$1:$I$89,3,0)*VLOOKUP('Données projet'!$B$10,Paramètres!$A$1:$I$89,5,0)</f>
        <v>-1.5074874681886286E-13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207.77463758757142</v>
      </c>
      <c r="AO95" s="59">
        <f t="shared" si="90"/>
        <v>180.50802165484066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82.490001239026654</v>
      </c>
      <c r="AV95" s="21">
        <f>EXP(-LN(2)/25)*AV94+(1-EXP(-LN(2)/25))/(LN(2)/25)*Calculateur!AQ95*Calculateur!AS95*VLOOKUP('Données projet'!$B$10,Paramètres!$A$1:$I$89,3,0)*0.475*44/12</f>
        <v>39.328883878771066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121.81888511779772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-2.2737367544323206E-13</v>
      </c>
      <c r="BE95" s="13">
        <f>BD95*VLOOKUP('Données projet'!$B$11,Paramètres!$A$1:$I$89,3,0)*VLOOKUP('Données projet'!$B$11,Paramètres!$A$1:$I$89,5,0)</f>
        <v>-1.3596945791505279E-13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393.01180019332998</v>
      </c>
      <c r="BJ95" s="59">
        <f t="shared" si="92"/>
        <v>283.82782416294748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187.005761660476</v>
      </c>
      <c r="BQ95" s="21">
        <f>EXP(-LN(2)/25)*BQ94+(1-EXP(-LN(2)/25))/(LN(2)/25)*Calculateur!BL95*Calculateur!BN95*VLOOKUP('Données projet'!$B$11,Paramètres!$A$1:$I$89,3,0)*0.475*44/12</f>
        <v>81.319520981918728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268.32528264239471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-2.2737367544323206E-13</v>
      </c>
      <c r="BZ95" s="13">
        <f>BY95*VLOOKUP('Données projet'!$B$12,Paramètres!$A$1:$I$89,3,0)*VLOOKUP('Données projet'!$B$12,Paramètres!$A$1:$I$89,5,0)</f>
        <v>-1.3596945791505279E-13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393.01180019332998</v>
      </c>
      <c r="CE95" s="59">
        <f t="shared" si="94"/>
        <v>283.82782416294748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187.005761660476</v>
      </c>
      <c r="CL95" s="21">
        <f>EXP(-LN(2)/25)*CL94+(1-EXP(-LN(2)/25))/(LN(2)/25)*Calculateur!CG95*Calculateur!CI95*VLOOKUP('Données projet'!$B$12,Paramètres!$A$1:$I$89,3,0)*0.475*44/12</f>
        <v>81.319520981918728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268.32528264239471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-2.2737367544323206E-13</v>
      </c>
      <c r="CU95" s="17">
        <f>CT95*VLOOKUP('Données projet'!$B$13,Paramètres!$A$1:$I$89,3,0)*VLOOKUP('Données projet'!$B$13,Paramètres!$A$1:$I$89,5,0)</f>
        <v>-1.3596945791505279E-13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393.01180019332998</v>
      </c>
      <c r="CZ95" s="59">
        <f t="shared" si="96"/>
        <v>283.82782416294748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187.005761660476</v>
      </c>
      <c r="DG95" s="21">
        <f>EXP(-LN(2)/25)*DG94+(1-EXP(-LN(2)/25))/(LN(2)/25)*Calculateur!DB95*Calculateur!DD95*VLOOKUP('Données projet'!$B$13,Paramètres!$A$1:$I$89,3,0)*0.475*44/12</f>
        <v>81.319520981918728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268.32528264239471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-2.2737367544323206E-13</v>
      </c>
      <c r="DP95" s="17">
        <f>DO95*VLOOKUP('Données projet'!$B$14,Paramètres!$A$1:$I$89,3,0)*VLOOKUP('Données projet'!$B$14,Paramètres!$A$1:$I$89,5,0)</f>
        <v>-1.3596945791505279E-13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393.01180019332998</v>
      </c>
      <c r="DU95" s="59">
        <f t="shared" si="98"/>
        <v>283.82782416294748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187.005761660476</v>
      </c>
      <c r="EB95" s="21">
        <f>EXP(-LN(2)/25)*EB94+(1-EXP(-LN(2)/25))/(LN(2)/25)*Calculateur!DW95*Calculateur!DY95*VLOOKUP('Données projet'!$B$14,Paramètres!$A$1:$I$89,3,0)*0.475*44/12</f>
        <v>81.319520981918728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268.32528264239471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10.735920000000004</v>
      </c>
      <c r="D96" s="11">
        <f t="shared" si="86"/>
        <v>3.7531994228692085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22.369166828289309</v>
      </c>
      <c r="H96" s="67">
        <f t="shared" si="56"/>
        <v>281.90188299483054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-1.1368683772161603E-13</v>
      </c>
      <c r="O96" s="13">
        <f>N96*VLOOKUP('Données projet'!$B$9,Paramètres!$A$1:$I$89,3,0)*VLOOKUP('Données projet'!$B$9,Paramètres!$A$1:$I$89,5,0)</f>
        <v>-5.3205440053716299E-14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189.8770435341392</v>
      </c>
      <c r="T96" s="59">
        <f t="shared" si="88"/>
        <v>230.18380961122767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57.104728990470235</v>
      </c>
      <c r="AA96" s="21">
        <f>EXP(-LN(2)/25)*AA95+(1-EXP(-LN(2)/25))/(LN(2)/25)*Calculateur!V96*Calculateur!X96*VLOOKUP('Données projet'!$B$9,Paramètres!$A$1:$I$89,3,0)*0.475*44/12</f>
        <v>24.939851592033669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82.044580582503897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-3.4106051316484809E-13</v>
      </c>
      <c r="AJ96" s="13">
        <f>AI96*VLOOKUP('Données projet'!$B$10,Paramètres!$A$1:$I$89,3,0)*VLOOKUP('Données projet'!$B$10,Paramètres!$A$1:$I$89,5,0)</f>
        <v>-1.5074874681886286E-13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207.77463758757142</v>
      </c>
      <c r="AO96" s="59">
        <f t="shared" si="90"/>
        <v>180.50802165484066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80.872422628662008</v>
      </c>
      <c r="AV96" s="21">
        <f>EXP(-LN(2)/25)*AV95+(1-EXP(-LN(2)/25))/(LN(2)/25)*Calculateur!AQ96*Calculateur!AS96*VLOOKUP('Données projet'!$B$10,Paramètres!$A$1:$I$89,3,0)*0.475*44/12</f>
        <v>38.253433480889953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119.12585610955196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-2.2737367544323206E-13</v>
      </c>
      <c r="BE96" s="13">
        <f>BD96*VLOOKUP('Données projet'!$B$11,Paramètres!$A$1:$I$89,3,0)*VLOOKUP('Données projet'!$B$11,Paramètres!$A$1:$I$89,5,0)</f>
        <v>-1.3596945791505279E-13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393.01180019332998</v>
      </c>
      <c r="BJ96" s="59">
        <f t="shared" si="92"/>
        <v>283.82782416294748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183.33869273656597</v>
      </c>
      <c r="BQ96" s="21">
        <f>EXP(-LN(2)/25)*BQ95+(1-EXP(-LN(2)/25))/(LN(2)/25)*Calculateur!BL96*Calculateur!BN96*VLOOKUP('Données projet'!$B$11,Paramètres!$A$1:$I$89,3,0)*0.475*44/12</f>
        <v>79.095834404260415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262.43452714082639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-2.2737367544323206E-13</v>
      </c>
      <c r="BZ96" s="13">
        <f>BY96*VLOOKUP('Données projet'!$B$12,Paramètres!$A$1:$I$89,3,0)*VLOOKUP('Données projet'!$B$12,Paramètres!$A$1:$I$89,5,0)</f>
        <v>-1.3596945791505279E-13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393.01180019332998</v>
      </c>
      <c r="CE96" s="59">
        <f t="shared" si="94"/>
        <v>283.82782416294748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183.33869273656597</v>
      </c>
      <c r="CL96" s="21">
        <f>EXP(-LN(2)/25)*CL95+(1-EXP(-LN(2)/25))/(LN(2)/25)*Calculateur!CG96*Calculateur!CI96*VLOOKUP('Données projet'!$B$12,Paramètres!$A$1:$I$89,3,0)*0.475*44/12</f>
        <v>79.095834404260415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262.43452714082639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-2.2737367544323206E-13</v>
      </c>
      <c r="CU96" s="17">
        <f>CT96*VLOOKUP('Données projet'!$B$13,Paramètres!$A$1:$I$89,3,0)*VLOOKUP('Données projet'!$B$13,Paramètres!$A$1:$I$89,5,0)</f>
        <v>-1.3596945791505279E-13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393.01180019332998</v>
      </c>
      <c r="CZ96" s="59">
        <f t="shared" si="96"/>
        <v>283.82782416294748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183.33869273656597</v>
      </c>
      <c r="DG96" s="21">
        <f>EXP(-LN(2)/25)*DG95+(1-EXP(-LN(2)/25))/(LN(2)/25)*Calculateur!DB96*Calculateur!DD96*VLOOKUP('Données projet'!$B$13,Paramètres!$A$1:$I$89,3,0)*0.475*44/12</f>
        <v>79.095834404260415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262.43452714082639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-2.2737367544323206E-13</v>
      </c>
      <c r="DP96" s="17">
        <f>DO96*VLOOKUP('Données projet'!$B$14,Paramètres!$A$1:$I$89,3,0)*VLOOKUP('Données projet'!$B$14,Paramètres!$A$1:$I$89,5,0)</f>
        <v>-1.3596945791505279E-13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393.01180019332998</v>
      </c>
      <c r="DU96" s="59">
        <f t="shared" si="98"/>
        <v>283.82782416294748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183.33869273656597</v>
      </c>
      <c r="EB96" s="21">
        <f>EXP(-LN(2)/25)*EB95+(1-EXP(-LN(2)/25))/(LN(2)/25)*Calculateur!DW96*Calculateur!DY96*VLOOKUP('Données projet'!$B$14,Paramètres!$A$1:$I$89,3,0)*0.475*44/12</f>
        <v>79.095834404260415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262.43452714082639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10.851360000000003</v>
      </c>
      <c r="D97" s="11">
        <f t="shared" si="86"/>
        <v>3.7888366259742354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22.602408826065496</v>
      </c>
      <c r="H97" s="67">
        <f t="shared" si="56"/>
        <v>282.16500912357179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-1.1368683772161603E-13</v>
      </c>
      <c r="O97" s="13">
        <f>N97*VLOOKUP('Données projet'!$B$9,Paramètres!$A$1:$I$89,3,0)*VLOOKUP('Données projet'!$B$9,Paramètres!$A$1:$I$89,5,0)</f>
        <v>-5.3205440053716299E-14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189.8770435341392</v>
      </c>
      <c r="T97" s="59">
        <f t="shared" si="88"/>
        <v>230.18380961122767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55.984940085412575</v>
      </c>
      <c r="AA97" s="21">
        <f>EXP(-LN(2)/25)*AA96+(1-EXP(-LN(2)/25))/(LN(2)/25)*Calculateur!V97*Calculateur!X97*VLOOKUP('Données projet'!$B$9,Paramètres!$A$1:$I$89,3,0)*0.475*44/12</f>
        <v>24.257870038719712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80.242810124132291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-3.4106051316484809E-13</v>
      </c>
      <c r="AJ97" s="13">
        <f>AI97*VLOOKUP('Données projet'!$B$10,Paramètres!$A$1:$I$89,3,0)*VLOOKUP('Données projet'!$B$10,Paramètres!$A$1:$I$89,5,0)</f>
        <v>-1.5074874681886286E-13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207.77463758757142</v>
      </c>
      <c r="AO97" s="59">
        <f t="shared" si="90"/>
        <v>180.50802165484066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79.286563748221084</v>
      </c>
      <c r="AV97" s="21">
        <f>EXP(-LN(2)/25)*AV96+(1-EXP(-LN(2)/25))/(LN(2)/25)*Calculateur!AQ97*Calculateur!AS97*VLOOKUP('Données projet'!$B$10,Paramètres!$A$1:$I$89,3,0)*0.475*44/12</f>
        <v>37.207391330694378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116.49395507891546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-2.2737367544323206E-13</v>
      </c>
      <c r="BE97" s="13">
        <f>BD97*VLOOKUP('Données projet'!$B$11,Paramètres!$A$1:$I$89,3,0)*VLOOKUP('Données projet'!$B$11,Paramètres!$A$1:$I$89,5,0)</f>
        <v>-1.3596945791505279E-13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393.01180019332998</v>
      </c>
      <c r="BJ97" s="59">
        <f t="shared" si="92"/>
        <v>283.82782416294748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179.74353279756264</v>
      </c>
      <c r="BQ97" s="21">
        <f>EXP(-LN(2)/25)*BQ96+(1-EXP(-LN(2)/25))/(LN(2)/25)*Calculateur!BL97*Calculateur!BN97*VLOOKUP('Données projet'!$B$11,Paramètres!$A$1:$I$89,3,0)*0.475*44/12</f>
        <v>76.93295465300676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256.67648745056943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-2.2737367544323206E-13</v>
      </c>
      <c r="BZ97" s="13">
        <f>BY97*VLOOKUP('Données projet'!$B$12,Paramètres!$A$1:$I$89,3,0)*VLOOKUP('Données projet'!$B$12,Paramètres!$A$1:$I$89,5,0)</f>
        <v>-1.3596945791505279E-13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393.01180019332998</v>
      </c>
      <c r="CE97" s="59">
        <f t="shared" si="94"/>
        <v>283.82782416294748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179.74353279756264</v>
      </c>
      <c r="CL97" s="21">
        <f>EXP(-LN(2)/25)*CL96+(1-EXP(-LN(2)/25))/(LN(2)/25)*Calculateur!CG97*Calculateur!CI97*VLOOKUP('Données projet'!$B$12,Paramètres!$A$1:$I$89,3,0)*0.475*44/12</f>
        <v>76.93295465300676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256.67648745056943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-2.2737367544323206E-13</v>
      </c>
      <c r="CU97" s="17">
        <f>CT97*VLOOKUP('Données projet'!$B$13,Paramètres!$A$1:$I$89,3,0)*VLOOKUP('Données projet'!$B$13,Paramètres!$A$1:$I$89,5,0)</f>
        <v>-1.3596945791505279E-13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393.01180019332998</v>
      </c>
      <c r="CZ97" s="59">
        <f t="shared" si="96"/>
        <v>283.82782416294748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179.74353279756264</v>
      </c>
      <c r="DG97" s="21">
        <f>EXP(-LN(2)/25)*DG96+(1-EXP(-LN(2)/25))/(LN(2)/25)*Calculateur!DB97*Calculateur!DD97*VLOOKUP('Données projet'!$B$13,Paramètres!$A$1:$I$89,3,0)*0.475*44/12</f>
        <v>76.93295465300676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256.67648745056943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-2.2737367544323206E-13</v>
      </c>
      <c r="DP97" s="17">
        <f>DO97*VLOOKUP('Données projet'!$B$14,Paramètres!$A$1:$I$89,3,0)*VLOOKUP('Données projet'!$B$14,Paramètres!$A$1:$I$89,5,0)</f>
        <v>-1.3596945791505279E-13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393.01180019332998</v>
      </c>
      <c r="DU97" s="59">
        <f t="shared" si="98"/>
        <v>283.82782416294748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179.74353279756264</v>
      </c>
      <c r="EB97" s="21">
        <f>EXP(-LN(2)/25)*EB96+(1-EXP(-LN(2)/25))/(LN(2)/25)*Calculateur!DW97*Calculateur!DY97*VLOOKUP('Données projet'!$B$14,Paramètres!$A$1:$I$89,3,0)*0.475*44/12</f>
        <v>76.93295465300676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256.67648745056943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10.966800000000003</v>
      </c>
      <c r="D98" s="11">
        <f t="shared" si="86"/>
        <v>3.8244297260381468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22.835582734936093</v>
      </c>
      <c r="H98" s="67">
        <f t="shared" si="56"/>
        <v>282.42805843951646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-1.1368683772161603E-13</v>
      </c>
      <c r="O98" s="13">
        <f>N98*VLOOKUP('Données projet'!$B$9,Paramètres!$A$1:$I$89,3,0)*VLOOKUP('Données projet'!$B$9,Paramètres!$A$1:$I$89,5,0)</f>
        <v>-5.3205440053716299E-14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189.8770435341392</v>
      </c>
      <c r="T98" s="59">
        <f t="shared" si="88"/>
        <v>230.18380961122767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54.887109557779304</v>
      </c>
      <c r="AA98" s="21">
        <f>EXP(-LN(2)/25)*AA97+(1-EXP(-LN(2)/25))/(LN(2)/25)*Calculateur!V98*Calculateur!X98*VLOOKUP('Données projet'!$B$9,Paramètres!$A$1:$I$89,3,0)*0.475*44/12</f>
        <v>23.594537306844977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78.481646864624281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-3.4106051316484809E-13</v>
      </c>
      <c r="AJ98" s="13">
        <f>AI98*VLOOKUP('Données projet'!$B$10,Paramètres!$A$1:$I$89,3,0)*VLOOKUP('Données projet'!$B$10,Paramètres!$A$1:$I$89,5,0)</f>
        <v>-1.5074874681886286E-13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207.77463758757142</v>
      </c>
      <c r="AO98" s="59">
        <f t="shared" si="90"/>
        <v>180.50802165484066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77.731802593147194</v>
      </c>
      <c r="AV98" s="21">
        <f>EXP(-LN(2)/25)*AV97+(1-EXP(-LN(2)/25))/(LN(2)/25)*Calculateur!AQ98*Calculateur!AS98*VLOOKUP('Données projet'!$B$10,Paramètres!$A$1:$I$89,3,0)*0.475*44/12</f>
        <v>36.189953258104872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113.92175585125207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-2.2737367544323206E-13</v>
      </c>
      <c r="BE98" s="13">
        <f>BD98*VLOOKUP('Données projet'!$B$11,Paramètres!$A$1:$I$89,3,0)*VLOOKUP('Données projet'!$B$11,Paramètres!$A$1:$I$89,5,0)</f>
        <v>-1.3596945791505279E-13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393.01180019332998</v>
      </c>
      <c r="BJ98" s="59">
        <f t="shared" si="92"/>
        <v>283.82782416294748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176.21887175213212</v>
      </c>
      <c r="BQ98" s="21">
        <f>EXP(-LN(2)/25)*BQ97+(1-EXP(-LN(2)/25))/(LN(2)/25)*Calculateur!BL98*Calculateur!BN98*VLOOKUP('Données projet'!$B$11,Paramètres!$A$1:$I$89,3,0)*0.475*44/12</f>
        <v>74.829218962292032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251.04809071442415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-2.2737367544323206E-13</v>
      </c>
      <c r="BZ98" s="13">
        <f>BY98*VLOOKUP('Données projet'!$B$12,Paramètres!$A$1:$I$89,3,0)*VLOOKUP('Données projet'!$B$12,Paramètres!$A$1:$I$89,5,0)</f>
        <v>-1.3596945791505279E-13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393.01180019332998</v>
      </c>
      <c r="CE98" s="59">
        <f t="shared" si="94"/>
        <v>283.82782416294748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176.21887175213212</v>
      </c>
      <c r="CL98" s="21">
        <f>EXP(-LN(2)/25)*CL97+(1-EXP(-LN(2)/25))/(LN(2)/25)*Calculateur!CG98*Calculateur!CI98*VLOOKUP('Données projet'!$B$12,Paramètres!$A$1:$I$89,3,0)*0.475*44/12</f>
        <v>74.829218962292032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251.04809071442415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-2.2737367544323206E-13</v>
      </c>
      <c r="CU98" s="17">
        <f>CT98*VLOOKUP('Données projet'!$B$13,Paramètres!$A$1:$I$89,3,0)*VLOOKUP('Données projet'!$B$13,Paramètres!$A$1:$I$89,5,0)</f>
        <v>-1.3596945791505279E-13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393.01180019332998</v>
      </c>
      <c r="CZ98" s="59">
        <f t="shared" si="96"/>
        <v>283.82782416294748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176.21887175213212</v>
      </c>
      <c r="DG98" s="21">
        <f>EXP(-LN(2)/25)*DG97+(1-EXP(-LN(2)/25))/(LN(2)/25)*Calculateur!DB98*Calculateur!DD98*VLOOKUP('Données projet'!$B$13,Paramètres!$A$1:$I$89,3,0)*0.475*44/12</f>
        <v>74.829218962292032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251.04809071442415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-2.2737367544323206E-13</v>
      </c>
      <c r="DP98" s="17">
        <f>DO98*VLOOKUP('Données projet'!$B$14,Paramètres!$A$1:$I$89,3,0)*VLOOKUP('Données projet'!$B$14,Paramètres!$A$1:$I$89,5,0)</f>
        <v>-1.3596945791505279E-13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393.01180019332998</v>
      </c>
      <c r="DU98" s="59">
        <f t="shared" si="98"/>
        <v>283.82782416294748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176.21887175213212</v>
      </c>
      <c r="EB98" s="21">
        <f>EXP(-LN(2)/25)*EB97+(1-EXP(-LN(2)/25))/(LN(2)/25)*Calculateur!DW98*Calculateur!DY98*VLOOKUP('Données projet'!$B$14,Paramètres!$A$1:$I$89,3,0)*0.475*44/12</f>
        <v>74.829218962292032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251.04809071442415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11.082240000000002</v>
      </c>
      <c r="D99" s="11">
        <f t="shared" si="86"/>
        <v>3.8599792410431486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23.068689354592937</v>
      </c>
      <c r="H99" s="67">
        <f t="shared" si="56"/>
        <v>282.69103184481685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-1.1368683772161603E-13</v>
      </c>
      <c r="O99" s="13">
        <f>N99*VLOOKUP('Données projet'!$B$9,Paramètres!$A$1:$I$89,3,0)*VLOOKUP('Données projet'!$B$9,Paramètres!$A$1:$I$89,5,0)</f>
        <v>-5.3205440053716299E-14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189.8770435341392</v>
      </c>
      <c r="T99" s="59">
        <f t="shared" si="88"/>
        <v>230.18380961122767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53.810806817182424</v>
      </c>
      <c r="AA99" s="21">
        <f>EXP(-LN(2)/25)*AA98+(1-EXP(-LN(2)/25))/(LN(2)/25)*Calculateur!V99*Calculateur!X99*VLOOKUP('Données projet'!$B$9,Paramètres!$A$1:$I$89,3,0)*0.475*44/12</f>
        <v>22.949343443406509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76.760150260588929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-3.4106051316484809E-13</v>
      </c>
      <c r="AJ99" s="13">
        <f>AI99*VLOOKUP('Données projet'!$B$10,Paramètres!$A$1:$I$89,3,0)*VLOOKUP('Données projet'!$B$10,Paramètres!$A$1:$I$89,5,0)</f>
        <v>-1.5074874681886286E-13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207.77463758757142</v>
      </c>
      <c r="AO99" s="59">
        <f t="shared" si="90"/>
        <v>180.50802165484066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76.207529356013637</v>
      </c>
      <c r="AV99" s="21">
        <f>EXP(-LN(2)/25)*AV98+(1-EXP(-LN(2)/25))/(LN(2)/25)*Calculateur!AQ99*Calculateur!AS99*VLOOKUP('Données projet'!$B$10,Paramètres!$A$1:$I$89,3,0)*0.475*44/12</f>
        <v>35.200337083115066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111.4078664391287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-2.2737367544323206E-13</v>
      </c>
      <c r="BE99" s="13">
        <f>BD99*VLOOKUP('Données projet'!$B$11,Paramètres!$A$1:$I$89,3,0)*VLOOKUP('Données projet'!$B$11,Paramètres!$A$1:$I$89,5,0)</f>
        <v>-1.3596945791505279E-13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393.01180019332998</v>
      </c>
      <c r="BJ99" s="59">
        <f t="shared" si="92"/>
        <v>283.82782416294748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172.76332715997151</v>
      </c>
      <c r="BQ99" s="21">
        <f>EXP(-LN(2)/25)*BQ98+(1-EXP(-LN(2)/25))/(LN(2)/25)*Calculateur!BL99*Calculateur!BN99*VLOOKUP('Données projet'!$B$11,Paramètres!$A$1:$I$89,3,0)*0.475*44/12</f>
        <v>72.783010034670554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245.54633719464206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-2.2737367544323206E-13</v>
      </c>
      <c r="BZ99" s="13">
        <f>BY99*VLOOKUP('Données projet'!$B$12,Paramètres!$A$1:$I$89,3,0)*VLOOKUP('Données projet'!$B$12,Paramètres!$A$1:$I$89,5,0)</f>
        <v>-1.3596945791505279E-13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393.01180019332998</v>
      </c>
      <c r="CE99" s="59">
        <f t="shared" si="94"/>
        <v>283.82782416294748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172.76332715997151</v>
      </c>
      <c r="CL99" s="21">
        <f>EXP(-LN(2)/25)*CL98+(1-EXP(-LN(2)/25))/(LN(2)/25)*Calculateur!CG99*Calculateur!CI99*VLOOKUP('Données projet'!$B$12,Paramètres!$A$1:$I$89,3,0)*0.475*44/12</f>
        <v>72.783010034670554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245.54633719464206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-2.2737367544323206E-13</v>
      </c>
      <c r="CU99" s="17">
        <f>CT99*VLOOKUP('Données projet'!$B$13,Paramètres!$A$1:$I$89,3,0)*VLOOKUP('Données projet'!$B$13,Paramètres!$A$1:$I$89,5,0)</f>
        <v>-1.3596945791505279E-13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393.01180019332998</v>
      </c>
      <c r="CZ99" s="59">
        <f t="shared" si="96"/>
        <v>283.82782416294748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172.76332715997151</v>
      </c>
      <c r="DG99" s="21">
        <f>EXP(-LN(2)/25)*DG98+(1-EXP(-LN(2)/25))/(LN(2)/25)*Calculateur!DB99*Calculateur!DD99*VLOOKUP('Données projet'!$B$13,Paramètres!$A$1:$I$89,3,0)*0.475*44/12</f>
        <v>72.783010034670554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245.54633719464206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-2.2737367544323206E-13</v>
      </c>
      <c r="DP99" s="17">
        <f>DO99*VLOOKUP('Données projet'!$B$14,Paramètres!$A$1:$I$89,3,0)*VLOOKUP('Données projet'!$B$14,Paramètres!$A$1:$I$89,5,0)</f>
        <v>-1.3596945791505279E-13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393.01180019332998</v>
      </c>
      <c r="DU99" s="59">
        <f t="shared" si="98"/>
        <v>283.82782416294748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172.76332715997151</v>
      </c>
      <c r="EB99" s="21">
        <f>EXP(-LN(2)/25)*EB98+(1-EXP(-LN(2)/25))/(LN(2)/25)*Calculateur!DW99*Calculateur!DY99*VLOOKUP('Données projet'!$B$14,Paramètres!$A$1:$I$89,3,0)*0.475*44/12</f>
        <v>72.783010034670554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245.54633719464206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11.197680000000002</v>
      </c>
      <c r="D100" s="11">
        <f t="shared" si="86"/>
        <v>3.8954856775584039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23.301729467107716</v>
      </c>
      <c r="H100" s="67">
        <f t="shared" si="56"/>
        <v>282.95393022174756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-1.1368683772161603E-13</v>
      </c>
      <c r="O100" s="13">
        <f>N100*VLOOKUP('Données projet'!$B$9,Paramètres!$A$1:$I$89,3,0)*VLOOKUP('Données projet'!$B$9,Paramètres!$A$1:$I$89,5,0)</f>
        <v>-5.3205440053716299E-14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189.8770435341392</v>
      </c>
      <c r="T100" s="59">
        <f t="shared" si="88"/>
        <v>230.18380961122767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52.755609716848795</v>
      </c>
      <c r="AA100" s="21">
        <f>EXP(-LN(2)/25)*AA99+(1-EXP(-LN(2)/25))/(LN(2)/25)*Calculateur!V100*Calculateur!X100*VLOOKUP('Données projet'!$B$9,Paramètres!$A$1:$I$89,3,0)*0.475*44/12</f>
        <v>22.321792440093038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75.07740215694183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-3.4106051316484809E-13</v>
      </c>
      <c r="AJ100" s="13">
        <f>AI100*VLOOKUP('Données projet'!$B$10,Paramètres!$A$1:$I$89,3,0)*VLOOKUP('Données projet'!$B$10,Paramètres!$A$1:$I$89,5,0)</f>
        <v>-1.5074874681886286E-13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207.77463758757142</v>
      </c>
      <c r="AO100" s="59">
        <f t="shared" si="90"/>
        <v>180.50802165484066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74.713146187345401</v>
      </c>
      <c r="AV100" s="21">
        <f>EXP(-LN(2)/25)*AV99+(1-EXP(-LN(2)/25))/(LN(2)/25)*Calculateur!AQ100*Calculateur!AS100*VLOOKUP('Données projet'!$B$10,Paramètres!$A$1:$I$89,3,0)*0.475*44/12</f>
        <v>34.23778201447201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108.95092820181742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-2.2737367544323206E-13</v>
      </c>
      <c r="BE100" s="13">
        <f>BD100*VLOOKUP('Données projet'!$B$11,Paramètres!$A$1:$I$89,3,0)*VLOOKUP('Données projet'!$B$11,Paramètres!$A$1:$I$89,5,0)</f>
        <v>-1.3596945791505279E-13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393.01180019332998</v>
      </c>
      <c r="BJ100" s="59">
        <f t="shared" si="92"/>
        <v>283.82782416294748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169.37554368958911</v>
      </c>
      <c r="BQ100" s="21">
        <f>EXP(-LN(2)/25)*BQ99+(1-EXP(-LN(2)/25))/(LN(2)/25)*Calculateur!BL100*Calculateur!BN100*VLOOKUP('Données projet'!$B$11,Paramètres!$A$1:$I$89,3,0)*0.475*44/12</f>
        <v>70.792754797780333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240.16829848736944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-2.2737367544323206E-13</v>
      </c>
      <c r="BZ100" s="13">
        <f>BY100*VLOOKUP('Données projet'!$B$12,Paramètres!$A$1:$I$89,3,0)*VLOOKUP('Données projet'!$B$12,Paramètres!$A$1:$I$89,5,0)</f>
        <v>-1.3596945791505279E-13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393.01180019332998</v>
      </c>
      <c r="CE100" s="59">
        <f t="shared" si="94"/>
        <v>283.82782416294748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169.37554368958911</v>
      </c>
      <c r="CL100" s="21">
        <f>EXP(-LN(2)/25)*CL99+(1-EXP(-LN(2)/25))/(LN(2)/25)*Calculateur!CG100*Calculateur!CI100*VLOOKUP('Données projet'!$B$12,Paramètres!$A$1:$I$89,3,0)*0.475*44/12</f>
        <v>70.792754797780333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240.16829848736944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-2.2737367544323206E-13</v>
      </c>
      <c r="CU100" s="17">
        <f>CT100*VLOOKUP('Données projet'!$B$13,Paramètres!$A$1:$I$89,3,0)*VLOOKUP('Données projet'!$B$13,Paramètres!$A$1:$I$89,5,0)</f>
        <v>-1.3596945791505279E-13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393.01180019332998</v>
      </c>
      <c r="CZ100" s="59">
        <f t="shared" si="96"/>
        <v>283.82782416294748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169.37554368958911</v>
      </c>
      <c r="DG100" s="21">
        <f>EXP(-LN(2)/25)*DG99+(1-EXP(-LN(2)/25))/(LN(2)/25)*Calculateur!DB100*Calculateur!DD100*VLOOKUP('Données projet'!$B$13,Paramètres!$A$1:$I$89,3,0)*0.475*44/12</f>
        <v>70.792754797780333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240.16829848736944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-2.2737367544323206E-13</v>
      </c>
      <c r="DP100" s="17">
        <f>DO100*VLOOKUP('Données projet'!$B$14,Paramètres!$A$1:$I$89,3,0)*VLOOKUP('Données projet'!$B$14,Paramètres!$A$1:$I$89,5,0)</f>
        <v>-1.3596945791505279E-13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393.01180019332998</v>
      </c>
      <c r="DU100" s="59">
        <f t="shared" si="98"/>
        <v>283.82782416294748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169.37554368958911</v>
      </c>
      <c r="EB100" s="21">
        <f>EXP(-LN(2)/25)*EB99+(1-EXP(-LN(2)/25))/(LN(2)/25)*Calculateur!DW100*Calculateur!DY100*VLOOKUP('Données projet'!$B$14,Paramètres!$A$1:$I$89,3,0)*0.475*44/12</f>
        <v>70.792754797780333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240.16829848736944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11.313120000000001</v>
      </c>
      <c r="D101" s="11">
        <f t="shared" si="86"/>
        <v>3.9309495311065148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23.534703837497783</v>
      </c>
      <c r="H101" s="67">
        <f t="shared" si="56"/>
        <v>283.21675443334385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-1.1368683772161603E-13</v>
      </c>
      <c r="O101" s="13">
        <f>N101*VLOOKUP('Données projet'!$B$9,Paramètres!$A$1:$I$89,3,0)*VLOOKUP('Données projet'!$B$9,Paramètres!$A$1:$I$89,5,0)</f>
        <v>-5.3205440053716299E-14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189.8770435341392</v>
      </c>
      <c r="T101" s="59">
        <f t="shared" si="88"/>
        <v>230.18380961122767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51.721104388046029</v>
      </c>
      <c r="AA101" s="21">
        <f>EXP(-LN(2)/25)*AA100+(1-EXP(-LN(2)/25))/(LN(2)/25)*Calculateur!V101*Calculateur!X101*VLOOKUP('Données projet'!$B$9,Paramètres!$A$1:$I$89,3,0)*0.475*44/12</f>
        <v>21.711401851966645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73.432506240012671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-3.4106051316484809E-13</v>
      </c>
      <c r="AJ101" s="13">
        <f>AI101*VLOOKUP('Données projet'!$B$10,Paramètres!$A$1:$I$89,3,0)*VLOOKUP('Données projet'!$B$10,Paramètres!$A$1:$I$89,5,0)</f>
        <v>-1.5074874681886286E-13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207.77463758757142</v>
      </c>
      <c r="AO101" s="59">
        <f t="shared" si="90"/>
        <v>180.50802165484066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73.248066961131016</v>
      </c>
      <c r="AV101" s="21">
        <f>EXP(-LN(2)/25)*AV100+(1-EXP(-LN(2)/25))/(LN(2)/25)*Calculateur!AQ101*Calculateur!AS101*VLOOKUP('Données projet'!$B$10,Paramètres!$A$1:$I$89,3,0)*0.475*44/12</f>
        <v>33.301548064799569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106.54961502593059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-2.2737367544323206E-13</v>
      </c>
      <c r="BE101" s="13">
        <f>BD101*VLOOKUP('Données projet'!$B$11,Paramètres!$A$1:$I$89,3,0)*VLOOKUP('Données projet'!$B$11,Paramètres!$A$1:$I$89,5,0)</f>
        <v>-1.3596945791505279E-13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393.01180019332998</v>
      </c>
      <c r="BJ101" s="59">
        <f t="shared" si="92"/>
        <v>283.82782416294748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166.05419258671702</v>
      </c>
      <c r="BQ101" s="21">
        <f>EXP(-LN(2)/25)*BQ100+(1-EXP(-LN(2)/25))/(LN(2)/25)*Calculateur!BL101*Calculateur!BN101*VLOOKUP('Données projet'!$B$11,Paramètres!$A$1:$I$89,3,0)*0.475*44/12</f>
        <v>68.856923195005848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234.91111578172286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-2.2737367544323206E-13</v>
      </c>
      <c r="BZ101" s="13">
        <f>BY101*VLOOKUP('Données projet'!$B$12,Paramètres!$A$1:$I$89,3,0)*VLOOKUP('Données projet'!$B$12,Paramètres!$A$1:$I$89,5,0)</f>
        <v>-1.3596945791505279E-13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393.01180019332998</v>
      </c>
      <c r="CE101" s="59">
        <f t="shared" si="94"/>
        <v>283.82782416294748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166.05419258671702</v>
      </c>
      <c r="CL101" s="21">
        <f>EXP(-LN(2)/25)*CL100+(1-EXP(-LN(2)/25))/(LN(2)/25)*Calculateur!CG101*Calculateur!CI101*VLOOKUP('Données projet'!$B$12,Paramètres!$A$1:$I$89,3,0)*0.475*44/12</f>
        <v>68.856923195005848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234.91111578172286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-2.2737367544323206E-13</v>
      </c>
      <c r="CU101" s="17">
        <f>CT101*VLOOKUP('Données projet'!$B$13,Paramètres!$A$1:$I$89,3,0)*VLOOKUP('Données projet'!$B$13,Paramètres!$A$1:$I$89,5,0)</f>
        <v>-1.3596945791505279E-13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393.01180019332998</v>
      </c>
      <c r="CZ101" s="59">
        <f t="shared" si="96"/>
        <v>283.82782416294748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166.05419258671702</v>
      </c>
      <c r="DG101" s="21">
        <f>EXP(-LN(2)/25)*DG100+(1-EXP(-LN(2)/25))/(LN(2)/25)*Calculateur!DB101*Calculateur!DD101*VLOOKUP('Données projet'!$B$13,Paramètres!$A$1:$I$89,3,0)*0.475*44/12</f>
        <v>68.856923195005848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234.91111578172286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-2.2737367544323206E-13</v>
      </c>
      <c r="DP101" s="17">
        <f>DO101*VLOOKUP('Données projet'!$B$14,Paramètres!$A$1:$I$89,3,0)*VLOOKUP('Données projet'!$B$14,Paramètres!$A$1:$I$89,5,0)</f>
        <v>-1.3596945791505279E-13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393.01180019332998</v>
      </c>
      <c r="DU101" s="59">
        <f t="shared" si="98"/>
        <v>283.82782416294748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166.05419258671702</v>
      </c>
      <c r="EB101" s="21">
        <f>EXP(-LN(2)/25)*EB100+(1-EXP(-LN(2)/25))/(LN(2)/25)*Calculateur!DW101*Calculateur!DY101*VLOOKUP('Données projet'!$B$14,Paramètres!$A$1:$I$89,3,0)*0.475*44/12</f>
        <v>68.856923195005848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234.91111578172286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11.428560000000001</v>
      </c>
      <c r="D102" s="11">
        <f t="shared" si="86"/>
        <v>3.9663712865146206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23.767613214268184</v>
      </c>
      <c r="H102" s="67">
        <f t="shared" si="56"/>
        <v>283.47950532401296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-1.1368683772161603E-13</v>
      </c>
      <c r="O102" s="13">
        <f>N102*VLOOKUP('Données projet'!$B$9,Paramètres!$A$1:$I$89,3,0)*VLOOKUP('Données projet'!$B$9,Paramètres!$A$1:$I$89,5,0)</f>
        <v>-5.3205440053716299E-14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189.8770435341392</v>
      </c>
      <c r="T102" s="59">
        <f t="shared" si="88"/>
        <v>230.18380961122767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50.706885077755139</v>
      </c>
      <c r="AA102" s="21">
        <f>EXP(-LN(2)/25)*AA101+(1-EXP(-LN(2)/25))/(LN(2)/25)*Calculateur!V102*Calculateur!X102*VLOOKUP('Données projet'!$B$9,Paramètres!$A$1:$I$89,3,0)*0.475*44/12</f>
        <v>21.117702426571615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71.824587504326757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-3.4106051316484809E-13</v>
      </c>
      <c r="AJ102" s="13">
        <f>AI102*VLOOKUP('Données projet'!$B$10,Paramètres!$A$1:$I$89,3,0)*VLOOKUP('Données projet'!$B$10,Paramètres!$A$1:$I$89,5,0)</f>
        <v>-1.5074874681886286E-13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207.77463758757142</v>
      </c>
      <c r="AO102" s="59">
        <f t="shared" si="90"/>
        <v>180.50802165484066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71.811717044932607</v>
      </c>
      <c r="AV102" s="21">
        <f>EXP(-LN(2)/25)*AV101+(1-EXP(-LN(2)/25))/(LN(2)/25)*Calculateur!AQ102*Calculateur!AS102*VLOOKUP('Données projet'!$B$10,Paramètres!$A$1:$I$89,3,0)*0.475*44/12</f>
        <v>32.390915481715325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104.20263252664793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-2.2737367544323206E-13</v>
      </c>
      <c r="BE102" s="13">
        <f>BD102*VLOOKUP('Données projet'!$B$11,Paramètres!$A$1:$I$89,3,0)*VLOOKUP('Données projet'!$B$11,Paramètres!$A$1:$I$89,5,0)</f>
        <v>-1.3596945791505279E-13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393.01180019332998</v>
      </c>
      <c r="BJ102" s="59">
        <f t="shared" si="92"/>
        <v>283.82782416294748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162.7979711531481</v>
      </c>
      <c r="BQ102" s="21">
        <f>EXP(-LN(2)/25)*BQ101+(1-EXP(-LN(2)/25))/(LN(2)/25)*Calculateur!BL102*Calculateur!BN102*VLOOKUP('Données projet'!$B$11,Paramètres!$A$1:$I$89,3,0)*0.475*44/12</f>
        <v>66.974027009210204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229.7719981623583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-2.2737367544323206E-13</v>
      </c>
      <c r="BZ102" s="13">
        <f>BY102*VLOOKUP('Données projet'!$B$12,Paramètres!$A$1:$I$89,3,0)*VLOOKUP('Données projet'!$B$12,Paramètres!$A$1:$I$89,5,0)</f>
        <v>-1.3596945791505279E-13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393.01180019332998</v>
      </c>
      <c r="CE102" s="59">
        <f t="shared" si="94"/>
        <v>283.82782416294748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162.7979711531481</v>
      </c>
      <c r="CL102" s="21">
        <f>EXP(-LN(2)/25)*CL101+(1-EXP(-LN(2)/25))/(LN(2)/25)*Calculateur!CG102*Calculateur!CI102*VLOOKUP('Données projet'!$B$12,Paramètres!$A$1:$I$89,3,0)*0.475*44/12</f>
        <v>66.974027009210204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229.7719981623583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-2.2737367544323206E-13</v>
      </c>
      <c r="CU102" s="17">
        <f>CT102*VLOOKUP('Données projet'!$B$13,Paramètres!$A$1:$I$89,3,0)*VLOOKUP('Données projet'!$B$13,Paramètres!$A$1:$I$89,5,0)</f>
        <v>-1.3596945791505279E-13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393.01180019332998</v>
      </c>
      <c r="CZ102" s="59">
        <f t="shared" si="96"/>
        <v>283.82782416294748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162.7979711531481</v>
      </c>
      <c r="DG102" s="21">
        <f>EXP(-LN(2)/25)*DG101+(1-EXP(-LN(2)/25))/(LN(2)/25)*Calculateur!DB102*Calculateur!DD102*VLOOKUP('Données projet'!$B$13,Paramètres!$A$1:$I$89,3,0)*0.475*44/12</f>
        <v>66.974027009210204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229.7719981623583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-2.2737367544323206E-13</v>
      </c>
      <c r="DP102" s="17">
        <f>DO102*VLOOKUP('Données projet'!$B$14,Paramètres!$A$1:$I$89,3,0)*VLOOKUP('Données projet'!$B$14,Paramètres!$A$1:$I$89,5,0)</f>
        <v>-1.3596945791505279E-13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393.01180019332998</v>
      </c>
      <c r="DU102" s="59">
        <f t="shared" si="98"/>
        <v>283.82782416294748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162.7979711531481</v>
      </c>
      <c r="EB102" s="21">
        <f>EXP(-LN(2)/25)*EB101+(1-EXP(-LN(2)/25))/(LN(2)/25)*Calculateur!DW102*Calculateur!DY102*VLOOKUP('Données projet'!$B$14,Paramètres!$A$1:$I$89,3,0)*0.475*44/12</f>
        <v>66.974027009210204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229.7719981623583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11.544</v>
      </c>
      <c r="D103" s="11">
        <f t="shared" si="86"/>
        <v>4.0017514182509002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24.000458329931217</v>
      </c>
      <c r="H103" s="67">
        <f t="shared" si="56"/>
        <v>283.74218372012035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-1.1368683772161603E-13</v>
      </c>
      <c r="O103" s="13">
        <f>N103*VLOOKUP('Données projet'!$B$9,Paramètres!$A$1:$I$89,3,0)*VLOOKUP('Données projet'!$B$9,Paramètres!$A$1:$I$89,5,0)</f>
        <v>-5.3205440053716299E-14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189.8770435341392</v>
      </c>
      <c r="T103" s="59">
        <f t="shared" si="88"/>
        <v>230.18380961122767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49.712553989526356</v>
      </c>
      <c r="AA103" s="21">
        <f>EXP(-LN(2)/25)*AA102+(1-EXP(-LN(2)/25))/(LN(2)/25)*Calculateur!V103*Calculateur!X103*VLOOKUP('Données projet'!$B$9,Paramètres!$A$1:$I$89,3,0)*0.475*44/12</f>
        <v>20.540237743185308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70.252791732711671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-3.4106051316484809E-13</v>
      </c>
      <c r="AJ103" s="13">
        <f>AI103*VLOOKUP('Données projet'!$B$10,Paramètres!$A$1:$I$89,3,0)*VLOOKUP('Données projet'!$B$10,Paramètres!$A$1:$I$89,5,0)</f>
        <v>-1.5074874681886286E-13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207.77463758757142</v>
      </c>
      <c r="AO103" s="59">
        <f t="shared" si="90"/>
        <v>180.50802165484066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70.403533074503898</v>
      </c>
      <c r="AV103" s="21">
        <f>EXP(-LN(2)/25)*AV102+(1-EXP(-LN(2)/25))/(LN(2)/25)*Calculateur!AQ103*Calculateur!AS103*VLOOKUP('Données projet'!$B$10,Paramètres!$A$1:$I$89,3,0)*0.475*44/12</f>
        <v>31.505184194503606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101.9087172690075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-2.2737367544323206E-13</v>
      </c>
      <c r="BE103" s="13">
        <f>BD103*VLOOKUP('Données projet'!$B$11,Paramètres!$A$1:$I$89,3,0)*VLOOKUP('Données projet'!$B$11,Paramètres!$A$1:$I$89,5,0)</f>
        <v>-1.3596945791505279E-13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393.01180019332998</v>
      </c>
      <c r="BJ103" s="59">
        <f t="shared" si="92"/>
        <v>283.82782416294748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159.6056022357925</v>
      </c>
      <c r="BQ103" s="21">
        <f>EXP(-LN(2)/25)*BQ102+(1-EXP(-LN(2)/25))/(LN(2)/25)*Calculateur!BL103*Calculateur!BN103*VLOOKUP('Données projet'!$B$11,Paramètres!$A$1:$I$89,3,0)*0.475*44/12</f>
        <v>65.142618718632335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224.74822095442482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-2.2737367544323206E-13</v>
      </c>
      <c r="BZ103" s="13">
        <f>BY103*VLOOKUP('Données projet'!$B$12,Paramètres!$A$1:$I$89,3,0)*VLOOKUP('Données projet'!$B$12,Paramètres!$A$1:$I$89,5,0)</f>
        <v>-1.3596945791505279E-13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393.01180019332998</v>
      </c>
      <c r="CE103" s="59">
        <f t="shared" si="94"/>
        <v>283.82782416294748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159.6056022357925</v>
      </c>
      <c r="CL103" s="21">
        <f>EXP(-LN(2)/25)*CL102+(1-EXP(-LN(2)/25))/(LN(2)/25)*Calculateur!CG103*Calculateur!CI103*VLOOKUP('Données projet'!$B$12,Paramètres!$A$1:$I$89,3,0)*0.475*44/12</f>
        <v>65.142618718632335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224.74822095442482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-2.2737367544323206E-13</v>
      </c>
      <c r="CU103" s="17">
        <f>CT103*VLOOKUP('Données projet'!$B$13,Paramètres!$A$1:$I$89,3,0)*VLOOKUP('Données projet'!$B$13,Paramètres!$A$1:$I$89,5,0)</f>
        <v>-1.3596945791505279E-13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393.01180019332998</v>
      </c>
      <c r="CZ103" s="59">
        <f t="shared" si="96"/>
        <v>283.82782416294748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159.6056022357925</v>
      </c>
      <c r="DG103" s="21">
        <f>EXP(-LN(2)/25)*DG102+(1-EXP(-LN(2)/25))/(LN(2)/25)*Calculateur!DB103*Calculateur!DD103*VLOOKUP('Données projet'!$B$13,Paramètres!$A$1:$I$89,3,0)*0.475*44/12</f>
        <v>65.142618718632335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224.74822095442482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-2.2737367544323206E-13</v>
      </c>
      <c r="DP103" s="17">
        <f>DO103*VLOOKUP('Données projet'!$B$14,Paramètres!$A$1:$I$89,3,0)*VLOOKUP('Données projet'!$B$14,Paramètres!$A$1:$I$89,5,0)</f>
        <v>-1.3596945791505279E-13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393.01180019332998</v>
      </c>
      <c r="DU103" s="59">
        <f t="shared" si="98"/>
        <v>283.82782416294748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159.6056022357925</v>
      </c>
      <c r="EB103" s="21">
        <f>EXP(-LN(2)/25)*EB102+(1-EXP(-LN(2)/25))/(LN(2)/25)*Calculateur!DW103*Calculateur!DY103*VLOOKUP('Données projet'!$B$14,Paramètres!$A$1:$I$89,3,0)*0.475*44/12</f>
        <v>65.142618718632335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224.74822095442482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11.65944</v>
      </c>
      <c r="D104" s="11">
        <f t="shared" si="86"/>
        <v>4.0370903907472391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24.233239901504508</v>
      </c>
      <c r="H104" s="67">
        <f t="shared" si="56"/>
        <v>284.00479043055145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-1.1368683772161603E-13</v>
      </c>
      <c r="O104" s="13">
        <f>N104*VLOOKUP('Données projet'!$B$9,Paramètres!$A$1:$I$89,3,0)*VLOOKUP('Données projet'!$B$9,Paramètres!$A$1:$I$89,5,0)</f>
        <v>-5.3205440053716299E-14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189.8770435341392</v>
      </c>
      <c r="T104" s="59">
        <f t="shared" si="88"/>
        <v>230.18380961122767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48.737721127455664</v>
      </c>
      <c r="AA104" s="21">
        <f>EXP(-LN(2)/25)*AA103+(1-EXP(-LN(2)/25))/(LN(2)/25)*Calculateur!V104*Calculateur!X104*VLOOKUP('Données projet'!$B$9,Paramètres!$A$1:$I$89,3,0)*0.475*44/12</f>
        <v>19.978563861933747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68.716284989389408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-3.4106051316484809E-13</v>
      </c>
      <c r="AJ104" s="13">
        <f>AI104*VLOOKUP('Données projet'!$B$10,Paramètres!$A$1:$I$89,3,0)*VLOOKUP('Données projet'!$B$10,Paramètres!$A$1:$I$89,5,0)</f>
        <v>-1.5074874681886286E-13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207.77463758757142</v>
      </c>
      <c r="AO104" s="59">
        <f t="shared" si="90"/>
        <v>180.50802165484066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69.022962732827892</v>
      </c>
      <c r="AV104" s="21">
        <f>EXP(-LN(2)/25)*AV103+(1-EXP(-LN(2)/25))/(LN(2)/25)*Calculateur!AQ104*Calculateur!AS104*VLOOKUP('Données projet'!$B$10,Paramètres!$A$1:$I$89,3,0)*0.475*44/12</f>
        <v>30.643673275919273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99.666636008747162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-2.2737367544323206E-13</v>
      </c>
      <c r="BE104" s="13">
        <f>BD104*VLOOKUP('Données projet'!$B$11,Paramètres!$A$1:$I$89,3,0)*VLOOKUP('Données projet'!$B$11,Paramètres!$A$1:$I$89,5,0)</f>
        <v>-1.3596945791505279E-13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393.01180019332998</v>
      </c>
      <c r="BJ104" s="59">
        <f t="shared" si="92"/>
        <v>283.82782416294748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156.47583372575349</v>
      </c>
      <c r="BQ104" s="21">
        <f>EXP(-LN(2)/25)*BQ103+(1-EXP(-LN(2)/25))/(LN(2)/25)*Calculateur!BL104*Calculateur!BN104*VLOOKUP('Données projet'!$B$11,Paramètres!$A$1:$I$89,3,0)*0.475*44/12</f>
        <v>63.361290384069903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219.83712410982338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-2.2737367544323206E-13</v>
      </c>
      <c r="BZ104" s="13">
        <f>BY104*VLOOKUP('Données projet'!$B$12,Paramètres!$A$1:$I$89,3,0)*VLOOKUP('Données projet'!$B$12,Paramètres!$A$1:$I$89,5,0)</f>
        <v>-1.3596945791505279E-13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393.01180019332998</v>
      </c>
      <c r="CE104" s="59">
        <f t="shared" si="94"/>
        <v>283.82782416294748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156.47583372575349</v>
      </c>
      <c r="CL104" s="21">
        <f>EXP(-LN(2)/25)*CL103+(1-EXP(-LN(2)/25))/(LN(2)/25)*Calculateur!CG104*Calculateur!CI104*VLOOKUP('Données projet'!$B$12,Paramètres!$A$1:$I$89,3,0)*0.475*44/12</f>
        <v>63.361290384069903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219.83712410982338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-2.2737367544323206E-13</v>
      </c>
      <c r="CU104" s="17">
        <f>CT104*VLOOKUP('Données projet'!$B$13,Paramètres!$A$1:$I$89,3,0)*VLOOKUP('Données projet'!$B$13,Paramètres!$A$1:$I$89,5,0)</f>
        <v>-1.3596945791505279E-13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393.01180019332998</v>
      </c>
      <c r="CZ104" s="59">
        <f t="shared" si="96"/>
        <v>283.82782416294748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156.47583372575349</v>
      </c>
      <c r="DG104" s="21">
        <f>EXP(-LN(2)/25)*DG103+(1-EXP(-LN(2)/25))/(LN(2)/25)*Calculateur!DB104*Calculateur!DD104*VLOOKUP('Données projet'!$B$13,Paramètres!$A$1:$I$89,3,0)*0.475*44/12</f>
        <v>63.361290384069903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219.83712410982338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-2.2737367544323206E-13</v>
      </c>
      <c r="DP104" s="17">
        <f>DO104*VLOOKUP('Données projet'!$B$14,Paramètres!$A$1:$I$89,3,0)*VLOOKUP('Données projet'!$B$14,Paramètres!$A$1:$I$89,5,0)</f>
        <v>-1.3596945791505279E-13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393.01180019332998</v>
      </c>
      <c r="DU104" s="59">
        <f t="shared" si="98"/>
        <v>283.82782416294748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156.47583372575349</v>
      </c>
      <c r="EB104" s="21">
        <f>EXP(-LN(2)/25)*EB103+(1-EXP(-LN(2)/25))/(LN(2)/25)*Calculateur!DW104*Calculateur!DY104*VLOOKUP('Données projet'!$B$14,Paramètres!$A$1:$I$89,3,0)*0.475*44/12</f>
        <v>63.361290384069903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219.83712410982338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11.77488</v>
      </c>
      <c r="D105" s="11">
        <f t="shared" si="86"/>
        <v>4.0723886587087241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24.465958630988911</v>
      </c>
      <c r="H105" s="67">
        <f t="shared" si="56"/>
        <v>284.26732624725105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-5.3205440053716299E-14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189.8770435341392</v>
      </c>
      <c r="T105" s="59">
        <f t="shared" si="88"/>
        <v>230.18380961122767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47.782004143220838</v>
      </c>
      <c r="AA105" s="21">
        <f>EXP(-LN(2)/25)*AA104+(1-EXP(-LN(2)/25))/(LN(2)/25)*Calculateur!V105*Calculateur!X105*VLOOKUP('Données projet'!$B$9,Paramètres!$A$1:$I$89,3,0)*0.475*44/12</f>
        <v>19.432248982502156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67.21425312572299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-3.4106051316484809E-13</v>
      </c>
      <c r="AJ105" s="13">
        <f>AI105*VLOOKUP('Données projet'!$B$10,Paramètres!$A$1:$I$89,3,0)*VLOOKUP('Données projet'!$B$10,Paramètres!$A$1:$I$89,5,0)</f>
        <v>-1.5074874681886286E-13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207.77463758757142</v>
      </c>
      <c r="AO105" s="59">
        <f t="shared" si="90"/>
        <v>180.50802165484066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67.669464533487385</v>
      </c>
      <c r="AV105" s="21">
        <f>EXP(-LN(2)/25)*AV104+(1-EXP(-LN(2)/25))/(LN(2)/25)*Calculateur!AQ105*Calculateur!AS105*VLOOKUP('Données projet'!$B$10,Paramètres!$A$1:$I$89,3,0)*0.475*44/12</f>
        <v>29.805720418708521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97.475184952195903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-2.2737367544323206E-13</v>
      </c>
      <c r="BE105" s="13">
        <f>BD105*VLOOKUP('Données projet'!$B$11,Paramètres!$A$1:$I$89,3,0)*VLOOKUP('Données projet'!$B$11,Paramètres!$A$1:$I$89,5,0)</f>
        <v>-1.3596945791505279E-13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393.01180019332998</v>
      </c>
      <c r="BJ105" s="59">
        <f t="shared" si="92"/>
        <v>283.82782416294748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153.40743806722602</v>
      </c>
      <c r="BQ105" s="21">
        <f>EXP(-LN(2)/25)*BQ104+(1-EXP(-LN(2)/25))/(LN(2)/25)*Calculateur!BL105*Calculateur!BN105*VLOOKUP('Données projet'!$B$11,Paramètres!$A$1:$I$89,3,0)*0.475*44/12</f>
        <v>61.628672566492064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215.0361106337181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-2.2737367544323206E-13</v>
      </c>
      <c r="BZ105" s="13">
        <f>BY105*VLOOKUP('Données projet'!$B$12,Paramètres!$A$1:$I$89,3,0)*VLOOKUP('Données projet'!$B$12,Paramètres!$A$1:$I$89,5,0)</f>
        <v>-1.3596945791505279E-13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393.01180019332998</v>
      </c>
      <c r="CE105" s="59">
        <f t="shared" si="94"/>
        <v>283.82782416294748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153.40743806722602</v>
      </c>
      <c r="CL105" s="21">
        <f>EXP(-LN(2)/25)*CL104+(1-EXP(-LN(2)/25))/(LN(2)/25)*Calculateur!CG105*Calculateur!CI105*VLOOKUP('Données projet'!$B$12,Paramètres!$A$1:$I$89,3,0)*0.475*44/12</f>
        <v>61.628672566492064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215.0361106337181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-2.2737367544323206E-13</v>
      </c>
      <c r="CU105" s="17">
        <f>CT105*VLOOKUP('Données projet'!$B$13,Paramètres!$A$1:$I$89,3,0)*VLOOKUP('Données projet'!$B$13,Paramètres!$A$1:$I$89,5,0)</f>
        <v>-1.3596945791505279E-13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393.01180019332998</v>
      </c>
      <c r="CZ105" s="59">
        <f t="shared" si="96"/>
        <v>283.82782416294748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153.40743806722602</v>
      </c>
      <c r="DG105" s="21">
        <f>EXP(-LN(2)/25)*DG104+(1-EXP(-LN(2)/25))/(LN(2)/25)*Calculateur!DB105*Calculateur!DD105*VLOOKUP('Données projet'!$B$13,Paramètres!$A$1:$I$89,3,0)*0.475*44/12</f>
        <v>61.628672566492064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215.0361106337181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-2.2737367544323206E-13</v>
      </c>
      <c r="DP105" s="17">
        <f>DO105*VLOOKUP('Données projet'!$B$14,Paramètres!$A$1:$I$89,3,0)*VLOOKUP('Données projet'!$B$14,Paramètres!$A$1:$I$89,5,0)</f>
        <v>-1.3596945791505279E-13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393.01180019332998</v>
      </c>
      <c r="DU105" s="59">
        <f t="shared" si="98"/>
        <v>283.82782416294748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153.40743806722602</v>
      </c>
      <c r="EB105" s="21">
        <f>EXP(-LN(2)/25)*EB104+(1-EXP(-LN(2)/25))/(LN(2)/25)*Calculateur!DW105*Calculateur!DY105*VLOOKUP('Données projet'!$B$14,Paramètres!$A$1:$I$89,3,0)*0.475*44/12</f>
        <v>61.628672566492064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215.0361106337181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11.890319999999999</v>
      </c>
      <c r="D106" s="11">
        <f t="shared" si="86"/>
        <v>4.1076466674107062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24.698615205827053</v>
      </c>
      <c r="H106" s="67">
        <f t="shared" si="56"/>
        <v>284.52979194574033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-5.3205440053716299E-14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189.8770435341392</v>
      </c>
      <c r="T106" s="59">
        <f t="shared" si="88"/>
        <v>230.18380961122767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46.845028186117062</v>
      </c>
      <c r="AA106" s="21">
        <f>EXP(-LN(2)/25)*AA105+(1-EXP(-LN(2)/25))/(LN(2)/25)*Calculateur!V106*Calculateur!X106*VLOOKUP('Données projet'!$B$9,Paramètres!$A$1:$I$89,3,0)*0.475*44/12</f>
        <v>18.900873112178072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65.745901298295138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-3.4106051316484809E-13</v>
      </c>
      <c r="AJ106" s="13">
        <f>AI106*VLOOKUP('Données projet'!$B$10,Paramètres!$A$1:$I$89,3,0)*VLOOKUP('Données projet'!$B$10,Paramètres!$A$1:$I$89,5,0)</f>
        <v>-1.5074874681886286E-13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207.77463758757142</v>
      </c>
      <c r="AO106" s="59">
        <f t="shared" si="90"/>
        <v>180.50802165484066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66.342507608283569</v>
      </c>
      <c r="AV106" s="21">
        <f>EXP(-LN(2)/25)*AV105+(1-EXP(-LN(2)/25))/(LN(2)/25)*Calculateur!AQ106*Calculateur!AS106*VLOOKUP('Données projet'!$B$10,Paramètres!$A$1:$I$89,3,0)*0.475*44/12</f>
        <v>28.990681426444223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95.333189034727795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-2.2737367544323206E-13</v>
      </c>
      <c r="BE106" s="13">
        <f>BD106*VLOOKUP('Données projet'!$B$11,Paramètres!$A$1:$I$89,3,0)*VLOOKUP('Données projet'!$B$11,Paramètres!$A$1:$I$89,5,0)</f>
        <v>-1.3596945791505279E-13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393.01180019332998</v>
      </c>
      <c r="BJ106" s="59">
        <f t="shared" si="92"/>
        <v>283.82782416294748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150.39921177602574</v>
      </c>
      <c r="BQ106" s="21">
        <f>EXP(-LN(2)/25)*BQ105+(1-EXP(-LN(2)/25))/(LN(2)/25)*Calculateur!BL106*Calculateur!BN106*VLOOKUP('Données projet'!$B$11,Paramètres!$A$1:$I$89,3,0)*0.475*44/12</f>
        <v>59.943433274250303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210.34264505027605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-2.2737367544323206E-13</v>
      </c>
      <c r="BZ106" s="13">
        <f>BY106*VLOOKUP('Données projet'!$B$12,Paramètres!$A$1:$I$89,3,0)*VLOOKUP('Données projet'!$B$12,Paramètres!$A$1:$I$89,5,0)</f>
        <v>-1.3596945791505279E-13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393.01180019332998</v>
      </c>
      <c r="CE106" s="59">
        <f t="shared" si="94"/>
        <v>283.82782416294748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150.39921177602574</v>
      </c>
      <c r="CL106" s="21">
        <f>EXP(-LN(2)/25)*CL105+(1-EXP(-LN(2)/25))/(LN(2)/25)*Calculateur!CG106*Calculateur!CI106*VLOOKUP('Données projet'!$B$12,Paramètres!$A$1:$I$89,3,0)*0.475*44/12</f>
        <v>59.943433274250303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210.34264505027605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-2.2737367544323206E-13</v>
      </c>
      <c r="CU106" s="17">
        <f>CT106*VLOOKUP('Données projet'!$B$13,Paramètres!$A$1:$I$89,3,0)*VLOOKUP('Données projet'!$B$13,Paramètres!$A$1:$I$89,5,0)</f>
        <v>-1.3596945791505279E-13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393.01180019332998</v>
      </c>
      <c r="CZ106" s="59">
        <f t="shared" si="96"/>
        <v>283.82782416294748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150.39921177602574</v>
      </c>
      <c r="DG106" s="21">
        <f>EXP(-LN(2)/25)*DG105+(1-EXP(-LN(2)/25))/(LN(2)/25)*Calculateur!DB106*Calculateur!DD106*VLOOKUP('Données projet'!$B$13,Paramètres!$A$1:$I$89,3,0)*0.475*44/12</f>
        <v>59.943433274250303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210.34264505027605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-2.2737367544323206E-13</v>
      </c>
      <c r="DP106" s="17">
        <f>DO106*VLOOKUP('Données projet'!$B$14,Paramètres!$A$1:$I$89,3,0)*VLOOKUP('Données projet'!$B$14,Paramètres!$A$1:$I$89,5,0)</f>
        <v>-1.3596945791505279E-13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393.01180019332998</v>
      </c>
      <c r="DU106" s="59">
        <f t="shared" si="98"/>
        <v>283.82782416294748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150.39921177602574</v>
      </c>
      <c r="EB106" s="21">
        <f>EXP(-LN(2)/25)*EB105+(1-EXP(-LN(2)/25))/(LN(2)/25)*Calculateur!DW106*Calculateur!DY106*VLOOKUP('Données projet'!$B$14,Paramètres!$A$1:$I$89,3,0)*0.475*44/12</f>
        <v>59.943433274250303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210.34264505027605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12.005759999999999</v>
      </c>
      <c r="D107" s="11">
        <f t="shared" si="86"/>
        <v>4.1428648529839425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24.931210299343633</v>
      </c>
      <c r="H107" s="67">
        <f t="shared" si="56"/>
        <v>284.79218828561375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-5.3205440053716299E-14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189.8770435341392</v>
      </c>
      <c r="T107" s="59">
        <f t="shared" si="88"/>
        <v>230.18380961122767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45.926425756033183</v>
      </c>
      <c r="AA107" s="21">
        <f>EXP(-LN(2)/25)*AA106+(1-EXP(-LN(2)/25))/(LN(2)/25)*Calculateur!V107*Calculateur!X107*VLOOKUP('Données projet'!$B$9,Paramètres!$A$1:$I$89,3,0)*0.475*44/12</f>
        <v>18.384027742971845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64.310453499005035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-3.4106051316484809E-13</v>
      </c>
      <c r="AJ107" s="13">
        <f>AI107*VLOOKUP('Données projet'!$B$10,Paramètres!$A$1:$I$89,3,0)*VLOOKUP('Données projet'!$B$10,Paramètres!$A$1:$I$89,5,0)</f>
        <v>-1.5074874681886286E-13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207.77463758757142</v>
      </c>
      <c r="AO107" s="59">
        <f t="shared" si="90"/>
        <v>180.50802165484066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65.041571499019184</v>
      </c>
      <c r="AV107" s="21">
        <f>EXP(-LN(2)/25)*AV106+(1-EXP(-LN(2)/25))/(LN(2)/25)*Calculateur!AQ107*Calculateur!AS107*VLOOKUP('Données projet'!$B$10,Paramètres!$A$1:$I$89,3,0)*0.475*44/12</f>
        <v>28.197929718284428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93.239501217303612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-2.2737367544323206E-13</v>
      </c>
      <c r="BE107" s="13">
        <f>BD107*VLOOKUP('Données projet'!$B$11,Paramètres!$A$1:$I$89,3,0)*VLOOKUP('Données projet'!$B$11,Paramètres!$A$1:$I$89,5,0)</f>
        <v>-1.3596945791505279E-13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393.01180019332998</v>
      </c>
      <c r="BJ107" s="59">
        <f t="shared" si="92"/>
        <v>283.82782416294748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147.44997496755903</v>
      </c>
      <c r="BQ107" s="21">
        <f>EXP(-LN(2)/25)*BQ106+(1-EXP(-LN(2)/25))/(LN(2)/25)*Calculateur!BL107*Calculateur!BN107*VLOOKUP('Données projet'!$B$11,Paramètres!$A$1:$I$89,3,0)*0.475*44/12</f>
        <v>58.304276939077774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205.7542519066368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-2.2737367544323206E-13</v>
      </c>
      <c r="BZ107" s="13">
        <f>BY107*VLOOKUP('Données projet'!$B$12,Paramètres!$A$1:$I$89,3,0)*VLOOKUP('Données projet'!$B$12,Paramètres!$A$1:$I$89,5,0)</f>
        <v>-1.3596945791505279E-13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393.01180019332998</v>
      </c>
      <c r="CE107" s="59">
        <f t="shared" si="94"/>
        <v>283.82782416294748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147.44997496755903</v>
      </c>
      <c r="CL107" s="21">
        <f>EXP(-LN(2)/25)*CL106+(1-EXP(-LN(2)/25))/(LN(2)/25)*Calculateur!CG107*Calculateur!CI107*VLOOKUP('Données projet'!$B$12,Paramètres!$A$1:$I$89,3,0)*0.475*44/12</f>
        <v>58.304276939077774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205.7542519066368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-2.2737367544323206E-13</v>
      </c>
      <c r="CU107" s="17">
        <f>CT107*VLOOKUP('Données projet'!$B$13,Paramètres!$A$1:$I$89,3,0)*VLOOKUP('Données projet'!$B$13,Paramètres!$A$1:$I$89,5,0)</f>
        <v>-1.3596945791505279E-13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393.01180019332998</v>
      </c>
      <c r="CZ107" s="59">
        <f t="shared" si="96"/>
        <v>283.82782416294748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147.44997496755903</v>
      </c>
      <c r="DG107" s="21">
        <f>EXP(-LN(2)/25)*DG106+(1-EXP(-LN(2)/25))/(LN(2)/25)*Calculateur!DB107*Calculateur!DD107*VLOOKUP('Données projet'!$B$13,Paramètres!$A$1:$I$89,3,0)*0.475*44/12</f>
        <v>58.304276939077774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205.7542519066368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-2.2737367544323206E-13</v>
      </c>
      <c r="DP107" s="17">
        <f>DO107*VLOOKUP('Données projet'!$B$14,Paramètres!$A$1:$I$89,3,0)*VLOOKUP('Données projet'!$B$14,Paramètres!$A$1:$I$89,5,0)</f>
        <v>-1.3596945791505279E-13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393.01180019332998</v>
      </c>
      <c r="DU107" s="59">
        <f t="shared" si="98"/>
        <v>283.82782416294748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147.44997496755903</v>
      </c>
      <c r="EB107" s="21">
        <f>EXP(-LN(2)/25)*EB106+(1-EXP(-LN(2)/25))/(LN(2)/25)*Calculateur!DW107*Calculateur!DY107*VLOOKUP('Données projet'!$B$14,Paramètres!$A$1:$I$89,3,0)*0.475*44/12</f>
        <v>58.304276939077774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205.7542519066368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12.121199999999998</v>
      </c>
      <c r="D108" s="11">
        <f t="shared" si="86"/>
        <v>4.1780436426884888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25.163744571168195</v>
      </c>
      <c r="H108" s="67">
        <f t="shared" si="56"/>
        <v>285.05451601101578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-5.3205440053716299E-14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189.8770435341392</v>
      </c>
      <c r="T108" s="59">
        <f t="shared" si="88"/>
        <v>230.18380961122767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45.025836559311095</v>
      </c>
      <c r="AA108" s="21">
        <f>EXP(-LN(2)/25)*AA107+(1-EXP(-LN(2)/25))/(LN(2)/25)*Calculateur!V108*Calculateur!X108*VLOOKUP('Données projet'!$B$9,Paramètres!$A$1:$I$89,3,0)*0.475*44/12</f>
        <v>17.88131553756628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62.907152096877375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-3.4106051316484809E-13</v>
      </c>
      <c r="AJ108" s="13">
        <f>AI108*VLOOKUP('Données projet'!$B$10,Paramètres!$A$1:$I$89,3,0)*VLOOKUP('Données projet'!$B$10,Paramètres!$A$1:$I$89,5,0)</f>
        <v>-1.5074874681886286E-13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207.77463758757142</v>
      </c>
      <c r="AO108" s="59">
        <f t="shared" si="90"/>
        <v>180.50802165484066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63.766145953364806</v>
      </c>
      <c r="AV108" s="21">
        <f>EXP(-LN(2)/25)*AV107+(1-EXP(-LN(2)/25))/(LN(2)/25)*Calculateur!AQ108*Calculateur!AS108*VLOOKUP('Données projet'!$B$10,Paramètres!$A$1:$I$89,3,0)*0.475*44/12</f>
        <v>27.426855847273263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91.193001800638072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-2.2737367544323206E-13</v>
      </c>
      <c r="BE108" s="13">
        <f>BD108*VLOOKUP('Données projet'!$B$11,Paramètres!$A$1:$I$89,3,0)*VLOOKUP('Données projet'!$B$11,Paramètres!$A$1:$I$89,5,0)</f>
        <v>-1.3596945791505279E-13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393.01180019332998</v>
      </c>
      <c r="BJ108" s="59">
        <f t="shared" si="92"/>
        <v>283.82782416294748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144.55857089404952</v>
      </c>
      <c r="BQ108" s="21">
        <f>EXP(-LN(2)/25)*BQ107+(1-EXP(-LN(2)/25))/(LN(2)/25)*Calculateur!BL108*Calculateur!BN108*VLOOKUP('Données projet'!$B$11,Paramètres!$A$1:$I$89,3,0)*0.475*44/12</f>
        <v>56.709943420090021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201.26851431413954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-2.2737367544323206E-13</v>
      </c>
      <c r="BZ108" s="13">
        <f>BY108*VLOOKUP('Données projet'!$B$12,Paramètres!$A$1:$I$89,3,0)*VLOOKUP('Données projet'!$B$12,Paramètres!$A$1:$I$89,5,0)</f>
        <v>-1.3596945791505279E-13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393.01180019332998</v>
      </c>
      <c r="CE108" s="59">
        <f t="shared" si="94"/>
        <v>283.82782416294748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144.55857089404952</v>
      </c>
      <c r="CL108" s="21">
        <f>EXP(-LN(2)/25)*CL107+(1-EXP(-LN(2)/25))/(LN(2)/25)*Calculateur!CG108*Calculateur!CI108*VLOOKUP('Données projet'!$B$12,Paramètres!$A$1:$I$89,3,0)*0.475*44/12</f>
        <v>56.709943420090021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201.26851431413954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-2.2737367544323206E-13</v>
      </c>
      <c r="CU108" s="17">
        <f>CT108*VLOOKUP('Données projet'!$B$13,Paramètres!$A$1:$I$89,3,0)*VLOOKUP('Données projet'!$B$13,Paramètres!$A$1:$I$89,5,0)</f>
        <v>-1.3596945791505279E-13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393.01180019332998</v>
      </c>
      <c r="CZ108" s="59">
        <f t="shared" si="96"/>
        <v>283.82782416294748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144.55857089404952</v>
      </c>
      <c r="DG108" s="21">
        <f>EXP(-LN(2)/25)*DG107+(1-EXP(-LN(2)/25))/(LN(2)/25)*Calculateur!DB108*Calculateur!DD108*VLOOKUP('Données projet'!$B$13,Paramètres!$A$1:$I$89,3,0)*0.475*44/12</f>
        <v>56.709943420090021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201.26851431413954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-2.2737367544323206E-13</v>
      </c>
      <c r="DP108" s="17">
        <f>DO108*VLOOKUP('Données projet'!$B$14,Paramètres!$A$1:$I$89,3,0)*VLOOKUP('Données projet'!$B$14,Paramètres!$A$1:$I$89,5,0)</f>
        <v>-1.3596945791505279E-13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393.01180019332998</v>
      </c>
      <c r="DU108" s="59">
        <f t="shared" si="98"/>
        <v>283.82782416294748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144.55857089404952</v>
      </c>
      <c r="EB108" s="21">
        <f>EXP(-LN(2)/25)*EB107+(1-EXP(-LN(2)/25))/(LN(2)/25)*Calculateur!DW108*Calculateur!DY108*VLOOKUP('Données projet'!$B$14,Paramètres!$A$1:$I$89,3,0)*0.475*44/12</f>
        <v>56.709943420090021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201.26851431413954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12.236639999999998</v>
      </c>
      <c r="D109" s="11">
        <f t="shared" si="86"/>
        <v>4.213183455176849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25.396218667641453</v>
      </c>
      <c r="H109" s="67">
        <f t="shared" si="56"/>
        <v>285.31677585109969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-5.3205440053716299E-14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189.8770435341392</v>
      </c>
      <c r="T109" s="59">
        <f t="shared" si="88"/>
        <v>230.18380961122767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44.142907367431555</v>
      </c>
      <c r="AA109" s="21">
        <f>EXP(-LN(2)/25)*AA108+(1-EXP(-LN(2)/25))/(LN(2)/25)*Calculateur!V109*Calculateur!X109*VLOOKUP('Données projet'!$B$9,Paramètres!$A$1:$I$89,3,0)*0.475*44/12</f>
        <v>17.392350023854014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61.535257391285569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-3.4106051316484809E-13</v>
      </c>
      <c r="AJ109" s="13">
        <f>AI109*VLOOKUP('Données projet'!$B$10,Paramètres!$A$1:$I$89,3,0)*VLOOKUP('Données projet'!$B$10,Paramètres!$A$1:$I$89,5,0)</f>
        <v>-1.5074874681886286E-13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207.77463758757142</v>
      </c>
      <c r="AO109" s="59">
        <f t="shared" si="90"/>
        <v>180.50802165484066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62.515730724727938</v>
      </c>
      <c r="AV109" s="21">
        <f>EXP(-LN(2)/25)*AV108+(1-EXP(-LN(2)/25))/(LN(2)/25)*Calculateur!AQ109*Calculateur!AS109*VLOOKUP('Données projet'!$B$10,Paramètres!$A$1:$I$89,3,0)*0.475*44/12</f>
        <v>26.676867031813913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89.192597756541858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-2.2737367544323206E-13</v>
      </c>
      <c r="BE109" s="13">
        <f>BD109*VLOOKUP('Données projet'!$B$11,Paramètres!$A$1:$I$89,3,0)*VLOOKUP('Données projet'!$B$11,Paramètres!$A$1:$I$89,5,0)</f>
        <v>-1.3596945791505279E-13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393.01180019332998</v>
      </c>
      <c r="BJ109" s="59">
        <f t="shared" si="92"/>
        <v>283.82782416294748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141.72386549083919</v>
      </c>
      <c r="BQ109" s="21">
        <f>EXP(-LN(2)/25)*BQ108+(1-EXP(-LN(2)/25))/(LN(2)/25)*Calculateur!BL109*Calculateur!BN109*VLOOKUP('Données projet'!$B$11,Paramètres!$A$1:$I$89,3,0)*0.475*44/12</f>
        <v>55.159207035021346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196.88307252586054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-2.2737367544323206E-13</v>
      </c>
      <c r="BZ109" s="13">
        <f>BY109*VLOOKUP('Données projet'!$B$12,Paramètres!$A$1:$I$89,3,0)*VLOOKUP('Données projet'!$B$12,Paramètres!$A$1:$I$89,5,0)</f>
        <v>-1.3596945791505279E-13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393.01180019332998</v>
      </c>
      <c r="CE109" s="59">
        <f t="shared" si="94"/>
        <v>283.82782416294748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141.72386549083919</v>
      </c>
      <c r="CL109" s="21">
        <f>EXP(-LN(2)/25)*CL108+(1-EXP(-LN(2)/25))/(LN(2)/25)*Calculateur!CG109*Calculateur!CI109*VLOOKUP('Données projet'!$B$12,Paramètres!$A$1:$I$89,3,0)*0.475*44/12</f>
        <v>55.159207035021346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196.88307252586054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-2.2737367544323206E-13</v>
      </c>
      <c r="CU109" s="17">
        <f>CT109*VLOOKUP('Données projet'!$B$13,Paramètres!$A$1:$I$89,3,0)*VLOOKUP('Données projet'!$B$13,Paramètres!$A$1:$I$89,5,0)</f>
        <v>-1.3596945791505279E-13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393.01180019332998</v>
      </c>
      <c r="CZ109" s="59">
        <f t="shared" si="96"/>
        <v>283.82782416294748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141.72386549083919</v>
      </c>
      <c r="DG109" s="21">
        <f>EXP(-LN(2)/25)*DG108+(1-EXP(-LN(2)/25))/(LN(2)/25)*Calculateur!DB109*Calculateur!DD109*VLOOKUP('Données projet'!$B$13,Paramètres!$A$1:$I$89,3,0)*0.475*44/12</f>
        <v>55.159207035021346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196.88307252586054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-2.2737367544323206E-13</v>
      </c>
      <c r="DP109" s="17">
        <f>DO109*VLOOKUP('Données projet'!$B$14,Paramètres!$A$1:$I$89,3,0)*VLOOKUP('Données projet'!$B$14,Paramètres!$A$1:$I$89,5,0)</f>
        <v>-1.3596945791505279E-13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393.01180019332998</v>
      </c>
      <c r="DU109" s="59">
        <f t="shared" si="98"/>
        <v>283.82782416294748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141.72386549083919</v>
      </c>
      <c r="EB109" s="21">
        <f>EXP(-LN(2)/25)*EB108+(1-EXP(-LN(2)/25))/(LN(2)/25)*Calculateur!DW109*Calculateur!DY109*VLOOKUP('Données projet'!$B$14,Paramètres!$A$1:$I$89,3,0)*0.475*44/12</f>
        <v>55.159207035021346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196.88307252586054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12.352079999999997</v>
      </c>
      <c r="D110" s="11">
        <f t="shared" si="86"/>
        <v>4.2482847007469235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25.628633222205778</v>
      </c>
      <c r="H110" s="67">
        <f t="shared" si="56"/>
        <v>285.57896852046758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-5.3205440053716299E-14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189.8770435341392</v>
      </c>
      <c r="T110" s="59">
        <f t="shared" si="88"/>
        <v>230.18380961122767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43.277291878471139</v>
      </c>
      <c r="AA110" s="21">
        <f>EXP(-LN(2)/25)*AA109+(1-EXP(-LN(2)/25))/(LN(2)/25)*Calculateur!V110*Calculateur!X110*VLOOKUP('Données projet'!$B$9,Paramètres!$A$1:$I$89,3,0)*0.475*44/12</f>
        <v>16.916755297827788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60.194047176298923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-3.4106051316484809E-13</v>
      </c>
      <c r="AJ110" s="13">
        <f>AI110*VLOOKUP('Données projet'!$B$10,Paramètres!$A$1:$I$89,3,0)*VLOOKUP('Données projet'!$B$10,Paramètres!$A$1:$I$89,5,0)</f>
        <v>-1.5074874681886286E-13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207.77463758757142</v>
      </c>
      <c r="AO110" s="59">
        <f t="shared" si="90"/>
        <v>180.50802165484066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61.289835376046661</v>
      </c>
      <c r="AV110" s="21">
        <f>EXP(-LN(2)/25)*AV109+(1-EXP(-LN(2)/25))/(LN(2)/25)*Calculateur!AQ110*Calculateur!AS110*VLOOKUP('Données projet'!$B$10,Paramètres!$A$1:$I$89,3,0)*0.475*44/12</f>
        <v>25.947386699953494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87.237222076000151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-2.2737367544323206E-13</v>
      </c>
      <c r="BE110" s="13">
        <f>BD110*VLOOKUP('Données projet'!$B$11,Paramètres!$A$1:$I$89,3,0)*VLOOKUP('Données projet'!$B$11,Paramètres!$A$1:$I$89,5,0)</f>
        <v>-1.3596945791505279E-13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393.01180019332998</v>
      </c>
      <c r="BJ110" s="59">
        <f t="shared" si="92"/>
        <v>283.82782416294748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138.94474693158625</v>
      </c>
      <c r="BQ110" s="21">
        <f>EXP(-LN(2)/25)*BQ109+(1-EXP(-LN(2)/25))/(LN(2)/25)*Calculateur!BL110*Calculateur!BN110*VLOOKUP('Données projet'!$B$11,Paramètres!$A$1:$I$89,3,0)*0.475*44/12</f>
        <v>53.65087561795206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192.59562254953832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-2.2737367544323206E-13</v>
      </c>
      <c r="BZ110" s="13">
        <f>BY110*VLOOKUP('Données projet'!$B$12,Paramètres!$A$1:$I$89,3,0)*VLOOKUP('Données projet'!$B$12,Paramètres!$A$1:$I$89,5,0)</f>
        <v>-1.3596945791505279E-13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393.01180019332998</v>
      </c>
      <c r="CE110" s="59">
        <f t="shared" si="94"/>
        <v>283.82782416294748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138.94474693158625</v>
      </c>
      <c r="CL110" s="21">
        <f>EXP(-LN(2)/25)*CL109+(1-EXP(-LN(2)/25))/(LN(2)/25)*Calculateur!CG110*Calculateur!CI110*VLOOKUP('Données projet'!$B$12,Paramètres!$A$1:$I$89,3,0)*0.475*44/12</f>
        <v>53.65087561795206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192.59562254953832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-2.2737367544323206E-13</v>
      </c>
      <c r="CU110" s="17">
        <f>CT110*VLOOKUP('Données projet'!$B$13,Paramètres!$A$1:$I$89,3,0)*VLOOKUP('Données projet'!$B$13,Paramètres!$A$1:$I$89,5,0)</f>
        <v>-1.3596945791505279E-13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393.01180019332998</v>
      </c>
      <c r="CZ110" s="59">
        <f t="shared" si="96"/>
        <v>283.82782416294748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138.94474693158625</v>
      </c>
      <c r="DG110" s="21">
        <f>EXP(-LN(2)/25)*DG109+(1-EXP(-LN(2)/25))/(LN(2)/25)*Calculateur!DB110*Calculateur!DD110*VLOOKUP('Données projet'!$B$13,Paramètres!$A$1:$I$89,3,0)*0.475*44/12</f>
        <v>53.65087561795206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192.59562254953832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-2.2737367544323206E-13</v>
      </c>
      <c r="DP110" s="17">
        <f>DO110*VLOOKUP('Données projet'!$B$14,Paramètres!$A$1:$I$89,3,0)*VLOOKUP('Données projet'!$B$14,Paramètres!$A$1:$I$89,5,0)</f>
        <v>-1.3596945791505279E-13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393.01180019332998</v>
      </c>
      <c r="DU110" s="59">
        <f t="shared" si="98"/>
        <v>283.82782416294748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138.94474693158625</v>
      </c>
      <c r="EB110" s="21">
        <f>EXP(-LN(2)/25)*EB109+(1-EXP(-LN(2)/25))/(LN(2)/25)*Calculateur!DW110*Calculateur!DY110*VLOOKUP('Données projet'!$B$14,Paramètres!$A$1:$I$89,3,0)*0.475*44/12</f>
        <v>53.65087561795206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192.59562254953832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12.467519999999997</v>
      </c>
      <c r="D111" s="11">
        <f t="shared" si="86"/>
        <v>4.2833477815852019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25.860988855780661</v>
      </c>
      <c r="H111" s="67">
        <f t="shared" si="56"/>
        <v>285.84109471959425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-5.3205440053716299E-14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189.8770435341392</v>
      </c>
      <c r="T111" s="59">
        <f t="shared" si="88"/>
        <v>230.18380961122767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42.428650581275924</v>
      </c>
      <c r="AA111" s="21">
        <f>EXP(-LN(2)/25)*AA110+(1-EXP(-LN(2)/25))/(LN(2)/25)*Calculateur!V111*Calculateur!X111*VLOOKUP('Données projet'!$B$9,Paramètres!$A$1:$I$89,3,0)*0.475*44/12</f>
        <v>16.45416573459519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58.882816315871111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-3.4106051316484809E-13</v>
      </c>
      <c r="AJ111" s="13">
        <f>AI111*VLOOKUP('Données projet'!$B$10,Paramètres!$A$1:$I$89,3,0)*VLOOKUP('Données projet'!$B$10,Paramètres!$A$1:$I$89,5,0)</f>
        <v>-1.5074874681886286E-13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207.77463758757142</v>
      </c>
      <c r="AO111" s="59">
        <f t="shared" si="90"/>
        <v>180.50802165484066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60.087979087430689</v>
      </c>
      <c r="AV111" s="21">
        <f>EXP(-LN(2)/25)*AV110+(1-EXP(-LN(2)/25))/(LN(2)/25)*Calculateur!AQ111*Calculateur!AS111*VLOOKUP('Données projet'!$B$10,Paramètres!$A$1:$I$89,3,0)*0.475*44/12</f>
        <v>25.237854046129502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85.325833133560195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-2.2737367544323206E-13</v>
      </c>
      <c r="BE111" s="13">
        <f>BD111*VLOOKUP('Données projet'!$B$11,Paramètres!$A$1:$I$89,3,0)*VLOOKUP('Données projet'!$B$11,Paramètres!$A$1:$I$89,5,0)</f>
        <v>-1.3596945791505279E-13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393.01180019332998</v>
      </c>
      <c r="BJ111" s="59">
        <f t="shared" si="92"/>
        <v>283.82782416294748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136.22012519218532</v>
      </c>
      <c r="BQ111" s="21">
        <f>EXP(-LN(2)/25)*BQ110+(1-EXP(-LN(2)/25))/(LN(2)/25)*Calculateur!BL111*Calculateur!BN111*VLOOKUP('Données projet'!$B$11,Paramètres!$A$1:$I$89,3,0)*0.475*44/12</f>
        <v>52.183789602802236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188.40391479498754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-2.2737367544323206E-13</v>
      </c>
      <c r="BZ111" s="13">
        <f>BY111*VLOOKUP('Données projet'!$B$12,Paramètres!$A$1:$I$89,3,0)*VLOOKUP('Données projet'!$B$12,Paramètres!$A$1:$I$89,5,0)</f>
        <v>-1.3596945791505279E-13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393.01180019332998</v>
      </c>
      <c r="CE111" s="59">
        <f t="shared" si="94"/>
        <v>283.82782416294748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136.22012519218532</v>
      </c>
      <c r="CL111" s="21">
        <f>EXP(-LN(2)/25)*CL110+(1-EXP(-LN(2)/25))/(LN(2)/25)*Calculateur!CG111*Calculateur!CI111*VLOOKUP('Données projet'!$B$12,Paramètres!$A$1:$I$89,3,0)*0.475*44/12</f>
        <v>52.183789602802236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188.40391479498754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-2.2737367544323206E-13</v>
      </c>
      <c r="CU111" s="17">
        <f>CT111*VLOOKUP('Données projet'!$B$13,Paramètres!$A$1:$I$89,3,0)*VLOOKUP('Données projet'!$B$13,Paramètres!$A$1:$I$89,5,0)</f>
        <v>-1.3596945791505279E-13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393.01180019332998</v>
      </c>
      <c r="CZ111" s="59">
        <f t="shared" si="96"/>
        <v>283.82782416294748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136.22012519218532</v>
      </c>
      <c r="DG111" s="21">
        <f>EXP(-LN(2)/25)*DG110+(1-EXP(-LN(2)/25))/(LN(2)/25)*Calculateur!DB111*Calculateur!DD111*VLOOKUP('Données projet'!$B$13,Paramètres!$A$1:$I$89,3,0)*0.475*44/12</f>
        <v>52.183789602802236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188.40391479498754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-2.2737367544323206E-13</v>
      </c>
      <c r="DP111" s="17">
        <f>DO111*VLOOKUP('Données projet'!$B$14,Paramètres!$A$1:$I$89,3,0)*VLOOKUP('Données projet'!$B$14,Paramètres!$A$1:$I$89,5,0)</f>
        <v>-1.3596945791505279E-13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393.01180019332998</v>
      </c>
      <c r="DU111" s="59">
        <f t="shared" si="98"/>
        <v>283.82782416294748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136.22012519218532</v>
      </c>
      <c r="EB111" s="21">
        <f>EXP(-LN(2)/25)*EB110+(1-EXP(-LN(2)/25))/(LN(2)/25)*Calculateur!DW111*Calculateur!DY111*VLOOKUP('Données projet'!$B$14,Paramètres!$A$1:$I$89,3,0)*0.475*44/12</f>
        <v>52.183789602802236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188.40391479498754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12.582959999999996</v>
      </c>
      <c r="D112" s="11">
        <f t="shared" si="86"/>
        <v>4.3183730920007255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26.093286177123925</v>
      </c>
      <c r="H112" s="67">
        <f t="shared" si="56"/>
        <v>286.1031551352346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-5.3205440053716299E-14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189.8770435341392</v>
      </c>
      <c r="T112" s="59">
        <f t="shared" si="88"/>
        <v>230.18380961122767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41.596650622298625</v>
      </c>
      <c r="AA112" s="21">
        <f>EXP(-LN(2)/25)*AA111+(1-EXP(-LN(2)/25))/(LN(2)/25)*Calculateur!V112*Calculateur!X112*VLOOKUP('Données projet'!$B$9,Paramètres!$A$1:$I$89,3,0)*0.475*44/12</f>
        <v>16.004225707295713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57.600876329594342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-3.4106051316484809E-13</v>
      </c>
      <c r="AJ112" s="13">
        <f>AI112*VLOOKUP('Données projet'!$B$10,Paramètres!$A$1:$I$89,3,0)*VLOOKUP('Données projet'!$B$10,Paramètres!$A$1:$I$89,5,0)</f>
        <v>-1.5074874681886286E-13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207.77463758757142</v>
      </c>
      <c r="AO112" s="59">
        <f t="shared" si="90"/>
        <v>180.50802165484066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58.909690467574528</v>
      </c>
      <c r="AV112" s="21">
        <f>EXP(-LN(2)/25)*AV111+(1-EXP(-LN(2)/25))/(LN(2)/25)*Calculateur!AQ112*Calculateur!AS112*VLOOKUP('Données projet'!$B$10,Paramètres!$A$1:$I$89,3,0)*0.475*44/12</f>
        <v>24.547723600037028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83.457414067611552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-2.2737367544323206E-13</v>
      </c>
      <c r="BE112" s="13">
        <f>BD112*VLOOKUP('Données projet'!$B$11,Paramètres!$A$1:$I$89,3,0)*VLOOKUP('Données projet'!$B$11,Paramètres!$A$1:$I$89,5,0)</f>
        <v>-1.3596945791505279E-13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393.01180019332998</v>
      </c>
      <c r="BJ112" s="59">
        <f t="shared" si="92"/>
        <v>283.82782416294748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133.54893162323887</v>
      </c>
      <c r="BQ112" s="21">
        <f>EXP(-LN(2)/25)*BQ111+(1-EXP(-LN(2)/25))/(LN(2)/25)*Calculateur!BL112*Calculateur!BN112*VLOOKUP('Données projet'!$B$11,Paramètres!$A$1:$I$89,3,0)*0.475*44/12</f>
        <v>50.756821131887378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184.30575275512626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-2.2737367544323206E-13</v>
      </c>
      <c r="BZ112" s="13">
        <f>BY112*VLOOKUP('Données projet'!$B$12,Paramètres!$A$1:$I$89,3,0)*VLOOKUP('Données projet'!$B$12,Paramètres!$A$1:$I$89,5,0)</f>
        <v>-1.3596945791505279E-13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393.01180019332998</v>
      </c>
      <c r="CE112" s="59">
        <f t="shared" si="94"/>
        <v>283.82782416294748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133.54893162323887</v>
      </c>
      <c r="CL112" s="21">
        <f>EXP(-LN(2)/25)*CL111+(1-EXP(-LN(2)/25))/(LN(2)/25)*Calculateur!CG112*Calculateur!CI112*VLOOKUP('Données projet'!$B$12,Paramètres!$A$1:$I$89,3,0)*0.475*44/12</f>
        <v>50.756821131887378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184.30575275512626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-2.2737367544323206E-13</v>
      </c>
      <c r="CU112" s="17">
        <f>CT112*VLOOKUP('Données projet'!$B$13,Paramètres!$A$1:$I$89,3,0)*VLOOKUP('Données projet'!$B$13,Paramètres!$A$1:$I$89,5,0)</f>
        <v>-1.3596945791505279E-13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393.01180019332998</v>
      </c>
      <c r="CZ112" s="59">
        <f t="shared" si="96"/>
        <v>283.82782416294748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133.54893162323887</v>
      </c>
      <c r="DG112" s="21">
        <f>EXP(-LN(2)/25)*DG111+(1-EXP(-LN(2)/25))/(LN(2)/25)*Calculateur!DB112*Calculateur!DD112*VLOOKUP('Données projet'!$B$13,Paramètres!$A$1:$I$89,3,0)*0.475*44/12</f>
        <v>50.756821131887378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184.30575275512626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-2.2737367544323206E-13</v>
      </c>
      <c r="DP112" s="17">
        <f>DO112*VLOOKUP('Données projet'!$B$14,Paramètres!$A$1:$I$89,3,0)*VLOOKUP('Données projet'!$B$14,Paramètres!$A$1:$I$89,5,0)</f>
        <v>-1.3596945791505279E-13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393.01180019332998</v>
      </c>
      <c r="DU112" s="59">
        <f t="shared" si="98"/>
        <v>283.82782416294748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133.54893162323887</v>
      </c>
      <c r="EB112" s="21">
        <f>EXP(-LN(2)/25)*EB111+(1-EXP(-LN(2)/25))/(LN(2)/25)*Calculateur!DW112*Calculateur!DY112*VLOOKUP('Données projet'!$B$14,Paramètres!$A$1:$I$89,3,0)*0.475*44/12</f>
        <v>50.756821131887378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184.30575275512626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12.698399999999996</v>
      </c>
      <c r="D113" s="11">
        <f t="shared" si="86"/>
        <v>4.3533610186502001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26.325525783179256</v>
      </c>
      <c r="H113" s="67">
        <f t="shared" si="56"/>
        <v>286.3651504408158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-5.3205440053716299E-14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189.8770435341392</v>
      </c>
      <c r="T113" s="59">
        <f t="shared" si="88"/>
        <v>230.18380961122767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40.780965675047007</v>
      </c>
      <c r="AA113" s="21">
        <f>EXP(-LN(2)/25)*AA112+(1-EXP(-LN(2)/25))/(LN(2)/25)*Calculateur!V113*Calculateur!X113*VLOOKUP('Données projet'!$B$9,Paramètres!$A$1:$I$89,3,0)*0.475*44/12</f>
        <v>15.566589313704061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56.347554988751071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-3.4106051316484809E-13</v>
      </c>
      <c r="AJ113" s="13">
        <f>AI113*VLOOKUP('Données projet'!$B$10,Paramètres!$A$1:$I$89,3,0)*VLOOKUP('Données projet'!$B$10,Paramètres!$A$1:$I$89,5,0)</f>
        <v>-1.5074874681886286E-13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207.77463758757142</v>
      </c>
      <c r="AO113" s="59">
        <f t="shared" si="90"/>
        <v>180.50802165484066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57.754507368868651</v>
      </c>
      <c r="AV113" s="21">
        <f>EXP(-LN(2)/25)*AV112+(1-EXP(-LN(2)/25))/(LN(2)/25)*Calculateur!AQ113*Calculateur!AS113*VLOOKUP('Données projet'!$B$10,Paramètres!$A$1:$I$89,3,0)*0.475*44/12</f>
        <v>23.876464807285334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81.630972176153989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-2.2737367544323206E-13</v>
      </c>
      <c r="BE113" s="13">
        <f>BD113*VLOOKUP('Données projet'!$B$11,Paramètres!$A$1:$I$89,3,0)*VLOOKUP('Données projet'!$B$11,Paramètres!$A$1:$I$89,5,0)</f>
        <v>-1.3596945791505279E-13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393.01180019332998</v>
      </c>
      <c r="BJ113" s="59">
        <f t="shared" si="92"/>
        <v>283.82782416294748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130.93011853091227</v>
      </c>
      <c r="BQ113" s="21">
        <f>EXP(-LN(2)/25)*BQ112+(1-EXP(-LN(2)/25))/(LN(2)/25)*Calculateur!BL113*Calculateur!BN113*VLOOKUP('Données projet'!$B$11,Paramètres!$A$1:$I$89,3,0)*0.475*44/12</f>
        <v>49.368873188850699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180.29899171976297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-2.2737367544323206E-13</v>
      </c>
      <c r="BZ113" s="13">
        <f>BY113*VLOOKUP('Données projet'!$B$12,Paramètres!$A$1:$I$89,3,0)*VLOOKUP('Données projet'!$B$12,Paramètres!$A$1:$I$89,5,0)</f>
        <v>-1.3596945791505279E-13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393.01180019332998</v>
      </c>
      <c r="CE113" s="59">
        <f t="shared" si="94"/>
        <v>283.82782416294748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130.93011853091227</v>
      </c>
      <c r="CL113" s="21">
        <f>EXP(-LN(2)/25)*CL112+(1-EXP(-LN(2)/25))/(LN(2)/25)*Calculateur!CG113*Calculateur!CI113*VLOOKUP('Données projet'!$B$12,Paramètres!$A$1:$I$89,3,0)*0.475*44/12</f>
        <v>49.368873188850699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180.29899171976297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-2.2737367544323206E-13</v>
      </c>
      <c r="CU113" s="17">
        <f>CT113*VLOOKUP('Données projet'!$B$13,Paramètres!$A$1:$I$89,3,0)*VLOOKUP('Données projet'!$B$13,Paramètres!$A$1:$I$89,5,0)</f>
        <v>-1.3596945791505279E-13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393.01180019332998</v>
      </c>
      <c r="CZ113" s="59">
        <f t="shared" si="96"/>
        <v>283.82782416294748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130.93011853091227</v>
      </c>
      <c r="DG113" s="21">
        <f>EXP(-LN(2)/25)*DG112+(1-EXP(-LN(2)/25))/(LN(2)/25)*Calculateur!DB113*Calculateur!DD113*VLOOKUP('Données projet'!$B$13,Paramètres!$A$1:$I$89,3,0)*0.475*44/12</f>
        <v>49.368873188850699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180.29899171976297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-2.2737367544323206E-13</v>
      </c>
      <c r="DP113" s="17">
        <f>DO113*VLOOKUP('Données projet'!$B$14,Paramètres!$A$1:$I$89,3,0)*VLOOKUP('Données projet'!$B$14,Paramètres!$A$1:$I$89,5,0)</f>
        <v>-1.3596945791505279E-13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393.01180019332998</v>
      </c>
      <c r="DU113" s="59">
        <f t="shared" si="98"/>
        <v>283.82782416294748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130.93011853091227</v>
      </c>
      <c r="EB113" s="21">
        <f>EXP(-LN(2)/25)*EB112+(1-EXP(-LN(2)/25))/(LN(2)/25)*Calculateur!DW113*Calculateur!DY113*VLOOKUP('Données projet'!$B$14,Paramètres!$A$1:$I$89,3,0)*0.475*44/12</f>
        <v>49.368873188850699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180.29899171976297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12.813839999999995</v>
      </c>
      <c r="D114" s="11">
        <f t="shared" si="86"/>
        <v>4.3883119407546758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26.557708259410727</v>
      </c>
      <c r="H114" s="67">
        <f t="shared" si="56"/>
        <v>286.62708129681442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-5.3205440053716299E-14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189.8770435341392</v>
      </c>
      <c r="T114" s="59">
        <f t="shared" si="88"/>
        <v>230.18380961122767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39.981275812092299</v>
      </c>
      <c r="AA114" s="21">
        <f>EXP(-LN(2)/25)*AA113+(1-EXP(-LN(2)/25))/(LN(2)/25)*Calculateur!V114*Calculateur!X114*VLOOKUP('Données projet'!$B$9,Paramètres!$A$1:$I$89,3,0)*0.475*44/12</f>
        <v>15.140920110309469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55.122195922401772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-3.4106051316484809E-13</v>
      </c>
      <c r="AJ114" s="13">
        <f>AI114*VLOOKUP('Données projet'!$B$10,Paramètres!$A$1:$I$89,3,0)*VLOOKUP('Données projet'!$B$10,Paramètres!$A$1:$I$89,5,0)</f>
        <v>-1.5074874681886286E-13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207.77463758757142</v>
      </c>
      <c r="AO114" s="59">
        <f t="shared" si="90"/>
        <v>180.50802165484066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56.62197670613628</v>
      </c>
      <c r="AV114" s="21">
        <f>EXP(-LN(2)/25)*AV113+(1-EXP(-LN(2)/25))/(LN(2)/25)*Calculateur!AQ114*Calculateur!AS114*VLOOKUP('Données projet'!$B$10,Paramètres!$A$1:$I$89,3,0)*0.475*44/12</f>
        <v>23.223561621521402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79.845538327657678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-2.2737367544323206E-13</v>
      </c>
      <c r="BE114" s="13">
        <f>BD114*VLOOKUP('Données projet'!$B$11,Paramètres!$A$1:$I$89,3,0)*VLOOKUP('Données projet'!$B$11,Paramètres!$A$1:$I$89,5,0)</f>
        <v>-1.3596945791505279E-13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393.01180019332998</v>
      </c>
      <c r="BJ114" s="59">
        <f t="shared" si="92"/>
        <v>283.82782416294748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128.36265876600791</v>
      </c>
      <c r="BQ114" s="21">
        <f>EXP(-LN(2)/25)*BQ113+(1-EXP(-LN(2)/25))/(LN(2)/25)*Calculateur!BL114*Calculateur!BN114*VLOOKUP('Données projet'!$B$11,Paramètres!$A$1:$I$89,3,0)*0.475*44/12</f>
        <v>48.018878755305373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176.38153752131328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-2.2737367544323206E-13</v>
      </c>
      <c r="BZ114" s="13">
        <f>BY114*VLOOKUP('Données projet'!$B$12,Paramètres!$A$1:$I$89,3,0)*VLOOKUP('Données projet'!$B$12,Paramètres!$A$1:$I$89,5,0)</f>
        <v>-1.3596945791505279E-13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393.01180019332998</v>
      </c>
      <c r="CE114" s="59">
        <f t="shared" si="94"/>
        <v>283.82782416294748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128.36265876600791</v>
      </c>
      <c r="CL114" s="21">
        <f>EXP(-LN(2)/25)*CL113+(1-EXP(-LN(2)/25))/(LN(2)/25)*Calculateur!CG114*Calculateur!CI114*VLOOKUP('Données projet'!$B$12,Paramètres!$A$1:$I$89,3,0)*0.475*44/12</f>
        <v>48.018878755305373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176.38153752131328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-2.2737367544323206E-13</v>
      </c>
      <c r="CU114" s="17">
        <f>CT114*VLOOKUP('Données projet'!$B$13,Paramètres!$A$1:$I$89,3,0)*VLOOKUP('Données projet'!$B$13,Paramètres!$A$1:$I$89,5,0)</f>
        <v>-1.3596945791505279E-13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393.01180019332998</v>
      </c>
      <c r="CZ114" s="59">
        <f t="shared" si="96"/>
        <v>283.82782416294748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128.36265876600791</v>
      </c>
      <c r="DG114" s="21">
        <f>EXP(-LN(2)/25)*DG113+(1-EXP(-LN(2)/25))/(LN(2)/25)*Calculateur!DB114*Calculateur!DD114*VLOOKUP('Données projet'!$B$13,Paramètres!$A$1:$I$89,3,0)*0.475*44/12</f>
        <v>48.018878755305373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176.38153752131328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-2.2737367544323206E-13</v>
      </c>
      <c r="DP114" s="17">
        <f>DO114*VLOOKUP('Données projet'!$B$14,Paramètres!$A$1:$I$89,3,0)*VLOOKUP('Données projet'!$B$14,Paramètres!$A$1:$I$89,5,0)</f>
        <v>-1.3596945791505279E-13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393.01180019332998</v>
      </c>
      <c r="DU114" s="59">
        <f t="shared" si="98"/>
        <v>283.82782416294748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128.36265876600791</v>
      </c>
      <c r="EB114" s="21">
        <f>EXP(-LN(2)/25)*EB113+(1-EXP(-LN(2)/25))/(LN(2)/25)*Calculateur!DW114*Calculateur!DY114*VLOOKUP('Données projet'!$B$14,Paramètres!$A$1:$I$89,3,0)*0.475*44/12</f>
        <v>48.018878755305373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176.38153752131328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12.929279999999995</v>
      </c>
      <c r="D115" s="11">
        <f t="shared" si="86"/>
        <v>4.4232262303082335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26.789834180124988</v>
      </c>
      <c r="H115" s="67">
        <f t="shared" si="56"/>
        <v>286.88894835112018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-5.3205440053716299E-14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189.8770435341392</v>
      </c>
      <c r="T115" s="59">
        <f t="shared" si="88"/>
        <v>230.18380961122767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39.19726737958748</v>
      </c>
      <c r="AA115" s="21">
        <f>EXP(-LN(2)/25)*AA114+(1-EXP(-LN(2)/25))/(LN(2)/25)*Calculateur!V115*Calculateur!X115*VLOOKUP('Données projet'!$B$9,Paramètres!$A$1:$I$89,3,0)*0.475*44/12</f>
        <v>14.726890853666674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53.924158233254154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-3.4106051316484809E-13</v>
      </c>
      <c r="AJ115" s="13">
        <f>AI115*VLOOKUP('Données projet'!$B$10,Paramètres!$A$1:$I$89,3,0)*VLOOKUP('Données projet'!$B$10,Paramètres!$A$1:$I$89,5,0)</f>
        <v>-1.5074874681886286E-13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207.77463758757142</v>
      </c>
      <c r="AO115" s="59">
        <f t="shared" si="90"/>
        <v>180.50802165484066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55.511654278924595</v>
      </c>
      <c r="AV115" s="21">
        <f>EXP(-LN(2)/25)*AV114+(1-EXP(-LN(2)/25))/(LN(2)/25)*Calculateur!AQ115*Calculateur!AS115*VLOOKUP('Données projet'!$B$10,Paramètres!$A$1:$I$89,3,0)*0.475*44/12</f>
        <v>22.588512107706872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78.100166386631471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-2.2737367544323206E-13</v>
      </c>
      <c r="BE115" s="13">
        <f>BD115*VLOOKUP('Données projet'!$B$11,Paramètres!$A$1:$I$89,3,0)*VLOOKUP('Données projet'!$B$11,Paramètres!$A$1:$I$89,5,0)</f>
        <v>-1.3596945791505279E-13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393.01180019332998</v>
      </c>
      <c r="BJ115" s="59">
        <f t="shared" si="92"/>
        <v>283.82782416294748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125.8455453210975</v>
      </c>
      <c r="BQ115" s="21">
        <f>EXP(-LN(2)/25)*BQ114+(1-EXP(-LN(2)/25))/(LN(2)/25)*Calculateur!BL115*Calculateur!BN115*VLOOKUP('Données projet'!$B$11,Paramètres!$A$1:$I$89,3,0)*0.475*44/12</f>
        <v>46.705799990538459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172.55134531163597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-2.2737367544323206E-13</v>
      </c>
      <c r="BZ115" s="13">
        <f>BY115*VLOOKUP('Données projet'!$B$12,Paramètres!$A$1:$I$89,3,0)*VLOOKUP('Données projet'!$B$12,Paramètres!$A$1:$I$89,5,0)</f>
        <v>-1.3596945791505279E-13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393.01180019332998</v>
      </c>
      <c r="CE115" s="59">
        <f t="shared" si="94"/>
        <v>283.82782416294748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125.8455453210975</v>
      </c>
      <c r="CL115" s="21">
        <f>EXP(-LN(2)/25)*CL114+(1-EXP(-LN(2)/25))/(LN(2)/25)*Calculateur!CG115*Calculateur!CI115*VLOOKUP('Données projet'!$B$12,Paramètres!$A$1:$I$89,3,0)*0.475*44/12</f>
        <v>46.705799990538459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172.55134531163597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-2.2737367544323206E-13</v>
      </c>
      <c r="CU115" s="17">
        <f>CT115*VLOOKUP('Données projet'!$B$13,Paramètres!$A$1:$I$89,3,0)*VLOOKUP('Données projet'!$B$13,Paramètres!$A$1:$I$89,5,0)</f>
        <v>-1.3596945791505279E-13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393.01180019332998</v>
      </c>
      <c r="CZ115" s="59">
        <f t="shared" si="96"/>
        <v>283.82782416294748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125.8455453210975</v>
      </c>
      <c r="DG115" s="21">
        <f>EXP(-LN(2)/25)*DG114+(1-EXP(-LN(2)/25))/(LN(2)/25)*Calculateur!DB115*Calculateur!DD115*VLOOKUP('Données projet'!$B$13,Paramètres!$A$1:$I$89,3,0)*0.475*44/12</f>
        <v>46.705799990538459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172.55134531163597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-2.2737367544323206E-13</v>
      </c>
      <c r="DP115" s="17">
        <f>DO115*VLOOKUP('Données projet'!$B$14,Paramètres!$A$1:$I$89,3,0)*VLOOKUP('Données projet'!$B$14,Paramètres!$A$1:$I$89,5,0)</f>
        <v>-1.3596945791505279E-13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393.01180019332998</v>
      </c>
      <c r="DU115" s="59">
        <f t="shared" si="98"/>
        <v>283.82782416294748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125.8455453210975</v>
      </c>
      <c r="EB115" s="21">
        <f>EXP(-LN(2)/25)*EB114+(1-EXP(-LN(2)/25))/(LN(2)/25)*Calculateur!DW115*Calculateur!DY115*VLOOKUP('Données projet'!$B$14,Paramètres!$A$1:$I$89,3,0)*0.475*44/12</f>
        <v>46.705799990538459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172.55134531163597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13.044719999999995</v>
      </c>
      <c r="D116" s="11">
        <f t="shared" si="86"/>
        <v>4.4581042522789645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27.021904108781552</v>
      </c>
      <c r="H116" s="67">
        <f t="shared" si="56"/>
        <v>287.15075223938589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-5.3205440053716299E-14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189.8770435341392</v>
      </c>
      <c r="T116" s="59">
        <f t="shared" si="88"/>
        <v>230.18380961122767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38.428632874246155</v>
      </c>
      <c r="AA116" s="21">
        <f>EXP(-LN(2)/25)*AA115+(1-EXP(-LN(2)/25))/(LN(2)/25)*Calculateur!V116*Calculateur!X116*VLOOKUP('Données projet'!$B$9,Paramètres!$A$1:$I$89,3,0)*0.475*44/12</f>
        <v>14.324183248819628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52.752816123065784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-3.4106051316484809E-13</v>
      </c>
      <c r="AJ116" s="13">
        <f>AI116*VLOOKUP('Données projet'!$B$10,Paramètres!$A$1:$I$89,3,0)*VLOOKUP('Données projet'!$B$10,Paramètres!$A$1:$I$89,5,0)</f>
        <v>-1.5074874681886286E-13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207.77463758757142</v>
      </c>
      <c r="AO116" s="59">
        <f t="shared" si="90"/>
        <v>180.50802165484066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54.423104597280719</v>
      </c>
      <c r="AV116" s="21">
        <f>EXP(-LN(2)/25)*AV115+(1-EXP(-LN(2)/25))/(LN(2)/25)*Calculateur!AQ116*Calculateur!AS116*VLOOKUP('Données projet'!$B$10,Paramètres!$A$1:$I$89,3,0)*0.475*44/12</f>
        <v>21.970828056243402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76.393932653524118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-2.2737367544323206E-13</v>
      </c>
      <c r="BE116" s="13">
        <f>BD116*VLOOKUP('Données projet'!$B$11,Paramètres!$A$1:$I$89,3,0)*VLOOKUP('Données projet'!$B$11,Paramètres!$A$1:$I$89,5,0)</f>
        <v>-1.3596945791505279E-13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393.01180019332998</v>
      </c>
      <c r="BJ116" s="59">
        <f t="shared" si="92"/>
        <v>283.82782416294748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123.37779093555419</v>
      </c>
      <c r="BQ116" s="21">
        <f>EXP(-LN(2)/25)*BQ115+(1-EXP(-LN(2)/25))/(LN(2)/25)*Calculateur!BL116*Calculateur!BN116*VLOOKUP('Données projet'!$B$11,Paramètres!$A$1:$I$89,3,0)*0.475*44/12</f>
        <v>45.428627433645914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168.80641836920012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-2.2737367544323206E-13</v>
      </c>
      <c r="BZ116" s="13">
        <f>BY116*VLOOKUP('Données projet'!$B$12,Paramètres!$A$1:$I$89,3,0)*VLOOKUP('Données projet'!$B$12,Paramètres!$A$1:$I$89,5,0)</f>
        <v>-1.3596945791505279E-13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393.01180019332998</v>
      </c>
      <c r="CE116" s="59">
        <f t="shared" si="94"/>
        <v>283.82782416294748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123.37779093555419</v>
      </c>
      <c r="CL116" s="21">
        <f>EXP(-LN(2)/25)*CL115+(1-EXP(-LN(2)/25))/(LN(2)/25)*Calculateur!CG116*Calculateur!CI116*VLOOKUP('Données projet'!$B$12,Paramètres!$A$1:$I$89,3,0)*0.475*44/12</f>
        <v>45.428627433645914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168.80641836920012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-2.2737367544323206E-13</v>
      </c>
      <c r="CU116" s="17">
        <f>CT116*VLOOKUP('Données projet'!$B$13,Paramètres!$A$1:$I$89,3,0)*VLOOKUP('Données projet'!$B$13,Paramètres!$A$1:$I$89,5,0)</f>
        <v>-1.3596945791505279E-13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393.01180019332998</v>
      </c>
      <c r="CZ116" s="59">
        <f t="shared" si="96"/>
        <v>283.82782416294748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123.37779093555419</v>
      </c>
      <c r="DG116" s="21">
        <f>EXP(-LN(2)/25)*DG115+(1-EXP(-LN(2)/25))/(LN(2)/25)*Calculateur!DB116*Calculateur!DD116*VLOOKUP('Données projet'!$B$13,Paramètres!$A$1:$I$89,3,0)*0.475*44/12</f>
        <v>45.428627433645914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168.80641836920012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-2.2737367544323206E-13</v>
      </c>
      <c r="DP116" s="17">
        <f>DO116*VLOOKUP('Données projet'!$B$14,Paramètres!$A$1:$I$89,3,0)*VLOOKUP('Données projet'!$B$14,Paramètres!$A$1:$I$89,5,0)</f>
        <v>-1.3596945791505279E-13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393.01180019332998</v>
      </c>
      <c r="DU116" s="59">
        <f t="shared" si="98"/>
        <v>283.82782416294748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123.37779093555419</v>
      </c>
      <c r="EB116" s="21">
        <f>EXP(-LN(2)/25)*EB115+(1-EXP(-LN(2)/25))/(LN(2)/25)*Calculateur!DW116*Calculateur!DY116*VLOOKUP('Données projet'!$B$14,Paramètres!$A$1:$I$89,3,0)*0.475*44/12</f>
        <v>45.428627433645914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168.80641836920012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13.160159999999994</v>
      </c>
      <c r="D117" s="11">
        <f t="shared" si="86"/>
        <v>4.4929463648026484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27.253918598291801</v>
      </c>
      <c r="H117" s="67">
        <f t="shared" si="56"/>
        <v>287.41249358536464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-5.3205440053716299E-14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189.8770435341392</v>
      </c>
      <c r="T117" s="59">
        <f t="shared" si="88"/>
        <v>230.18380961122767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37.675070822733815</v>
      </c>
      <c r="AA117" s="21">
        <f>EXP(-LN(2)/25)*AA116+(1-EXP(-LN(2)/25))/(LN(2)/25)*Calculateur!V117*Calculateur!X117*VLOOKUP('Données projet'!$B$9,Paramètres!$A$1:$I$89,3,0)*0.475*44/12</f>
        <v>13.932487704604597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51.607558527338412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-3.4106051316484809E-13</v>
      </c>
      <c r="AJ117" s="13">
        <f>AI117*VLOOKUP('Données projet'!$B$10,Paramètres!$A$1:$I$89,3,0)*VLOOKUP('Données projet'!$B$10,Paramètres!$A$1:$I$89,5,0)</f>
        <v>-1.5074874681886286E-13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207.77463758757142</v>
      </c>
      <c r="AO117" s="59">
        <f t="shared" si="90"/>
        <v>180.50802165484066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53.355900710944134</v>
      </c>
      <c r="AV117" s="21">
        <f>EXP(-LN(2)/25)*AV116+(1-EXP(-LN(2)/25))/(LN(2)/25)*Calculateur!AQ117*Calculateur!AS117*VLOOKUP('Données projet'!$B$10,Paramètres!$A$1:$I$89,3,0)*0.475*44/12</f>
        <v>21.370034607649792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74.725935318593926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-2.2737367544323206E-13</v>
      </c>
      <c r="BE117" s="13">
        <f>BD117*VLOOKUP('Données projet'!$B$11,Paramètres!$A$1:$I$89,3,0)*VLOOKUP('Données projet'!$B$11,Paramètres!$A$1:$I$89,5,0)</f>
        <v>-1.3596945791505279E-13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393.01180019332998</v>
      </c>
      <c r="BJ117" s="59">
        <f t="shared" si="92"/>
        <v>283.82782416294748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120.95842770832982</v>
      </c>
      <c r="BQ117" s="21">
        <f>EXP(-LN(2)/25)*BQ116+(1-EXP(-LN(2)/25))/(LN(2)/25)*Calculateur!BL117*Calculateur!BN117*VLOOKUP('Données projet'!$B$11,Paramètres!$A$1:$I$89,3,0)*0.475*44/12</f>
        <v>44.186379227485176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165.14480693581498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-2.2737367544323206E-13</v>
      </c>
      <c r="BZ117" s="13">
        <f>BY117*VLOOKUP('Données projet'!$B$12,Paramètres!$A$1:$I$89,3,0)*VLOOKUP('Données projet'!$B$12,Paramètres!$A$1:$I$89,5,0)</f>
        <v>-1.3596945791505279E-13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393.01180019332998</v>
      </c>
      <c r="CE117" s="59">
        <f t="shared" si="94"/>
        <v>283.82782416294748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120.95842770832982</v>
      </c>
      <c r="CL117" s="21">
        <f>EXP(-LN(2)/25)*CL116+(1-EXP(-LN(2)/25))/(LN(2)/25)*Calculateur!CG117*Calculateur!CI117*VLOOKUP('Données projet'!$B$12,Paramètres!$A$1:$I$89,3,0)*0.475*44/12</f>
        <v>44.186379227485176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165.14480693581498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-2.2737367544323206E-13</v>
      </c>
      <c r="CU117" s="17">
        <f>CT117*VLOOKUP('Données projet'!$B$13,Paramètres!$A$1:$I$89,3,0)*VLOOKUP('Données projet'!$B$13,Paramètres!$A$1:$I$89,5,0)</f>
        <v>-1.3596945791505279E-13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393.01180019332998</v>
      </c>
      <c r="CZ117" s="59">
        <f t="shared" si="96"/>
        <v>283.82782416294748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120.95842770832982</v>
      </c>
      <c r="DG117" s="21">
        <f>EXP(-LN(2)/25)*DG116+(1-EXP(-LN(2)/25))/(LN(2)/25)*Calculateur!DB117*Calculateur!DD117*VLOOKUP('Données projet'!$B$13,Paramètres!$A$1:$I$89,3,0)*0.475*44/12</f>
        <v>44.186379227485176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165.14480693581498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-2.2737367544323206E-13</v>
      </c>
      <c r="DP117" s="17">
        <f>DO117*VLOOKUP('Données projet'!$B$14,Paramètres!$A$1:$I$89,3,0)*VLOOKUP('Données projet'!$B$14,Paramètres!$A$1:$I$89,5,0)</f>
        <v>-1.3596945791505279E-13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393.01180019332998</v>
      </c>
      <c r="DU117" s="59">
        <f t="shared" si="98"/>
        <v>283.82782416294748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120.95842770832982</v>
      </c>
      <c r="EB117" s="21">
        <f>EXP(-LN(2)/25)*EB116+(1-EXP(-LN(2)/25))/(LN(2)/25)*Calculateur!DW117*Calculateur!DY117*VLOOKUP('Données projet'!$B$14,Paramètres!$A$1:$I$89,3,0)*0.475*44/12</f>
        <v>44.186379227485176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165.14480693581498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13.275599999999994</v>
      </c>
      <c r="D118" s="11">
        <f t="shared" si="86"/>
        <v>4.5277529193694512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27.485878191307219</v>
      </c>
      <c r="H118" s="67">
        <f t="shared" si="56"/>
        <v>287.67417300123515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-5.3205440053716299E-14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189.8770435341392</v>
      </c>
      <c r="T118" s="59">
        <f t="shared" si="88"/>
        <v>230.18380961122767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36.936285663424165</v>
      </c>
      <c r="AA118" s="21">
        <f>EXP(-LN(2)/25)*AA117+(1-EXP(-LN(2)/25))/(LN(2)/25)*Calculateur!V118*Calculateur!X118*VLOOKUP('Données projet'!$B$9,Paramètres!$A$1:$I$89,3,0)*0.475*44/12</f>
        <v>13.551503095644499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50.487788759068664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-3.4106051316484809E-13</v>
      </c>
      <c r="AJ118" s="13">
        <f>AI118*VLOOKUP('Données projet'!$B$10,Paramètres!$A$1:$I$89,3,0)*VLOOKUP('Données projet'!$B$10,Paramètres!$A$1:$I$89,5,0)</f>
        <v>-1.5074874681886286E-13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207.77463758757142</v>
      </c>
      <c r="AO118" s="59">
        <f t="shared" si="90"/>
        <v>180.50802165484066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52.309624041888512</v>
      </c>
      <c r="AV118" s="21">
        <f>EXP(-LN(2)/25)*AV117+(1-EXP(-LN(2)/25))/(LN(2)/25)*Calculateur!AQ118*Calculateur!AS118*VLOOKUP('Données projet'!$B$10,Paramètres!$A$1:$I$89,3,0)*0.475*44/12</f>
        <v>20.78566988750233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73.095293929390834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-2.2737367544323206E-13</v>
      </c>
      <c r="BE118" s="13">
        <f>BD118*VLOOKUP('Données projet'!$B$11,Paramètres!$A$1:$I$89,3,0)*VLOOKUP('Données projet'!$B$11,Paramètres!$A$1:$I$89,5,0)</f>
        <v>-1.3596945791505279E-13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393.01180019332998</v>
      </c>
      <c r="BJ118" s="59">
        <f t="shared" si="92"/>
        <v>283.82782416294748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118.58650671832547</v>
      </c>
      <c r="BQ118" s="21">
        <f>EXP(-LN(2)/25)*BQ117+(1-EXP(-LN(2)/25))/(LN(2)/25)*Calculateur!BL118*Calculateur!BN118*VLOOKUP('Données projet'!$B$11,Paramètres!$A$1:$I$89,3,0)*0.475*44/12</f>
        <v>42.978100363848903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161.56460708217438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-2.2737367544323206E-13</v>
      </c>
      <c r="BZ118" s="13">
        <f>BY118*VLOOKUP('Données projet'!$B$12,Paramètres!$A$1:$I$89,3,0)*VLOOKUP('Données projet'!$B$12,Paramètres!$A$1:$I$89,5,0)</f>
        <v>-1.3596945791505279E-13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393.01180019332998</v>
      </c>
      <c r="CE118" s="59">
        <f t="shared" si="94"/>
        <v>283.82782416294748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118.58650671832547</v>
      </c>
      <c r="CL118" s="21">
        <f>EXP(-LN(2)/25)*CL117+(1-EXP(-LN(2)/25))/(LN(2)/25)*Calculateur!CG118*Calculateur!CI118*VLOOKUP('Données projet'!$B$12,Paramètres!$A$1:$I$89,3,0)*0.475*44/12</f>
        <v>42.978100363848903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161.56460708217438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-2.2737367544323206E-13</v>
      </c>
      <c r="CU118" s="17">
        <f>CT118*VLOOKUP('Données projet'!$B$13,Paramètres!$A$1:$I$89,3,0)*VLOOKUP('Données projet'!$B$13,Paramètres!$A$1:$I$89,5,0)</f>
        <v>-1.3596945791505279E-13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393.01180019332998</v>
      </c>
      <c r="CZ118" s="59">
        <f t="shared" si="96"/>
        <v>283.82782416294748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118.58650671832547</v>
      </c>
      <c r="DG118" s="21">
        <f>EXP(-LN(2)/25)*DG117+(1-EXP(-LN(2)/25))/(LN(2)/25)*Calculateur!DB118*Calculateur!DD118*VLOOKUP('Données projet'!$B$13,Paramètres!$A$1:$I$89,3,0)*0.475*44/12</f>
        <v>42.978100363848903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161.56460708217438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-2.2737367544323206E-13</v>
      </c>
      <c r="DP118" s="17">
        <f>DO118*VLOOKUP('Données projet'!$B$14,Paramètres!$A$1:$I$89,3,0)*VLOOKUP('Données projet'!$B$14,Paramètres!$A$1:$I$89,5,0)</f>
        <v>-1.3596945791505279E-13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393.01180019332998</v>
      </c>
      <c r="DU118" s="59">
        <f t="shared" si="98"/>
        <v>283.82782416294748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118.58650671832547</v>
      </c>
      <c r="EB118" s="21">
        <f>EXP(-LN(2)/25)*EB117+(1-EXP(-LN(2)/25))/(LN(2)/25)*Calculateur!DW118*Calculateur!DY118*VLOOKUP('Données projet'!$B$14,Paramètres!$A$1:$I$89,3,0)*0.475*44/12</f>
        <v>42.978100363848903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161.56460708217438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13.391039999999993</v>
      </c>
      <c r="D119" s="11">
        <f t="shared" si="86"/>
        <v>4.5625242610039294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27.717783420497284</v>
      </c>
      <c r="H119" s="67">
        <f t="shared" si="56"/>
        <v>287.93579108791516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-5.3205440053716299E-14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189.8770435341392</v>
      </c>
      <c r="T119" s="59">
        <f t="shared" si="88"/>
        <v>230.18380961122767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36.211987630474127</v>
      </c>
      <c r="AA119" s="21">
        <f>EXP(-LN(2)/25)*AA118+(1-EXP(-LN(2)/25))/(LN(2)/25)*Calculateur!V119*Calculateur!X119*VLOOKUP('Données projet'!$B$9,Paramètres!$A$1:$I$89,3,0)*0.475*44/12</f>
        <v>13.180936530851525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49.392924161325652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-3.4106051316484809E-13</v>
      </c>
      <c r="AJ119" s="13">
        <f>AI119*VLOOKUP('Données projet'!$B$10,Paramètres!$A$1:$I$89,3,0)*VLOOKUP('Données projet'!$B$10,Paramètres!$A$1:$I$89,5,0)</f>
        <v>-1.5074874681886286E-13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207.77463758757142</v>
      </c>
      <c r="AO119" s="59">
        <f t="shared" si="90"/>
        <v>180.50802165484066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51.283864220147315</v>
      </c>
      <c r="AV119" s="21">
        <f>EXP(-LN(2)/25)*AV118+(1-EXP(-LN(2)/25))/(LN(2)/25)*Calculateur!AQ119*Calculateur!AS119*VLOOKUP('Données projet'!$B$10,Paramètres!$A$1:$I$89,3,0)*0.475*44/12</f>
        <v>20.217284651357705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71.501148871505023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-2.2737367544323206E-13</v>
      </c>
      <c r="BE119" s="13">
        <f>BD119*VLOOKUP('Données projet'!$B$11,Paramètres!$A$1:$I$89,3,0)*VLOOKUP('Données projet'!$B$11,Paramètres!$A$1:$I$89,5,0)</f>
        <v>-1.3596945791505279E-13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393.01180019332998</v>
      </c>
      <c r="BJ119" s="59">
        <f t="shared" si="92"/>
        <v>283.82782416294748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116.26109765220615</v>
      </c>
      <c r="BQ119" s="21">
        <f>EXP(-LN(2)/25)*BQ118+(1-EXP(-LN(2)/25))/(LN(2)/25)*Calculateur!BL119*Calculateur!BN119*VLOOKUP('Données projet'!$B$11,Paramètres!$A$1:$I$89,3,0)*0.475*44/12</f>
        <v>41.802861949279382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158.06395960148552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-2.2737367544323206E-13</v>
      </c>
      <c r="BZ119" s="13">
        <f>BY119*VLOOKUP('Données projet'!$B$12,Paramètres!$A$1:$I$89,3,0)*VLOOKUP('Données projet'!$B$12,Paramètres!$A$1:$I$89,5,0)</f>
        <v>-1.3596945791505279E-13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393.01180019332998</v>
      </c>
      <c r="CE119" s="59">
        <f t="shared" si="94"/>
        <v>283.82782416294748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116.26109765220615</v>
      </c>
      <c r="CL119" s="21">
        <f>EXP(-LN(2)/25)*CL118+(1-EXP(-LN(2)/25))/(LN(2)/25)*Calculateur!CG119*Calculateur!CI119*VLOOKUP('Données projet'!$B$12,Paramètres!$A$1:$I$89,3,0)*0.475*44/12</f>
        <v>41.802861949279382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158.06395960148552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-2.2737367544323206E-13</v>
      </c>
      <c r="CU119" s="17">
        <f>CT119*VLOOKUP('Données projet'!$B$13,Paramètres!$A$1:$I$89,3,0)*VLOOKUP('Données projet'!$B$13,Paramètres!$A$1:$I$89,5,0)</f>
        <v>-1.3596945791505279E-13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393.01180019332998</v>
      </c>
      <c r="CZ119" s="59">
        <f t="shared" si="96"/>
        <v>283.82782416294748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116.26109765220615</v>
      </c>
      <c r="DG119" s="21">
        <f>EXP(-LN(2)/25)*DG118+(1-EXP(-LN(2)/25))/(LN(2)/25)*Calculateur!DB119*Calculateur!DD119*VLOOKUP('Données projet'!$B$13,Paramètres!$A$1:$I$89,3,0)*0.475*44/12</f>
        <v>41.802861949279382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158.06395960148552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-2.2737367544323206E-13</v>
      </c>
      <c r="DP119" s="17">
        <f>DO119*VLOOKUP('Données projet'!$B$14,Paramètres!$A$1:$I$89,3,0)*VLOOKUP('Données projet'!$B$14,Paramètres!$A$1:$I$89,5,0)</f>
        <v>-1.3596945791505279E-13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393.01180019332998</v>
      </c>
      <c r="DU119" s="59">
        <f t="shared" si="98"/>
        <v>283.82782416294748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116.26109765220615</v>
      </c>
      <c r="EB119" s="21">
        <f>EXP(-LN(2)/25)*EB118+(1-EXP(-LN(2)/25))/(LN(2)/25)*Calculateur!DW119*Calculateur!DY119*VLOOKUP('Données projet'!$B$14,Paramètres!$A$1:$I$89,3,0)*0.475*44/12</f>
        <v>41.802861949279382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158.06395960148552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13.506479999999993</v>
      </c>
      <c r="D120" s="11">
        <f t="shared" si="86"/>
        <v>4.5972607284386449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27.949634808817546</v>
      </c>
      <c r="H120" s="67">
        <f t="shared" si="56"/>
        <v>288.19734843536401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-5.3205440053716299E-14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189.8770435341392</v>
      </c>
      <c r="T120" s="59">
        <f t="shared" si="88"/>
        <v>230.18380961122767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35.501892640172059</v>
      </c>
      <c r="AA120" s="21">
        <f>EXP(-LN(2)/25)*AA119+(1-EXP(-LN(2)/25))/(LN(2)/25)*Calculateur!V120*Calculateur!X120*VLOOKUP('Données projet'!$B$9,Paramètres!$A$1:$I$89,3,0)*0.475*44/12</f>
        <v>12.820503128260064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48.322395768432123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-3.4106051316484809E-13</v>
      </c>
      <c r="AJ120" s="13">
        <f>AI120*VLOOKUP('Données projet'!$B$10,Paramètres!$A$1:$I$89,3,0)*VLOOKUP('Données projet'!$B$10,Paramètres!$A$1:$I$89,5,0)</f>
        <v>-1.5074874681886286E-13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207.77463758757142</v>
      </c>
      <c r="AO120" s="59">
        <f t="shared" si="90"/>
        <v>180.50802165484066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50.278218922858748</v>
      </c>
      <c r="AV120" s="21">
        <f>EXP(-LN(2)/25)*AV119+(1-EXP(-LN(2)/25))/(LN(2)/25)*Calculateur!AQ120*Calculateur!AS120*VLOOKUP('Données projet'!$B$10,Paramètres!$A$1:$I$89,3,0)*0.475*44/12</f>
        <v>19.664441939385537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69.942660862244281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-2.2737367544323206E-13</v>
      </c>
      <c r="BE120" s="13">
        <f>BD120*VLOOKUP('Données projet'!$B$11,Paramètres!$A$1:$I$89,3,0)*VLOOKUP('Données projet'!$B$11,Paramètres!$A$1:$I$89,5,0)</f>
        <v>-1.3596945791505279E-13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393.01180019332998</v>
      </c>
      <c r="BJ120" s="59">
        <f t="shared" si="92"/>
        <v>283.82782416294748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113.98128843951395</v>
      </c>
      <c r="BQ120" s="21">
        <f>EXP(-LN(2)/25)*BQ119+(1-EXP(-LN(2)/25))/(LN(2)/25)*Calculateur!BL120*Calculateur!BN120*VLOOKUP('Données projet'!$B$11,Paramètres!$A$1:$I$89,3,0)*0.475*44/12</f>
        <v>40.659760490959371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154.64104893047332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-2.2737367544323206E-13</v>
      </c>
      <c r="BZ120" s="13">
        <f>BY120*VLOOKUP('Données projet'!$B$12,Paramètres!$A$1:$I$89,3,0)*VLOOKUP('Données projet'!$B$12,Paramètres!$A$1:$I$89,5,0)</f>
        <v>-1.3596945791505279E-13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393.01180019332998</v>
      </c>
      <c r="CE120" s="59">
        <f t="shared" si="94"/>
        <v>283.82782416294748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113.98128843951395</v>
      </c>
      <c r="CL120" s="21">
        <f>EXP(-LN(2)/25)*CL119+(1-EXP(-LN(2)/25))/(LN(2)/25)*Calculateur!CG120*Calculateur!CI120*VLOOKUP('Données projet'!$B$12,Paramètres!$A$1:$I$89,3,0)*0.475*44/12</f>
        <v>40.659760490959371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154.64104893047332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-2.2737367544323206E-13</v>
      </c>
      <c r="CU120" s="17">
        <f>CT120*VLOOKUP('Données projet'!$B$13,Paramètres!$A$1:$I$89,3,0)*VLOOKUP('Données projet'!$B$13,Paramètres!$A$1:$I$89,5,0)</f>
        <v>-1.3596945791505279E-13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393.01180019332998</v>
      </c>
      <c r="CZ120" s="59">
        <f t="shared" si="96"/>
        <v>283.82782416294748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113.98128843951395</v>
      </c>
      <c r="DG120" s="21">
        <f>EXP(-LN(2)/25)*DG119+(1-EXP(-LN(2)/25))/(LN(2)/25)*Calculateur!DB120*Calculateur!DD120*VLOOKUP('Données projet'!$B$13,Paramètres!$A$1:$I$89,3,0)*0.475*44/12</f>
        <v>40.659760490959371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154.64104893047332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-2.2737367544323206E-13</v>
      </c>
      <c r="DP120" s="17">
        <f>DO120*VLOOKUP('Données projet'!$B$14,Paramètres!$A$1:$I$89,3,0)*VLOOKUP('Données projet'!$B$14,Paramètres!$A$1:$I$89,5,0)</f>
        <v>-1.3596945791505279E-13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393.01180019332998</v>
      </c>
      <c r="DU120" s="59">
        <f t="shared" si="98"/>
        <v>283.82782416294748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113.98128843951395</v>
      </c>
      <c r="EB120" s="21">
        <f>EXP(-LN(2)/25)*EB119+(1-EXP(-LN(2)/25))/(LN(2)/25)*Calculateur!DW120*Calculateur!DY120*VLOOKUP('Données projet'!$B$14,Paramètres!$A$1:$I$89,3,0)*0.475*44/12</f>
        <v>40.659760490959371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154.64104893047332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13.621919999999992</v>
      </c>
      <c r="D121" s="11">
        <f t="shared" si="86"/>
        <v>4.6319626542816978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28.181432869768226</v>
      </c>
      <c r="H121" s="67">
        <f t="shared" si="56"/>
        <v>288.45884562287398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-5.3205440053716299E-14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189.8770435341392</v>
      </c>
      <c r="T121" s="59">
        <f t="shared" si="88"/>
        <v>230.18380961122767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34.805722179514639</v>
      </c>
      <c r="AA121" s="21">
        <f>EXP(-LN(2)/25)*AA120+(1-EXP(-LN(2)/25))/(LN(2)/25)*Calculateur!V121*Calculateur!X121*VLOOKUP('Données projet'!$B$9,Paramètres!$A$1:$I$89,3,0)*0.475*44/12</f>
        <v>12.469925796016835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47.27564797553147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-3.4106051316484809E-13</v>
      </c>
      <c r="AJ121" s="13">
        <f>AI121*VLOOKUP('Données projet'!$B$10,Paramètres!$A$1:$I$89,3,0)*VLOOKUP('Données projet'!$B$10,Paramètres!$A$1:$I$89,5,0)</f>
        <v>-1.5074874681886286E-13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207.77463758757142</v>
      </c>
      <c r="AO121" s="59">
        <f t="shared" si="90"/>
        <v>180.50802165484066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49.292293716466951</v>
      </c>
      <c r="AV121" s="21">
        <f>EXP(-LN(2)/25)*AV120+(1-EXP(-LN(2)/25))/(LN(2)/25)*Calculateur!AQ121*Calculateur!AS121*VLOOKUP('Données projet'!$B$10,Paramètres!$A$1:$I$89,3,0)*0.475*44/12</f>
        <v>19.12671674044498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68.419010456911934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-2.2737367544323206E-13</v>
      </c>
      <c r="BE121" s="13">
        <f>BD121*VLOOKUP('Données projet'!$B$11,Paramètres!$A$1:$I$89,3,0)*VLOOKUP('Données projet'!$B$11,Paramètres!$A$1:$I$89,5,0)</f>
        <v>-1.3596945791505279E-13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393.01180019332998</v>
      </c>
      <c r="BJ121" s="59">
        <f t="shared" si="92"/>
        <v>283.82782416294748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111.74618489493632</v>
      </c>
      <c r="BQ121" s="21">
        <f>EXP(-LN(2)/25)*BQ120+(1-EXP(-LN(2)/25))/(LN(2)/25)*Calculateur!BL121*Calculateur!BN121*VLOOKUP('Données projet'!$B$11,Paramètres!$A$1:$I$89,3,0)*0.475*44/12</f>
        <v>39.547917202130215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151.29410209706654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-2.2737367544323206E-13</v>
      </c>
      <c r="BZ121" s="13">
        <f>BY121*VLOOKUP('Données projet'!$B$12,Paramètres!$A$1:$I$89,3,0)*VLOOKUP('Données projet'!$B$12,Paramètres!$A$1:$I$89,5,0)</f>
        <v>-1.3596945791505279E-13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393.01180019332998</v>
      </c>
      <c r="CE121" s="59">
        <f t="shared" si="94"/>
        <v>283.82782416294748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111.74618489493632</v>
      </c>
      <c r="CL121" s="21">
        <f>EXP(-LN(2)/25)*CL120+(1-EXP(-LN(2)/25))/(LN(2)/25)*Calculateur!CG121*Calculateur!CI121*VLOOKUP('Données projet'!$B$12,Paramètres!$A$1:$I$89,3,0)*0.475*44/12</f>
        <v>39.547917202130215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151.29410209706654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-2.2737367544323206E-13</v>
      </c>
      <c r="CU121" s="17">
        <f>CT121*VLOOKUP('Données projet'!$B$13,Paramètres!$A$1:$I$89,3,0)*VLOOKUP('Données projet'!$B$13,Paramètres!$A$1:$I$89,5,0)</f>
        <v>-1.3596945791505279E-13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393.01180019332998</v>
      </c>
      <c r="CZ121" s="59">
        <f t="shared" si="96"/>
        <v>283.82782416294748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111.74618489493632</v>
      </c>
      <c r="DG121" s="21">
        <f>EXP(-LN(2)/25)*DG120+(1-EXP(-LN(2)/25))/(LN(2)/25)*Calculateur!DB121*Calculateur!DD121*VLOOKUP('Données projet'!$B$13,Paramètres!$A$1:$I$89,3,0)*0.475*44/12</f>
        <v>39.547917202130215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151.29410209706654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-2.2737367544323206E-13</v>
      </c>
      <c r="DP121" s="17">
        <f>DO121*VLOOKUP('Données projet'!$B$14,Paramètres!$A$1:$I$89,3,0)*VLOOKUP('Données projet'!$B$14,Paramètres!$A$1:$I$89,5,0)</f>
        <v>-1.3596945791505279E-13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393.01180019332998</v>
      </c>
      <c r="DU121" s="59">
        <f t="shared" si="98"/>
        <v>283.82782416294748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111.74618489493632</v>
      </c>
      <c r="EB121" s="21">
        <f>EXP(-LN(2)/25)*EB120+(1-EXP(-LN(2)/25))/(LN(2)/25)*Calculateur!DW121*Calculateur!DY121*VLOOKUP('Données projet'!$B$14,Paramètres!$A$1:$I$89,3,0)*0.475*44/12</f>
        <v>39.547917202130215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151.29410209706654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13.737359999999992</v>
      </c>
      <c r="D122" s="11">
        <f t="shared" si="86"/>
        <v>4.6666303651783911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28.413178107643827</v>
      </c>
      <c r="H122" s="67">
        <f t="shared" si="56"/>
        <v>288.72028321935238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-5.3205440053716299E-14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189.8770435341392</v>
      </c>
      <c r="T122" s="59">
        <f t="shared" si="88"/>
        <v>230.18380961122767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34.12320319696866</v>
      </c>
      <c r="AA122" s="21">
        <f>EXP(-LN(2)/25)*AA121+(1-EXP(-LN(2)/25))/(LN(2)/25)*Calculateur!V122*Calculateur!X122*VLOOKUP('Données projet'!$B$9,Paramètres!$A$1:$I$89,3,0)*0.475*44/12</f>
        <v>12.128935019359856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46.252138216328518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-3.4106051316484809E-13</v>
      </c>
      <c r="AJ122" s="13">
        <f>AI122*VLOOKUP('Données projet'!$B$10,Paramètres!$A$1:$I$89,3,0)*VLOOKUP('Données projet'!$B$10,Paramètres!$A$1:$I$89,5,0)</f>
        <v>-1.5074874681886286E-13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207.77463758757142</v>
      </c>
      <c r="AO122" s="59">
        <f t="shared" si="90"/>
        <v>180.50802165484066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48.325701902017499</v>
      </c>
      <c r="AV122" s="21">
        <f>EXP(-LN(2)/25)*AV121+(1-EXP(-LN(2)/25))/(LN(2)/25)*Calculateur!AQ122*Calculateur!AS122*VLOOKUP('Données projet'!$B$10,Paramètres!$A$1:$I$89,3,0)*0.475*44/12</f>
        <v>18.603695665347193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66.929397567364688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-2.2737367544323206E-13</v>
      </c>
      <c r="BE122" s="13">
        <f>BD122*VLOOKUP('Données projet'!$B$11,Paramètres!$A$1:$I$89,3,0)*VLOOKUP('Données projet'!$B$11,Paramètres!$A$1:$I$89,5,0)</f>
        <v>-1.3596945791505279E-13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393.01180019332998</v>
      </c>
      <c r="BJ122" s="59">
        <f t="shared" si="92"/>
        <v>283.82782416294748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109.55491036758932</v>
      </c>
      <c r="BQ122" s="21">
        <f>EXP(-LN(2)/25)*BQ121+(1-EXP(-LN(2)/25))/(LN(2)/25)*Calculateur!BL122*Calculateur!BN122*VLOOKUP('Données projet'!$B$11,Paramètres!$A$1:$I$89,3,0)*0.475*44/12</f>
        <v>38.466477326503387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148.02138769409271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-2.2737367544323206E-13</v>
      </c>
      <c r="BZ122" s="13">
        <f>BY122*VLOOKUP('Données projet'!$B$12,Paramètres!$A$1:$I$89,3,0)*VLOOKUP('Données projet'!$B$12,Paramètres!$A$1:$I$89,5,0)</f>
        <v>-1.3596945791505279E-13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393.01180019332998</v>
      </c>
      <c r="CE122" s="59">
        <f t="shared" si="94"/>
        <v>283.82782416294748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109.55491036758932</v>
      </c>
      <c r="CL122" s="21">
        <f>EXP(-LN(2)/25)*CL121+(1-EXP(-LN(2)/25))/(LN(2)/25)*Calculateur!CG122*Calculateur!CI122*VLOOKUP('Données projet'!$B$12,Paramètres!$A$1:$I$89,3,0)*0.475*44/12</f>
        <v>38.466477326503387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148.02138769409271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-2.2737367544323206E-13</v>
      </c>
      <c r="CU122" s="17">
        <f>CT122*VLOOKUP('Données projet'!$B$13,Paramètres!$A$1:$I$89,3,0)*VLOOKUP('Données projet'!$B$13,Paramètres!$A$1:$I$89,5,0)</f>
        <v>-1.3596945791505279E-13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393.01180019332998</v>
      </c>
      <c r="CZ122" s="59">
        <f t="shared" si="96"/>
        <v>283.82782416294748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109.55491036758932</v>
      </c>
      <c r="DG122" s="21">
        <f>EXP(-LN(2)/25)*DG121+(1-EXP(-LN(2)/25))/(LN(2)/25)*Calculateur!DB122*Calculateur!DD122*VLOOKUP('Données projet'!$B$13,Paramètres!$A$1:$I$89,3,0)*0.475*44/12</f>
        <v>38.466477326503387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148.02138769409271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-2.2737367544323206E-13</v>
      </c>
      <c r="DP122" s="17">
        <f>DO122*VLOOKUP('Données projet'!$B$14,Paramètres!$A$1:$I$89,3,0)*VLOOKUP('Données projet'!$B$14,Paramètres!$A$1:$I$89,5,0)</f>
        <v>-1.3596945791505279E-13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393.01180019332998</v>
      </c>
      <c r="DU122" s="59">
        <f t="shared" si="98"/>
        <v>283.82782416294748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109.55491036758932</v>
      </c>
      <c r="EB122" s="21">
        <f>EXP(-LN(2)/25)*EB121+(1-EXP(-LN(2)/25))/(LN(2)/25)*Calculateur!DW122*Calculateur!DY122*VLOOKUP('Données projet'!$B$14,Paramètres!$A$1:$I$89,3,0)*0.475*44/12</f>
        <v>38.466477326503387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148.02138769409271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13.852799999999991</v>
      </c>
      <c r="D123" s="11">
        <f t="shared" si="86"/>
        <v>4.7012641819673187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28.644871017774094</v>
      </c>
      <c r="H123" s="67">
        <f t="shared" si="56"/>
        <v>288.9816617835931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-5.3205440053716299E-14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189.8770435341392</v>
      </c>
      <c r="T123" s="59">
        <f t="shared" si="88"/>
        <v>230.18380961122767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33.454067995374935</v>
      </c>
      <c r="AA123" s="21">
        <f>EXP(-LN(2)/25)*AA122+(1-EXP(-LN(2)/25))/(LN(2)/25)*Calculateur!V123*Calculateur!X123*VLOOKUP('Données projet'!$B$9,Paramètres!$A$1:$I$89,3,0)*0.475*44/12</f>
        <v>11.797268653422488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45.25133664879742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-3.4106051316484809E-13</v>
      </c>
      <c r="AJ123" s="13">
        <f>AI123*VLOOKUP('Données projet'!$B$10,Paramètres!$A$1:$I$89,3,0)*VLOOKUP('Données projet'!$B$10,Paramètres!$A$1:$I$89,5,0)</f>
        <v>-1.5074874681886286E-13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207.77463758757142</v>
      </c>
      <c r="AO123" s="59">
        <f t="shared" si="90"/>
        <v>180.50802165484066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47.378064363486608</v>
      </c>
      <c r="AV123" s="21">
        <f>EXP(-LN(2)/25)*AV122+(1-EXP(-LN(2)/25))/(LN(2)/25)*Calculateur!AQ123*Calculateur!AS123*VLOOKUP('Données projet'!$B$10,Paramètres!$A$1:$I$89,3,0)*0.475*44/12</f>
        <v>18.094976629052439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65.47304099253904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-2.2737367544323206E-13</v>
      </c>
      <c r="BE123" s="13">
        <f>BD123*VLOOKUP('Données projet'!$B$11,Paramètres!$A$1:$I$89,3,0)*VLOOKUP('Données projet'!$B$11,Paramètres!$A$1:$I$89,5,0)</f>
        <v>-1.3596945791505279E-13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393.01180019332998</v>
      </c>
      <c r="BJ123" s="59">
        <f t="shared" si="92"/>
        <v>283.82782416294748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107.4066053971781</v>
      </c>
      <c r="BQ123" s="21">
        <f>EXP(-LN(2)/25)*BQ122+(1-EXP(-LN(2)/25))/(LN(2)/25)*Calculateur!BL123*Calculateur!BN123*VLOOKUP('Données projet'!$B$11,Paramètres!$A$1:$I$89,3,0)*0.475*44/12</f>
        <v>37.414609481146023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144.82121487832413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-2.2737367544323206E-13</v>
      </c>
      <c r="BZ123" s="13">
        <f>BY123*VLOOKUP('Données projet'!$B$12,Paramètres!$A$1:$I$89,3,0)*VLOOKUP('Données projet'!$B$12,Paramètres!$A$1:$I$89,5,0)</f>
        <v>-1.3596945791505279E-13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393.01180019332998</v>
      </c>
      <c r="CE123" s="59">
        <f t="shared" si="94"/>
        <v>283.82782416294748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107.4066053971781</v>
      </c>
      <c r="CL123" s="21">
        <f>EXP(-LN(2)/25)*CL122+(1-EXP(-LN(2)/25))/(LN(2)/25)*Calculateur!CG123*Calculateur!CI123*VLOOKUP('Données projet'!$B$12,Paramètres!$A$1:$I$89,3,0)*0.475*44/12</f>
        <v>37.414609481146023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144.82121487832413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-2.2737367544323206E-13</v>
      </c>
      <c r="CU123" s="17">
        <f>CT123*VLOOKUP('Données projet'!$B$13,Paramètres!$A$1:$I$89,3,0)*VLOOKUP('Données projet'!$B$13,Paramètres!$A$1:$I$89,5,0)</f>
        <v>-1.3596945791505279E-13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393.01180019332998</v>
      </c>
      <c r="CZ123" s="59">
        <f t="shared" si="96"/>
        <v>283.82782416294748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107.4066053971781</v>
      </c>
      <c r="DG123" s="21">
        <f>EXP(-LN(2)/25)*DG122+(1-EXP(-LN(2)/25))/(LN(2)/25)*Calculateur!DB123*Calculateur!DD123*VLOOKUP('Données projet'!$B$13,Paramètres!$A$1:$I$89,3,0)*0.475*44/12</f>
        <v>37.414609481146023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144.82121487832413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-2.2737367544323206E-13</v>
      </c>
      <c r="DP123" s="17">
        <f>DO123*VLOOKUP('Données projet'!$B$14,Paramètres!$A$1:$I$89,3,0)*VLOOKUP('Données projet'!$B$14,Paramètres!$A$1:$I$89,5,0)</f>
        <v>-1.3596945791505279E-13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393.01180019332998</v>
      </c>
      <c r="DU123" s="59">
        <f t="shared" si="98"/>
        <v>283.82782416294748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107.4066053971781</v>
      </c>
      <c r="EB123" s="21">
        <f>EXP(-LN(2)/25)*EB122+(1-EXP(-LN(2)/25))/(LN(2)/25)*Calculateur!DW123*Calculateur!DY123*VLOOKUP('Données projet'!$B$14,Paramètres!$A$1:$I$89,3,0)*0.475*44/12</f>
        <v>37.414609481146023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144.82121487832413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13.968239999999991</v>
      </c>
      <c r="D124" s="11">
        <f t="shared" si="86"/>
        <v>4.7358644198311017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28.876512086756776</v>
      </c>
      <c r="H124" s="67">
        <f t="shared" si="56"/>
        <v>289.24298186453916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-5.3205440053716299E-14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189.8770435341392</v>
      </c>
      <c r="T124" s="59">
        <f t="shared" si="88"/>
        <v>230.18380961122767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32.798054126952287</v>
      </c>
      <c r="AA124" s="21">
        <f>EXP(-LN(2)/25)*AA123+(1-EXP(-LN(2)/25))/(LN(2)/25)*Calculateur!V124*Calculateur!X124*VLOOKUP('Données projet'!$B$9,Paramètres!$A$1:$I$89,3,0)*0.475*44/12</f>
        <v>11.474671721703254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44.27272584865554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-3.4106051316484809E-13</v>
      </c>
      <c r="AJ124" s="13">
        <f>AI124*VLOOKUP('Données projet'!$B$10,Paramètres!$A$1:$I$89,3,0)*VLOOKUP('Données projet'!$B$10,Paramètres!$A$1:$I$89,5,0)</f>
        <v>-1.5074874681886286E-13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207.77463758757142</v>
      </c>
      <c r="AO124" s="59">
        <f t="shared" si="90"/>
        <v>180.50802165484066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46.449009419084483</v>
      </c>
      <c r="AV124" s="21">
        <f>EXP(-LN(2)/25)*AV123+(1-EXP(-LN(2)/25))/(LN(2)/25)*Calculateur!AQ124*Calculateur!AS124*VLOOKUP('Données projet'!$B$10,Paramètres!$A$1:$I$89,3,0)*0.475*44/12</f>
        <v>17.600168541557537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64.049177960642027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-2.2737367544323206E-13</v>
      </c>
      <c r="BE124" s="13">
        <f>BD124*VLOOKUP('Données projet'!$B$11,Paramètres!$A$1:$I$89,3,0)*VLOOKUP('Données projet'!$B$11,Paramètres!$A$1:$I$89,5,0)</f>
        <v>-1.3596945791505279E-13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393.01180019332998</v>
      </c>
      <c r="BJ124" s="59">
        <f t="shared" si="92"/>
        <v>283.82782416294748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105.3004273769</v>
      </c>
      <c r="BQ124" s="21">
        <f>EXP(-LN(2)/25)*BQ123+(1-EXP(-LN(2)/25))/(LN(2)/25)*Calculateur!BL124*Calculateur!BN124*VLOOKUP('Données projet'!$B$11,Paramètres!$A$1:$I$89,3,0)*0.475*44/12</f>
        <v>36.391505017335284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141.69193239423529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-2.2737367544323206E-13</v>
      </c>
      <c r="BZ124" s="13">
        <f>BY124*VLOOKUP('Données projet'!$B$12,Paramètres!$A$1:$I$89,3,0)*VLOOKUP('Données projet'!$B$12,Paramètres!$A$1:$I$89,5,0)</f>
        <v>-1.3596945791505279E-13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393.01180019332998</v>
      </c>
      <c r="CE124" s="59">
        <f t="shared" si="94"/>
        <v>283.82782416294748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105.3004273769</v>
      </c>
      <c r="CL124" s="21">
        <f>EXP(-LN(2)/25)*CL123+(1-EXP(-LN(2)/25))/(LN(2)/25)*Calculateur!CG124*Calculateur!CI124*VLOOKUP('Données projet'!$B$12,Paramètres!$A$1:$I$89,3,0)*0.475*44/12</f>
        <v>36.391505017335284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141.69193239423529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-2.2737367544323206E-13</v>
      </c>
      <c r="CU124" s="17">
        <f>CT124*VLOOKUP('Données projet'!$B$13,Paramètres!$A$1:$I$89,3,0)*VLOOKUP('Données projet'!$B$13,Paramètres!$A$1:$I$89,5,0)</f>
        <v>-1.3596945791505279E-13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393.01180019332998</v>
      </c>
      <c r="CZ124" s="59">
        <f t="shared" si="96"/>
        <v>283.82782416294748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105.3004273769</v>
      </c>
      <c r="DG124" s="21">
        <f>EXP(-LN(2)/25)*DG123+(1-EXP(-LN(2)/25))/(LN(2)/25)*Calculateur!DB124*Calculateur!DD124*VLOOKUP('Données projet'!$B$13,Paramètres!$A$1:$I$89,3,0)*0.475*44/12</f>
        <v>36.391505017335284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141.69193239423529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-2.2737367544323206E-13</v>
      </c>
      <c r="DP124" s="17">
        <f>DO124*VLOOKUP('Données projet'!$B$14,Paramètres!$A$1:$I$89,3,0)*VLOOKUP('Données projet'!$B$14,Paramètres!$A$1:$I$89,5,0)</f>
        <v>-1.3596945791505279E-13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393.01180019332998</v>
      </c>
      <c r="DU124" s="59">
        <f t="shared" si="98"/>
        <v>283.82782416294748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105.3004273769</v>
      </c>
      <c r="EB124" s="21">
        <f>EXP(-LN(2)/25)*EB123+(1-EXP(-LN(2)/25))/(LN(2)/25)*Calculateur!DW124*Calculateur!DY124*VLOOKUP('Données projet'!$B$14,Paramètres!$A$1:$I$89,3,0)*0.475*44/12</f>
        <v>36.391505017335284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141.69193239423529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14.08367999999999</v>
      </c>
      <c r="D125" s="11">
        <f t="shared" si="86"/>
        <v>4.7704313884419953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29.108101792682366</v>
      </c>
      <c r="H125" s="67">
        <f t="shared" si="56"/>
        <v>289.50424400153645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-5.3205440053716299E-14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189.8770435341392</v>
      </c>
      <c r="T125" s="59">
        <f t="shared" si="88"/>
        <v>230.18380961122767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32.154904290360456</v>
      </c>
      <c r="AA125" s="21">
        <f>EXP(-LN(2)/25)*AA124+(1-EXP(-LN(2)/25))/(LN(2)/25)*Calculateur!V125*Calculateur!X125*VLOOKUP('Données projet'!$B$9,Paramètres!$A$1:$I$89,3,0)*0.475*44/12</f>
        <v>11.160896220046519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43.315800510406973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-3.4106051316484809E-13</v>
      </c>
      <c r="AJ125" s="13">
        <f>AI125*VLOOKUP('Données projet'!$B$10,Paramètres!$A$1:$I$89,3,0)*VLOOKUP('Données projet'!$B$10,Paramètres!$A$1:$I$89,5,0)</f>
        <v>-1.5074874681886286E-13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207.77463758757142</v>
      </c>
      <c r="AO125" s="59">
        <f t="shared" si="90"/>
        <v>180.50802165484066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45.53817267547452</v>
      </c>
      <c r="AV125" s="21">
        <f>EXP(-LN(2)/25)*AV124+(1-EXP(-LN(2)/25))/(LN(2)/25)*Calculateur!AQ125*Calculateur!AS125*VLOOKUP('Données projet'!$B$10,Paramètres!$A$1:$I$89,3,0)*0.475*44/12</f>
        <v>17.118891007236009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62.657063682710529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-2.2737367544323206E-13</v>
      </c>
      <c r="BE125" s="13">
        <f>BD125*VLOOKUP('Données projet'!$B$11,Paramètres!$A$1:$I$89,3,0)*VLOOKUP('Données projet'!$B$11,Paramètres!$A$1:$I$89,5,0)</f>
        <v>-1.3596945791505279E-13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393.01180019332998</v>
      </c>
      <c r="BJ125" s="59">
        <f t="shared" si="92"/>
        <v>283.82782416294748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103.23555022295781</v>
      </c>
      <c r="BQ125" s="21">
        <f>EXP(-LN(2)/25)*BQ124+(1-EXP(-LN(2)/25))/(LN(2)/25)*Calculateur!BL125*Calculateur!BN125*VLOOKUP('Données projet'!$B$11,Paramètres!$A$1:$I$89,3,0)*0.475*44/12</f>
        <v>35.396377398890174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138.63192762184798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-2.2737367544323206E-13</v>
      </c>
      <c r="BZ125" s="13">
        <f>BY125*VLOOKUP('Données projet'!$B$12,Paramètres!$A$1:$I$89,3,0)*VLOOKUP('Données projet'!$B$12,Paramètres!$A$1:$I$89,5,0)</f>
        <v>-1.3596945791505279E-13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393.01180019332998</v>
      </c>
      <c r="CE125" s="59">
        <f t="shared" si="94"/>
        <v>283.82782416294748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103.23555022295781</v>
      </c>
      <c r="CL125" s="21">
        <f>EXP(-LN(2)/25)*CL124+(1-EXP(-LN(2)/25))/(LN(2)/25)*Calculateur!CG125*Calculateur!CI125*VLOOKUP('Données projet'!$B$12,Paramètres!$A$1:$I$89,3,0)*0.475*44/12</f>
        <v>35.396377398890174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138.63192762184798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-2.2737367544323206E-13</v>
      </c>
      <c r="CU125" s="17">
        <f>CT125*VLOOKUP('Données projet'!$B$13,Paramètres!$A$1:$I$89,3,0)*VLOOKUP('Données projet'!$B$13,Paramètres!$A$1:$I$89,5,0)</f>
        <v>-1.3596945791505279E-13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393.01180019332998</v>
      </c>
      <c r="CZ125" s="59">
        <f t="shared" si="96"/>
        <v>283.82782416294748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103.23555022295781</v>
      </c>
      <c r="DG125" s="21">
        <f>EXP(-LN(2)/25)*DG124+(1-EXP(-LN(2)/25))/(LN(2)/25)*Calculateur!DB125*Calculateur!DD125*VLOOKUP('Données projet'!$B$13,Paramètres!$A$1:$I$89,3,0)*0.475*44/12</f>
        <v>35.396377398890174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138.63192762184798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-2.2737367544323206E-13</v>
      </c>
      <c r="DP125" s="17">
        <f>DO125*VLOOKUP('Données projet'!$B$14,Paramètres!$A$1:$I$89,3,0)*VLOOKUP('Données projet'!$B$14,Paramètres!$A$1:$I$89,5,0)</f>
        <v>-1.3596945791505279E-13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393.01180019332998</v>
      </c>
      <c r="DU125" s="59">
        <f t="shared" si="98"/>
        <v>283.82782416294748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103.23555022295781</v>
      </c>
      <c r="EB125" s="21">
        <f>EXP(-LN(2)/25)*EB124+(1-EXP(-LN(2)/25))/(LN(2)/25)*Calculateur!DW125*Calculateur!DY125*VLOOKUP('Données projet'!$B$14,Paramètres!$A$1:$I$89,3,0)*0.475*44/12</f>
        <v>35.396377398890174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138.63192762184798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14.19911999999999</v>
      </c>
      <c r="D126" s="11">
        <f t="shared" si="86"/>
        <v>4.8049653921025861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29.339640605351338</v>
      </c>
      <c r="H126" s="67">
        <f t="shared" si="56"/>
        <v>289.76544872457868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-5.3205440053716299E-14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189.8770435341392</v>
      </c>
      <c r="T126" s="59">
        <f t="shared" si="88"/>
        <v>230.18380961122767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31.524366229781524</v>
      </c>
      <c r="AA126" s="21">
        <f>EXP(-LN(2)/25)*AA125+(1-EXP(-LN(2)/25))/(LN(2)/25)*Calculateur!V126*Calculateur!X126*VLOOKUP('Données projet'!$B$9,Paramètres!$A$1:$I$89,3,0)*0.475*44/12</f>
        <v>10.855700925983323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42.380067155764849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-3.4106051316484809E-13</v>
      </c>
      <c r="AJ126" s="13">
        <f>AI126*VLOOKUP('Données projet'!$B$10,Paramètres!$A$1:$I$89,3,0)*VLOOKUP('Données projet'!$B$10,Paramètres!$A$1:$I$89,5,0)</f>
        <v>-1.5074874681886286E-13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207.77463758757142</v>
      </c>
      <c r="AO126" s="59">
        <f t="shared" si="90"/>
        <v>180.50802165484066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44.645196884851188</v>
      </c>
      <c r="AV126" s="21">
        <f>EXP(-LN(2)/25)*AV125+(1-EXP(-LN(2)/25))/(LN(2)/25)*Calculateur!AQ126*Calculateur!AS126*VLOOKUP('Données projet'!$B$10,Paramètres!$A$1:$I$89,3,0)*0.475*44/12</f>
        <v>16.650774032399788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61.295970917250976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-2.2737367544323206E-13</v>
      </c>
      <c r="BE126" s="13">
        <f>BD126*VLOOKUP('Données projet'!$B$11,Paramètres!$A$1:$I$89,3,0)*VLOOKUP('Données projet'!$B$11,Paramètres!$A$1:$I$89,5,0)</f>
        <v>-1.3596945791505279E-13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393.01180019332998</v>
      </c>
      <c r="BJ126" s="59">
        <f t="shared" si="92"/>
        <v>283.82782416294748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101.21116405055372</v>
      </c>
      <c r="BQ126" s="21">
        <f>EXP(-LN(2)/25)*BQ125+(1-EXP(-LN(2)/25))/(LN(2)/25)*Calculateur!BL126*Calculateur!BN126*VLOOKUP('Données projet'!$B$11,Paramètres!$A$1:$I$89,3,0)*0.475*44/12</f>
        <v>34.428461597502931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135.63962564805666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-2.2737367544323206E-13</v>
      </c>
      <c r="BZ126" s="13">
        <f>BY126*VLOOKUP('Données projet'!$B$12,Paramètres!$A$1:$I$89,3,0)*VLOOKUP('Données projet'!$B$12,Paramètres!$A$1:$I$89,5,0)</f>
        <v>-1.3596945791505279E-13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393.01180019332998</v>
      </c>
      <c r="CE126" s="59">
        <f t="shared" si="94"/>
        <v>283.82782416294748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101.21116405055372</v>
      </c>
      <c r="CL126" s="21">
        <f>EXP(-LN(2)/25)*CL125+(1-EXP(-LN(2)/25))/(LN(2)/25)*Calculateur!CG126*Calculateur!CI126*VLOOKUP('Données projet'!$B$12,Paramètres!$A$1:$I$89,3,0)*0.475*44/12</f>
        <v>34.428461597502931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135.63962564805666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-2.2737367544323206E-13</v>
      </c>
      <c r="CU126" s="17">
        <f>CT126*VLOOKUP('Données projet'!$B$13,Paramètres!$A$1:$I$89,3,0)*VLOOKUP('Données projet'!$B$13,Paramètres!$A$1:$I$89,5,0)</f>
        <v>-1.3596945791505279E-13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393.01180019332998</v>
      </c>
      <c r="CZ126" s="59">
        <f t="shared" si="96"/>
        <v>283.82782416294748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101.21116405055372</v>
      </c>
      <c r="DG126" s="21">
        <f>EXP(-LN(2)/25)*DG125+(1-EXP(-LN(2)/25))/(LN(2)/25)*Calculateur!DB126*Calculateur!DD126*VLOOKUP('Données projet'!$B$13,Paramètres!$A$1:$I$89,3,0)*0.475*44/12</f>
        <v>34.428461597502931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135.63962564805666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-2.2737367544323206E-13</v>
      </c>
      <c r="DP126" s="17">
        <f>DO126*VLOOKUP('Données projet'!$B$14,Paramètres!$A$1:$I$89,3,0)*VLOOKUP('Données projet'!$B$14,Paramètres!$A$1:$I$89,5,0)</f>
        <v>-1.3596945791505279E-13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393.01180019332998</v>
      </c>
      <c r="DU126" s="59">
        <f t="shared" si="98"/>
        <v>283.82782416294748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101.21116405055372</v>
      </c>
      <c r="EB126" s="21">
        <f>EXP(-LN(2)/25)*EB125+(1-EXP(-LN(2)/25))/(LN(2)/25)*Calculateur!DW126*Calculateur!DY126*VLOOKUP('Données projet'!$B$14,Paramètres!$A$1:$I$89,3,0)*0.475*44/12</f>
        <v>34.428461597502931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135.63962564805666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14.31455999999999</v>
      </c>
      <c r="D127" s="11">
        <f t="shared" si="86"/>
        <v>4.8394667298817824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29.57112898648414</v>
      </c>
      <c r="H127" s="67">
        <f t="shared" si="56"/>
        <v>290.02659655454408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-5.3205440053716299E-14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189.8770435341392</v>
      </c>
      <c r="T127" s="59">
        <f t="shared" si="88"/>
        <v>230.18380961122767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30.906192635980304</v>
      </c>
      <c r="AA127" s="21">
        <f>EXP(-LN(2)/25)*AA126+(1-EXP(-LN(2)/25))/(LN(2)/25)*Calculateur!V127*Calculateur!X127*VLOOKUP('Données projet'!$B$9,Paramètres!$A$1:$I$89,3,0)*0.475*44/12</f>
        <v>10.558851213285807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41.46504384926611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-3.4106051316484809E-13</v>
      </c>
      <c r="AJ127" s="13">
        <f>AI127*VLOOKUP('Données projet'!$B$10,Paramètres!$A$1:$I$89,3,0)*VLOOKUP('Données projet'!$B$10,Paramètres!$A$1:$I$89,5,0)</f>
        <v>-1.5074874681886286E-13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207.77463758757142</v>
      </c>
      <c r="AO127" s="59">
        <f t="shared" si="90"/>
        <v>180.50802165484066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43.76973180482053</v>
      </c>
      <c r="AV127" s="21">
        <f>EXP(-LN(2)/25)*AV126+(1-EXP(-LN(2)/25))/(LN(2)/25)*Calculateur!AQ127*Calculateur!AS127*VLOOKUP('Données projet'!$B$10,Paramètres!$A$1:$I$89,3,0)*0.475*44/12</f>
        <v>16.195457740857666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59.9651895456782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-2.2737367544323206E-13</v>
      </c>
      <c r="BE127" s="13">
        <f>BD127*VLOOKUP('Données projet'!$B$11,Paramètres!$A$1:$I$89,3,0)*VLOOKUP('Données projet'!$B$11,Paramètres!$A$1:$I$89,5,0)</f>
        <v>-1.3596945791505279E-13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393.01180019332998</v>
      </c>
      <c r="BJ127" s="59">
        <f t="shared" si="92"/>
        <v>283.82782416294748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99.226474856236834</v>
      </c>
      <c r="BQ127" s="21">
        <f>EXP(-LN(2)/25)*BQ126+(1-EXP(-LN(2)/25))/(LN(2)/25)*Calculateur!BL127*Calculateur!BN127*VLOOKUP('Données projet'!$B$11,Paramètres!$A$1:$I$89,3,0)*0.475*44/12</f>
        <v>33.487013504605102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132.71348836084195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-2.2737367544323206E-13</v>
      </c>
      <c r="BZ127" s="13">
        <f>BY127*VLOOKUP('Données projet'!$B$12,Paramètres!$A$1:$I$89,3,0)*VLOOKUP('Données projet'!$B$12,Paramètres!$A$1:$I$89,5,0)</f>
        <v>-1.3596945791505279E-13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393.01180019332998</v>
      </c>
      <c r="CE127" s="59">
        <f t="shared" si="94"/>
        <v>283.82782416294748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99.226474856236834</v>
      </c>
      <c r="CL127" s="21">
        <f>EXP(-LN(2)/25)*CL126+(1-EXP(-LN(2)/25))/(LN(2)/25)*Calculateur!CG127*Calculateur!CI127*VLOOKUP('Données projet'!$B$12,Paramètres!$A$1:$I$89,3,0)*0.475*44/12</f>
        <v>33.487013504605102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132.71348836084195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-2.2737367544323206E-13</v>
      </c>
      <c r="CU127" s="17">
        <f>CT127*VLOOKUP('Données projet'!$B$13,Paramètres!$A$1:$I$89,3,0)*VLOOKUP('Données projet'!$B$13,Paramètres!$A$1:$I$89,5,0)</f>
        <v>-1.3596945791505279E-13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393.01180019332998</v>
      </c>
      <c r="CZ127" s="59">
        <f t="shared" si="96"/>
        <v>283.82782416294748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99.226474856236834</v>
      </c>
      <c r="DG127" s="21">
        <f>EXP(-LN(2)/25)*DG126+(1-EXP(-LN(2)/25))/(LN(2)/25)*Calculateur!DB127*Calculateur!DD127*VLOOKUP('Données projet'!$B$13,Paramètres!$A$1:$I$89,3,0)*0.475*44/12</f>
        <v>33.487013504605102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132.71348836084195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-2.2737367544323206E-13</v>
      </c>
      <c r="DP127" s="17">
        <f>DO127*VLOOKUP('Données projet'!$B$14,Paramètres!$A$1:$I$89,3,0)*VLOOKUP('Données projet'!$B$14,Paramètres!$A$1:$I$89,5,0)</f>
        <v>-1.3596945791505279E-13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393.01180019332998</v>
      </c>
      <c r="DU127" s="59">
        <f t="shared" si="98"/>
        <v>283.82782416294748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99.226474856236834</v>
      </c>
      <c r="EB127" s="21">
        <f>EXP(-LN(2)/25)*EB126+(1-EXP(-LN(2)/25))/(LN(2)/25)*Calculateur!DW127*Calculateur!DY127*VLOOKUP('Données projet'!$B$14,Paramètres!$A$1:$I$89,3,0)*0.475*44/12</f>
        <v>33.487013504605102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132.71348836084195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14.429999999999989</v>
      </c>
      <c r="D128" s="11">
        <f t="shared" si="86"/>
        <v>4.8739356957462929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29.802567389924089</v>
      </c>
      <c r="H128" s="67">
        <f t="shared" si="56"/>
        <v>290.28768800342482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-5.3205440053716299E-14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189.8770435341392</v>
      </c>
      <c r="T128" s="59">
        <f t="shared" si="88"/>
        <v>230.18380961122767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30.300141049304866</v>
      </c>
      <c r="AA128" s="21">
        <f>EXP(-LN(2)/25)*AA127+(1-EXP(-LN(2)/25))/(LN(2)/25)*Calculateur!V128*Calculateur!X128*VLOOKUP('Données projet'!$B$9,Paramètres!$A$1:$I$89,3,0)*0.475*44/12</f>
        <v>10.270118871592654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40.57025992089752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-3.4106051316484809E-13</v>
      </c>
      <c r="AJ128" s="13">
        <f>AI128*VLOOKUP('Données projet'!$B$10,Paramètres!$A$1:$I$89,3,0)*VLOOKUP('Données projet'!$B$10,Paramètres!$A$1:$I$89,5,0)</f>
        <v>-1.5074874681886286E-13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207.77463758757142</v>
      </c>
      <c r="AO128" s="59">
        <f t="shared" si="90"/>
        <v>180.50802165484066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42.911434061028302</v>
      </c>
      <c r="AV128" s="21">
        <f>EXP(-LN(2)/25)*AV127+(1-EXP(-LN(2)/25))/(LN(2)/25)*Calculateur!AQ128*Calculateur!AS128*VLOOKUP('Données projet'!$B$10,Paramètres!$A$1:$I$89,3,0)*0.475*44/12</f>
        <v>15.752592097251807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58.664026158280109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-2.2737367544323206E-13</v>
      </c>
      <c r="BE128" s="13">
        <f>BD128*VLOOKUP('Données projet'!$B$11,Paramètres!$A$1:$I$89,3,0)*VLOOKUP('Données projet'!$B$11,Paramètres!$A$1:$I$89,5,0)</f>
        <v>-1.3596945791505279E-13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393.01180019332998</v>
      </c>
      <c r="BJ128" s="59">
        <f t="shared" si="92"/>
        <v>283.82782416294748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97.280704206479626</v>
      </c>
      <c r="BQ128" s="21">
        <f>EXP(-LN(2)/25)*BQ127+(1-EXP(-LN(2)/25))/(LN(2)/25)*Calculateur!BL128*Calculateur!BN128*VLOOKUP('Données projet'!$B$11,Paramètres!$A$1:$I$89,3,0)*0.475*44/12</f>
        <v>32.571309359316167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129.8520135657958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-2.2737367544323206E-13</v>
      </c>
      <c r="BZ128" s="13">
        <f>BY128*VLOOKUP('Données projet'!$B$12,Paramètres!$A$1:$I$89,3,0)*VLOOKUP('Données projet'!$B$12,Paramètres!$A$1:$I$89,5,0)</f>
        <v>-1.3596945791505279E-13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393.01180019332998</v>
      </c>
      <c r="CE128" s="59">
        <f t="shared" si="94"/>
        <v>283.82782416294748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97.280704206479626</v>
      </c>
      <c r="CL128" s="21">
        <f>EXP(-LN(2)/25)*CL127+(1-EXP(-LN(2)/25))/(LN(2)/25)*Calculateur!CG128*Calculateur!CI128*VLOOKUP('Données projet'!$B$12,Paramètres!$A$1:$I$89,3,0)*0.475*44/12</f>
        <v>32.571309359316167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129.8520135657958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-2.2737367544323206E-13</v>
      </c>
      <c r="CU128" s="17">
        <f>CT128*VLOOKUP('Données projet'!$B$13,Paramètres!$A$1:$I$89,3,0)*VLOOKUP('Données projet'!$B$13,Paramètres!$A$1:$I$89,5,0)</f>
        <v>-1.3596945791505279E-13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393.01180019332998</v>
      </c>
      <c r="CZ128" s="59">
        <f t="shared" si="96"/>
        <v>283.82782416294748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97.280704206479626</v>
      </c>
      <c r="DG128" s="21">
        <f>EXP(-LN(2)/25)*DG127+(1-EXP(-LN(2)/25))/(LN(2)/25)*Calculateur!DB128*Calculateur!DD128*VLOOKUP('Données projet'!$B$13,Paramètres!$A$1:$I$89,3,0)*0.475*44/12</f>
        <v>32.571309359316167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129.8520135657958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-2.2737367544323206E-13</v>
      </c>
      <c r="DP128" s="17">
        <f>DO128*VLOOKUP('Données projet'!$B$14,Paramètres!$A$1:$I$89,3,0)*VLOOKUP('Données projet'!$B$14,Paramètres!$A$1:$I$89,5,0)</f>
        <v>-1.3596945791505279E-13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393.01180019332998</v>
      </c>
      <c r="DU128" s="59">
        <f t="shared" si="98"/>
        <v>283.82782416294748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97.280704206479626</v>
      </c>
      <c r="EB128" s="21">
        <f>EXP(-LN(2)/25)*EB127+(1-EXP(-LN(2)/25))/(LN(2)/25)*Calculateur!DW128*Calculateur!DY128*VLOOKUP('Données projet'!$B$14,Paramètres!$A$1:$I$89,3,0)*0.475*44/12</f>
        <v>32.571309359316167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129.8520135657958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14.545439999999989</v>
      </c>
      <c r="D129" s="11">
        <f t="shared" si="86"/>
        <v>4.9083725786877785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30.033956261833751</v>
      </c>
      <c r="H129" s="67">
        <f t="shared" si="56"/>
        <v>290.54872357454786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-5.3205440053716299E-14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189.8770435341392</v>
      </c>
      <c r="T129" s="59">
        <f t="shared" si="88"/>
        <v>230.18380961122767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29.705973764589164</v>
      </c>
      <c r="AA129" s="21">
        <f>EXP(-LN(2)/25)*AA128+(1-EXP(-LN(2)/25))/(LN(2)/25)*Calculateur!V129*Calculateur!X129*VLOOKUP('Données projet'!$B$9,Paramètres!$A$1:$I$89,3,0)*0.475*44/12</f>
        <v>9.9892819309668734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39.695255695556035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-3.4106051316484809E-13</v>
      </c>
      <c r="AJ129" s="13">
        <f>AI129*VLOOKUP('Données projet'!$B$10,Paramètres!$A$1:$I$89,3,0)*VLOOKUP('Données projet'!$B$10,Paramètres!$A$1:$I$89,5,0)</f>
        <v>-1.5074874681886286E-13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207.77463758757142</v>
      </c>
      <c r="AO129" s="59">
        <f t="shared" si="90"/>
        <v>180.50802165484066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42.069967012481904</v>
      </c>
      <c r="AV129" s="21">
        <f>EXP(-LN(2)/25)*AV128+(1-EXP(-LN(2)/25))/(LN(2)/25)*Calculateur!AQ129*Calculateur!AS129*VLOOKUP('Données projet'!$B$10,Paramètres!$A$1:$I$89,3,0)*0.475*44/12</f>
        <v>15.32183663795964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57.391803650441545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-2.2737367544323206E-13</v>
      </c>
      <c r="BE129" s="13">
        <f>BD129*VLOOKUP('Données projet'!$B$11,Paramètres!$A$1:$I$89,3,0)*VLOOKUP('Données projet'!$B$11,Paramètres!$A$1:$I$89,5,0)</f>
        <v>-1.3596945791505279E-13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393.01180019332998</v>
      </c>
      <c r="BJ129" s="59">
        <f t="shared" si="92"/>
        <v>283.82782416294748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95.373088932361242</v>
      </c>
      <c r="BQ129" s="21">
        <f>EXP(-LN(2)/25)*BQ128+(1-EXP(-LN(2)/25))/(LN(2)/25)*Calculateur!BL129*Calculateur!BN129*VLOOKUP('Données projet'!$B$11,Paramètres!$A$1:$I$89,3,0)*0.475*44/12</f>
        <v>31.680645192034952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127.05373412439619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-2.2737367544323206E-13</v>
      </c>
      <c r="BZ129" s="13">
        <f>BY129*VLOOKUP('Données projet'!$B$12,Paramètres!$A$1:$I$89,3,0)*VLOOKUP('Données projet'!$B$12,Paramètres!$A$1:$I$89,5,0)</f>
        <v>-1.3596945791505279E-13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393.01180019332998</v>
      </c>
      <c r="CE129" s="59">
        <f t="shared" si="94"/>
        <v>283.82782416294748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95.373088932361242</v>
      </c>
      <c r="CL129" s="21">
        <f>EXP(-LN(2)/25)*CL128+(1-EXP(-LN(2)/25))/(LN(2)/25)*Calculateur!CG129*Calculateur!CI129*VLOOKUP('Données projet'!$B$12,Paramètres!$A$1:$I$89,3,0)*0.475*44/12</f>
        <v>31.680645192034952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127.05373412439619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-2.2737367544323206E-13</v>
      </c>
      <c r="CU129" s="17">
        <f>CT129*VLOOKUP('Données projet'!$B$13,Paramètres!$A$1:$I$89,3,0)*VLOOKUP('Données projet'!$B$13,Paramètres!$A$1:$I$89,5,0)</f>
        <v>-1.3596945791505279E-13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393.01180019332998</v>
      </c>
      <c r="CZ129" s="59">
        <f t="shared" si="96"/>
        <v>283.82782416294748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95.373088932361242</v>
      </c>
      <c r="DG129" s="21">
        <f>EXP(-LN(2)/25)*DG128+(1-EXP(-LN(2)/25))/(LN(2)/25)*Calculateur!DB129*Calculateur!DD129*VLOOKUP('Données projet'!$B$13,Paramètres!$A$1:$I$89,3,0)*0.475*44/12</f>
        <v>31.680645192034952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127.05373412439619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-2.2737367544323206E-13</v>
      </c>
      <c r="DP129" s="17">
        <f>DO129*VLOOKUP('Données projet'!$B$14,Paramètres!$A$1:$I$89,3,0)*VLOOKUP('Données projet'!$B$14,Paramètres!$A$1:$I$89,5,0)</f>
        <v>-1.3596945791505279E-13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393.01180019332998</v>
      </c>
      <c r="DU129" s="59">
        <f t="shared" si="98"/>
        <v>283.82782416294748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95.373088932361242</v>
      </c>
      <c r="EB129" s="21">
        <f>EXP(-LN(2)/25)*EB128+(1-EXP(-LN(2)/25))/(LN(2)/25)*Calculateur!DW129*Calculateur!DY129*VLOOKUP('Données projet'!$B$14,Paramètres!$A$1:$I$89,3,0)*0.475*44/12</f>
        <v>31.680645192034952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127.05373412439619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14.660879999999988</v>
      </c>
      <c r="D130" s="11">
        <f t="shared" si="86"/>
        <v>4.9427776628458453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30.265296040884802</v>
      </c>
      <c r="H130" s="67">
        <f t="shared" si="56"/>
        <v>290.80970376278987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-5.3205440053716299E-14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189.8770435341392</v>
      </c>
      <c r="T130" s="59">
        <f t="shared" si="88"/>
        <v>230.18380961122767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29.123457737920479</v>
      </c>
      <c r="AA130" s="21">
        <f>EXP(-LN(2)/25)*AA129+(1-EXP(-LN(2)/25))/(LN(2)/25)*Calculateur!V130*Calculateur!X130*VLOOKUP('Données projet'!$B$9,Paramètres!$A$1:$I$89,3,0)*0.475*44/12</f>
        <v>9.7161244912510778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38.839582229171555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-3.4106051316484809E-13</v>
      </c>
      <c r="AJ130" s="13">
        <f>AI130*VLOOKUP('Données projet'!$B$10,Paramètres!$A$1:$I$89,3,0)*VLOOKUP('Données projet'!$B$10,Paramètres!$A$1:$I$89,5,0)</f>
        <v>-1.5074874681886286E-13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207.77463758757142</v>
      </c>
      <c r="AO130" s="59">
        <f t="shared" si="90"/>
        <v>180.50802165484066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41.245000619513284</v>
      </c>
      <c r="AV130" s="21">
        <f>EXP(-LN(2)/25)*AV129+(1-EXP(-LN(2)/25))/(LN(2)/25)*Calculateur!AQ130*Calculateur!AS130*VLOOKUP('Données projet'!$B$10,Paramètres!$A$1:$I$89,3,0)*0.475*44/12</f>
        <v>14.902860209354264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56.14786082886755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-2.2737367544323206E-13</v>
      </c>
      <c r="BE130" s="13">
        <f>BD130*VLOOKUP('Données projet'!$B$11,Paramètres!$A$1:$I$89,3,0)*VLOOKUP('Données projet'!$B$11,Paramètres!$A$1:$I$89,5,0)</f>
        <v>-1.3596945791505279E-13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393.01180019332998</v>
      </c>
      <c r="BJ130" s="59">
        <f t="shared" si="92"/>
        <v>283.82782416294748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93.502880830237899</v>
      </c>
      <c r="BQ130" s="21">
        <f>EXP(-LN(2)/25)*BQ129+(1-EXP(-LN(2)/25))/(LN(2)/25)*Calculateur!BL130*Calculateur!BN130*VLOOKUP('Données projet'!$B$11,Paramètres!$A$1:$I$89,3,0)*0.475*44/12</f>
        <v>30.814336283246032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124.31721711348393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-2.2737367544323206E-13</v>
      </c>
      <c r="BZ130" s="13">
        <f>BY130*VLOOKUP('Données projet'!$B$12,Paramètres!$A$1:$I$89,3,0)*VLOOKUP('Données projet'!$B$12,Paramètres!$A$1:$I$89,5,0)</f>
        <v>-1.3596945791505279E-13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393.01180019332998</v>
      </c>
      <c r="CE130" s="59">
        <f t="shared" si="94"/>
        <v>283.82782416294748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93.502880830237899</v>
      </c>
      <c r="CL130" s="21">
        <f>EXP(-LN(2)/25)*CL129+(1-EXP(-LN(2)/25))/(LN(2)/25)*Calculateur!CG130*Calculateur!CI130*VLOOKUP('Données projet'!$B$12,Paramètres!$A$1:$I$89,3,0)*0.475*44/12</f>
        <v>30.814336283246032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124.31721711348393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-2.2737367544323206E-13</v>
      </c>
      <c r="CU130" s="17">
        <f>CT130*VLOOKUP('Données projet'!$B$13,Paramètres!$A$1:$I$89,3,0)*VLOOKUP('Données projet'!$B$13,Paramètres!$A$1:$I$89,5,0)</f>
        <v>-1.3596945791505279E-13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393.01180019332998</v>
      </c>
      <c r="CZ130" s="59">
        <f t="shared" si="96"/>
        <v>283.82782416294748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93.502880830237899</v>
      </c>
      <c r="DG130" s="21">
        <f>EXP(-LN(2)/25)*DG129+(1-EXP(-LN(2)/25))/(LN(2)/25)*Calculateur!DB130*Calculateur!DD130*VLOOKUP('Données projet'!$B$13,Paramètres!$A$1:$I$89,3,0)*0.475*44/12</f>
        <v>30.814336283246032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124.31721711348393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-2.2737367544323206E-13</v>
      </c>
      <c r="DP130" s="17">
        <f>DO130*VLOOKUP('Données projet'!$B$14,Paramètres!$A$1:$I$89,3,0)*VLOOKUP('Données projet'!$B$14,Paramètres!$A$1:$I$89,5,0)</f>
        <v>-1.3596945791505279E-13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393.01180019332998</v>
      </c>
      <c r="DU130" s="59">
        <f t="shared" si="98"/>
        <v>283.82782416294748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93.502880830237899</v>
      </c>
      <c r="EB130" s="21">
        <f>EXP(-LN(2)/25)*EB129+(1-EXP(-LN(2)/25))/(LN(2)/25)*Calculateur!DW130*Calculateur!DY130*VLOOKUP('Données projet'!$B$14,Paramètres!$A$1:$I$89,3,0)*0.475*44/12</f>
        <v>30.814336283246032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124.31721711348393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14.776319999999988</v>
      </c>
      <c r="D131" s="11">
        <f t="shared" si="86"/>
        <v>4.9771512276270586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30.496587158441759</v>
      </c>
      <c r="H131" s="67">
        <f t="shared" si="56"/>
        <v>291.07062905478381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-5.3205440053716299E-14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189.8770435341392</v>
      </c>
      <c r="T131" s="59">
        <f t="shared" si="88"/>
        <v>230.18380961122767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28.552364495235071</v>
      </c>
      <c r="AA131" s="21">
        <f>EXP(-LN(2)/25)*AA130+(1-EXP(-LN(2)/25))/(LN(2)/25)*Calculateur!V131*Calculateur!X131*VLOOKUP('Données projet'!$B$9,Paramètres!$A$1:$I$89,3,0)*0.475*44/12</f>
        <v>9.450436556089036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38.002801051324106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-3.4106051316484809E-13</v>
      </c>
      <c r="AJ131" s="13">
        <f>AI131*VLOOKUP('Données projet'!$B$10,Paramètres!$A$1:$I$89,3,0)*VLOOKUP('Données projet'!$B$10,Paramètres!$A$1:$I$89,5,0)</f>
        <v>-1.5074874681886286E-13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207.77463758757142</v>
      </c>
      <c r="AO131" s="59">
        <f t="shared" si="90"/>
        <v>180.50802165484066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40.436211314330961</v>
      </c>
      <c r="AV131" s="21">
        <f>EXP(-LN(2)/25)*AV130+(1-EXP(-LN(2)/25))/(LN(2)/25)*Calculateur!AQ131*Calculateur!AS131*VLOOKUP('Données projet'!$B$10,Paramètres!$A$1:$I$89,3,0)*0.475*44/12</f>
        <v>14.495340713222115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54.931552027553074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-2.2737367544323206E-13</v>
      </c>
      <c r="BE131" s="13">
        <f>BD131*VLOOKUP('Données projet'!$B$11,Paramètres!$A$1:$I$89,3,0)*VLOOKUP('Données projet'!$B$11,Paramètres!$A$1:$I$89,5,0)</f>
        <v>-1.3596945791505279E-13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393.01180019332998</v>
      </c>
      <c r="BJ131" s="59">
        <f t="shared" si="92"/>
        <v>283.82782416294748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91.669346368282888</v>
      </c>
      <c r="BQ131" s="21">
        <f>EXP(-LN(2)/25)*BQ130+(1-EXP(-LN(2)/25))/(LN(2)/25)*Calculateur!BL131*Calculateur!BN131*VLOOKUP('Données projet'!$B$11,Paramètres!$A$1:$I$89,3,0)*0.475*44/12</f>
        <v>29.971716637125152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121.64106300540804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-2.2737367544323206E-13</v>
      </c>
      <c r="BZ131" s="13">
        <f>BY131*VLOOKUP('Données projet'!$B$12,Paramètres!$A$1:$I$89,3,0)*VLOOKUP('Données projet'!$B$12,Paramètres!$A$1:$I$89,5,0)</f>
        <v>-1.3596945791505279E-13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393.01180019332998</v>
      </c>
      <c r="CE131" s="59">
        <f t="shared" si="94"/>
        <v>283.82782416294748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91.669346368282888</v>
      </c>
      <c r="CL131" s="21">
        <f>EXP(-LN(2)/25)*CL130+(1-EXP(-LN(2)/25))/(LN(2)/25)*Calculateur!CG131*Calculateur!CI131*VLOOKUP('Données projet'!$B$12,Paramètres!$A$1:$I$89,3,0)*0.475*44/12</f>
        <v>29.971716637125152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121.64106300540804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-2.2737367544323206E-13</v>
      </c>
      <c r="CU131" s="17">
        <f>CT131*VLOOKUP('Données projet'!$B$13,Paramètres!$A$1:$I$89,3,0)*VLOOKUP('Données projet'!$B$13,Paramètres!$A$1:$I$89,5,0)</f>
        <v>-1.3596945791505279E-13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393.01180019332998</v>
      </c>
      <c r="CZ131" s="59">
        <f t="shared" si="96"/>
        <v>283.82782416294748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91.669346368282888</v>
      </c>
      <c r="DG131" s="21">
        <f>EXP(-LN(2)/25)*DG130+(1-EXP(-LN(2)/25))/(LN(2)/25)*Calculateur!DB131*Calculateur!DD131*VLOOKUP('Données projet'!$B$13,Paramètres!$A$1:$I$89,3,0)*0.475*44/12</f>
        <v>29.971716637125152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121.64106300540804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-2.2737367544323206E-13</v>
      </c>
      <c r="DP131" s="17">
        <f>DO131*VLOOKUP('Données projet'!$B$14,Paramètres!$A$1:$I$89,3,0)*VLOOKUP('Données projet'!$B$14,Paramètres!$A$1:$I$89,5,0)</f>
        <v>-1.3596945791505279E-13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393.01180019332998</v>
      </c>
      <c r="DU131" s="59">
        <f t="shared" si="98"/>
        <v>283.82782416294748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91.669346368282888</v>
      </c>
      <c r="EB131" s="21">
        <f>EXP(-LN(2)/25)*EB130+(1-EXP(-LN(2)/25))/(LN(2)/25)*Calculateur!DW131*Calculateur!DY131*VLOOKUP('Données projet'!$B$14,Paramètres!$A$1:$I$89,3,0)*0.475*44/12</f>
        <v>29.971716637125152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121.64106300540804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14.891759999999987</v>
      </c>
      <c r="D132" s="11">
        <f t="shared" si="86"/>
        <v>5.0114935478201357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30.727830038739839</v>
      </c>
      <c r="H132" s="67">
        <f t="shared" ref="H132:H195" si="110">(B132+E132+F132)*44/12+(C132+D132)*0.475*44/12</f>
        <v>291.33149992912007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-5.3205440053716299E-14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189.8770435341392</v>
      </c>
      <c r="T132" s="59">
        <f t="shared" si="88"/>
        <v>230.18380961122767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27.992470042706245</v>
      </c>
      <c r="AA132" s="21">
        <f>EXP(-LN(2)/25)*AA131+(1-EXP(-LN(2)/25))/(LN(2)/25)*Calculateur!V132*Calculateur!X132*VLOOKUP('Données projet'!$B$9,Paramètres!$A$1:$I$89,3,0)*0.475*44/12</f>
        <v>9.1920138714859227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37.184483914192171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-3.4106051316484809E-13</v>
      </c>
      <c r="AJ132" s="13">
        <f>AI132*VLOOKUP('Données projet'!$B$10,Paramètres!$A$1:$I$89,3,0)*VLOOKUP('Données projet'!$B$10,Paramètres!$A$1:$I$89,5,0)</f>
        <v>-1.5074874681886286E-13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207.77463758757142</v>
      </c>
      <c r="AO132" s="59">
        <f t="shared" si="90"/>
        <v>180.50802165484066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39.6432818741105</v>
      </c>
      <c r="AV132" s="21">
        <f>EXP(-LN(2)/25)*AV131+(1-EXP(-LN(2)/25))/(LN(2)/25)*Calculateur!AQ132*Calculateur!AS132*VLOOKUP('Données projet'!$B$10,Paramètres!$A$1:$I$89,3,0)*0.475*44/12</f>
        <v>14.098964859142217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53.742246733252713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-2.2737367544323206E-13</v>
      </c>
      <c r="BE132" s="13">
        <f>BD132*VLOOKUP('Données projet'!$B$11,Paramètres!$A$1:$I$89,3,0)*VLOOKUP('Données projet'!$B$11,Paramètres!$A$1:$I$89,5,0)</f>
        <v>-1.3596945791505279E-13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393.01180019332998</v>
      </c>
      <c r="BJ132" s="59">
        <f t="shared" si="92"/>
        <v>283.82782416294748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89.871766398781219</v>
      </c>
      <c r="BQ132" s="21">
        <f>EXP(-LN(2)/25)*BQ131+(1-EXP(-LN(2)/25))/(LN(2)/25)*Calculateur!BL132*Calculateur!BN132*VLOOKUP('Données projet'!$B$11,Paramètres!$A$1:$I$89,3,0)*0.475*44/12</f>
        <v>29.152138469538887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119.0239048683201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-2.2737367544323206E-13</v>
      </c>
      <c r="BZ132" s="13">
        <f>BY132*VLOOKUP('Données projet'!$B$12,Paramètres!$A$1:$I$89,3,0)*VLOOKUP('Données projet'!$B$12,Paramètres!$A$1:$I$89,5,0)</f>
        <v>-1.3596945791505279E-13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393.01180019332998</v>
      </c>
      <c r="CE132" s="59">
        <f t="shared" si="94"/>
        <v>283.82782416294748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89.871766398781219</v>
      </c>
      <c r="CL132" s="21">
        <f>EXP(-LN(2)/25)*CL131+(1-EXP(-LN(2)/25))/(LN(2)/25)*Calculateur!CG132*Calculateur!CI132*VLOOKUP('Données projet'!$B$12,Paramètres!$A$1:$I$89,3,0)*0.475*44/12</f>
        <v>29.152138469538887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119.0239048683201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-2.2737367544323206E-13</v>
      </c>
      <c r="CU132" s="17">
        <f>CT132*VLOOKUP('Données projet'!$B$13,Paramètres!$A$1:$I$89,3,0)*VLOOKUP('Données projet'!$B$13,Paramètres!$A$1:$I$89,5,0)</f>
        <v>-1.3596945791505279E-13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393.01180019332998</v>
      </c>
      <c r="CZ132" s="59">
        <f t="shared" si="96"/>
        <v>283.82782416294748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89.871766398781219</v>
      </c>
      <c r="DG132" s="21">
        <f>EXP(-LN(2)/25)*DG131+(1-EXP(-LN(2)/25))/(LN(2)/25)*Calculateur!DB132*Calculateur!DD132*VLOOKUP('Données projet'!$B$13,Paramètres!$A$1:$I$89,3,0)*0.475*44/12</f>
        <v>29.152138469538887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119.0239048683201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-2.2737367544323206E-13</v>
      </c>
      <c r="DP132" s="17">
        <f>DO132*VLOOKUP('Données projet'!$B$14,Paramètres!$A$1:$I$89,3,0)*VLOOKUP('Données projet'!$B$14,Paramètres!$A$1:$I$89,5,0)</f>
        <v>-1.3596945791505279E-13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393.01180019332998</v>
      </c>
      <c r="DU132" s="59">
        <f t="shared" si="98"/>
        <v>283.82782416294748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89.871766398781219</v>
      </c>
      <c r="EB132" s="21">
        <f>EXP(-LN(2)/25)*EB131+(1-EXP(-LN(2)/25))/(LN(2)/25)*Calculateur!DW132*Calculateur!DY132*VLOOKUP('Données projet'!$B$14,Paramètres!$A$1:$I$89,3,0)*0.475*44/12</f>
        <v>29.152138469538887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119.0239048683201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15.007199999999987</v>
      </c>
      <c r="D133" s="11">
        <f t="shared" ref="D133:D196" si="140">IFERROR(EXP(-1.0587+0.8836*LN(C133)+0.284),0)</f>
        <v>5.045804893707456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30.959025099057104</v>
      </c>
      <c r="H133" s="67">
        <f t="shared" si="110"/>
        <v>291.59231685654049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-5.3205440053716299E-14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189.8770435341392</v>
      </c>
      <c r="T133" s="59">
        <f t="shared" ref="T133:T196" si="142">$T$3</f>
        <v>230.18380961122767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27.443554778889613</v>
      </c>
      <c r="AA133" s="21">
        <f>EXP(-LN(2)/25)*AA132+(1-EXP(-LN(2)/25))/(LN(2)/25)*Calculateur!V133*Calculateur!X133*VLOOKUP('Données projet'!$B$9,Paramètres!$A$1:$I$89,3,0)*0.475*44/12</f>
        <v>8.9406577687831401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36.384212547672753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-3.4106051316484809E-13</v>
      </c>
      <c r="AJ133" s="13">
        <f>AI133*VLOOKUP('Données projet'!$B$10,Paramètres!$A$1:$I$89,3,0)*VLOOKUP('Données projet'!$B$10,Paramètres!$A$1:$I$89,5,0)</f>
        <v>-1.5074874681886286E-13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207.77463758757142</v>
      </c>
      <c r="AO133" s="59">
        <f t="shared" ref="AO133:AO196" si="144">$AO$3</f>
        <v>180.50802165484066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38.865901296573554</v>
      </c>
      <c r="AV133" s="21">
        <f>EXP(-LN(2)/25)*AV132+(1-EXP(-LN(2)/25))/(LN(2)/25)*Calculateur!AQ133*Calculateur!AS133*VLOOKUP('Données projet'!$B$10,Paramètres!$A$1:$I$89,3,0)*0.475*44/12</f>
        <v>13.713427923636635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52.579329220210191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-2.2737367544323206E-13</v>
      </c>
      <c r="BE133" s="13">
        <f>BD133*VLOOKUP('Données projet'!$B$11,Paramètres!$A$1:$I$89,3,0)*VLOOKUP('Données projet'!$B$11,Paramètres!$A$1:$I$89,5,0)</f>
        <v>-1.3596945791505279E-13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393.01180019332998</v>
      </c>
      <c r="BJ133" s="59">
        <f t="shared" ref="BJ133:BJ196" si="146">$BJ$3</f>
        <v>283.82782416294748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88.109435876065959</v>
      </c>
      <c r="BQ133" s="21">
        <f>EXP(-LN(2)/25)*BQ132+(1-EXP(-LN(2)/25))/(LN(2)/25)*Calculateur!BL133*Calculateur!BN133*VLOOKUP('Données projet'!$B$11,Paramètres!$A$1:$I$89,3,0)*0.475*44/12</f>
        <v>28.35497171004501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116.46440758611097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-2.2737367544323206E-13</v>
      </c>
      <c r="BZ133" s="13">
        <f>BY133*VLOOKUP('Données projet'!$B$12,Paramètres!$A$1:$I$89,3,0)*VLOOKUP('Données projet'!$B$12,Paramètres!$A$1:$I$89,5,0)</f>
        <v>-1.3596945791505279E-13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393.01180019332998</v>
      </c>
      <c r="CE133" s="59">
        <f t="shared" ref="CE133:CE196" si="148">$CE$3</f>
        <v>283.82782416294748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88.109435876065959</v>
      </c>
      <c r="CL133" s="21">
        <f>EXP(-LN(2)/25)*CL132+(1-EXP(-LN(2)/25))/(LN(2)/25)*Calculateur!CG133*Calculateur!CI133*VLOOKUP('Données projet'!$B$12,Paramètres!$A$1:$I$89,3,0)*0.475*44/12</f>
        <v>28.35497171004501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116.46440758611097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-2.2737367544323206E-13</v>
      </c>
      <c r="CU133" s="17">
        <f>CT133*VLOOKUP('Données projet'!$B$13,Paramètres!$A$1:$I$89,3,0)*VLOOKUP('Données projet'!$B$13,Paramètres!$A$1:$I$89,5,0)</f>
        <v>-1.3596945791505279E-13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393.01180019332998</v>
      </c>
      <c r="CZ133" s="59">
        <f t="shared" ref="CZ133:CZ196" si="150">$CZ$3</f>
        <v>283.82782416294748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88.109435876065959</v>
      </c>
      <c r="DG133" s="21">
        <f>EXP(-LN(2)/25)*DG132+(1-EXP(-LN(2)/25))/(LN(2)/25)*Calculateur!DB133*Calculateur!DD133*VLOOKUP('Données projet'!$B$13,Paramètres!$A$1:$I$89,3,0)*0.475*44/12</f>
        <v>28.35497171004501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116.46440758611097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-2.2737367544323206E-13</v>
      </c>
      <c r="DP133" s="17">
        <f>DO133*VLOOKUP('Données projet'!$B$14,Paramètres!$A$1:$I$89,3,0)*VLOOKUP('Données projet'!$B$14,Paramètres!$A$1:$I$89,5,0)</f>
        <v>-1.3596945791505279E-13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393.01180019332998</v>
      </c>
      <c r="DU133" s="59">
        <f t="shared" ref="DU133:DU196" si="152">$DU$3</f>
        <v>283.82782416294748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88.109435876065959</v>
      </c>
      <c r="EB133" s="21">
        <f>EXP(-LN(2)/25)*EB132+(1-EXP(-LN(2)/25))/(LN(2)/25)*Calculateur!DW133*Calculateur!DY133*VLOOKUP('Données projet'!$B$14,Paramètres!$A$1:$I$89,3,0)*0.475*44/12</f>
        <v>28.35497171004501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116.46440758611097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15.122639999999986</v>
      </c>
      <c r="D134" s="11">
        <f t="shared" si="140"/>
        <v>5.0800855311730366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31.19017274988116</v>
      </c>
      <c r="H134" s="67">
        <f t="shared" si="110"/>
        <v>291.85308030012635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-5.3205440053716299E-14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189.8770435341392</v>
      </c>
      <c r="T134" s="59">
        <f t="shared" si="142"/>
        <v>230.18380961122767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26.905403408591173</v>
      </c>
      <c r="AA134" s="21">
        <f>EXP(-LN(2)/25)*AA133+(1-EXP(-LN(2)/25))/(LN(2)/25)*Calculateur!V134*Calculateur!X134*VLOOKUP('Données projet'!$B$9,Paramètres!$A$1:$I$89,3,0)*0.475*44/12</f>
        <v>8.6961750119270071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35.60157842051818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-3.4106051316484809E-13</v>
      </c>
      <c r="AJ134" s="13">
        <f>AI134*VLOOKUP('Données projet'!$B$10,Paramètres!$A$1:$I$89,3,0)*VLOOKUP('Données projet'!$B$10,Paramètres!$A$1:$I$89,5,0)</f>
        <v>-1.5074874681886286E-13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207.77463758757142</v>
      </c>
      <c r="AO134" s="59">
        <f t="shared" si="144"/>
        <v>180.50802165484066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38.103764678006776</v>
      </c>
      <c r="AV134" s="21">
        <f>EXP(-LN(2)/25)*AV133+(1-EXP(-LN(2)/25))/(LN(2)/25)*Calculateur!AQ134*Calculateur!AS134*VLOOKUP('Données projet'!$B$10,Paramètres!$A$1:$I$89,3,0)*0.475*44/12</f>
        <v>13.33843351590696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51.44219819391374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-2.2737367544323206E-13</v>
      </c>
      <c r="BE134" s="13">
        <f>BD134*VLOOKUP('Données projet'!$B$11,Paramètres!$A$1:$I$89,3,0)*VLOOKUP('Données projet'!$B$11,Paramètres!$A$1:$I$89,5,0)</f>
        <v>-1.3596945791505279E-13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393.01180019332998</v>
      </c>
      <c r="BJ134" s="59">
        <f t="shared" si="146"/>
        <v>283.82782416294748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86.381663579985656</v>
      </c>
      <c r="BQ134" s="21">
        <f>EXP(-LN(2)/25)*BQ133+(1-EXP(-LN(2)/25))/(LN(2)/25)*Calculateur!BL134*Calculateur!BN134*VLOOKUP('Données projet'!$B$11,Paramètres!$A$1:$I$89,3,0)*0.475*44/12</f>
        <v>27.579603517510673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113.96126709749633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-2.2737367544323206E-13</v>
      </c>
      <c r="BZ134" s="13">
        <f>BY134*VLOOKUP('Données projet'!$B$12,Paramètres!$A$1:$I$89,3,0)*VLOOKUP('Données projet'!$B$12,Paramètres!$A$1:$I$89,5,0)</f>
        <v>-1.3596945791505279E-13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393.01180019332998</v>
      </c>
      <c r="CE134" s="59">
        <f t="shared" si="148"/>
        <v>283.82782416294748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86.381663579985656</v>
      </c>
      <c r="CL134" s="21">
        <f>EXP(-LN(2)/25)*CL133+(1-EXP(-LN(2)/25))/(LN(2)/25)*Calculateur!CG134*Calculateur!CI134*VLOOKUP('Données projet'!$B$12,Paramètres!$A$1:$I$89,3,0)*0.475*44/12</f>
        <v>27.579603517510673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113.96126709749633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-2.2737367544323206E-13</v>
      </c>
      <c r="CU134" s="17">
        <f>CT134*VLOOKUP('Données projet'!$B$13,Paramètres!$A$1:$I$89,3,0)*VLOOKUP('Données projet'!$B$13,Paramètres!$A$1:$I$89,5,0)</f>
        <v>-1.3596945791505279E-13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393.01180019332998</v>
      </c>
      <c r="CZ134" s="59">
        <f t="shared" si="150"/>
        <v>283.82782416294748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86.381663579985656</v>
      </c>
      <c r="DG134" s="21">
        <f>EXP(-LN(2)/25)*DG133+(1-EXP(-LN(2)/25))/(LN(2)/25)*Calculateur!DB134*Calculateur!DD134*VLOOKUP('Données projet'!$B$13,Paramètres!$A$1:$I$89,3,0)*0.475*44/12</f>
        <v>27.579603517510673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113.96126709749633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-2.2737367544323206E-13</v>
      </c>
      <c r="DP134" s="17">
        <f>DO134*VLOOKUP('Données projet'!$B$14,Paramètres!$A$1:$I$89,3,0)*VLOOKUP('Données projet'!$B$14,Paramètres!$A$1:$I$89,5,0)</f>
        <v>-1.3596945791505279E-13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393.01180019332998</v>
      </c>
      <c r="DU134" s="59">
        <f t="shared" si="152"/>
        <v>283.82782416294748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86.381663579985656</v>
      </c>
      <c r="EB134" s="21">
        <f>EXP(-LN(2)/25)*EB133+(1-EXP(-LN(2)/25))/(LN(2)/25)*Calculateur!DW134*Calculateur!DY134*VLOOKUP('Données projet'!$B$14,Paramètres!$A$1:$I$89,3,0)*0.475*44/12</f>
        <v>27.579603517510673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113.96126709749633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15.238079999999986</v>
      </c>
      <c r="D135" s="11">
        <f t="shared" si="140"/>
        <v>5.1143357218071328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31.421273395070646</v>
      </c>
      <c r="H135" s="67">
        <f t="shared" si="110"/>
        <v>292.11379071548072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-5.3205440053716299E-14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189.8770435341392</v>
      </c>
      <c r="T135" s="59">
        <f t="shared" si="142"/>
        <v>230.18380961122767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26.377804858424359</v>
      </c>
      <c r="AA135" s="21">
        <f>EXP(-LN(2)/25)*AA134+(1-EXP(-LN(2)/25))/(LN(2)/25)*Calculateur!V135*Calculateur!X135*VLOOKUP('Données projet'!$B$9,Paramètres!$A$1:$I$89,3,0)*0.475*44/12</f>
        <v>8.4583776489138938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34.836182507338251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-3.4106051316484809E-13</v>
      </c>
      <c r="AJ135" s="13">
        <f>AI135*VLOOKUP('Données projet'!$B$10,Paramètres!$A$1:$I$89,3,0)*VLOOKUP('Données projet'!$B$10,Paramètres!$A$1:$I$89,5,0)</f>
        <v>-1.5074874681886286E-13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207.77463758757142</v>
      </c>
      <c r="AO135" s="59">
        <f t="shared" si="144"/>
        <v>180.50802165484066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37.356573093672658</v>
      </c>
      <c r="AV135" s="21">
        <f>EXP(-LN(2)/25)*AV134+(1-EXP(-LN(2)/25))/(LN(2)/25)*Calculateur!AQ135*Calculateur!AS135*VLOOKUP('Données projet'!$B$10,Paramètres!$A$1:$I$89,3,0)*0.475*44/12</f>
        <v>12.973693349976751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50.330266443649407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-2.2737367544323206E-13</v>
      </c>
      <c r="BE135" s="13">
        <f>BD135*VLOOKUP('Données projet'!$B$11,Paramètres!$A$1:$I$89,3,0)*VLOOKUP('Données projet'!$B$11,Paramètres!$A$1:$I$89,5,0)</f>
        <v>-1.3596945791505279E-13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393.01180019332998</v>
      </c>
      <c r="BJ135" s="59">
        <f t="shared" si="146"/>
        <v>283.82782416294748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84.687771844794455</v>
      </c>
      <c r="BQ135" s="21">
        <f>EXP(-LN(2)/25)*BQ134+(1-EXP(-LN(2)/25))/(LN(2)/25)*Calculateur!BL135*Calculateur!BN135*VLOOKUP('Données projet'!$B$11,Paramètres!$A$1:$I$89,3,0)*0.475*44/12</f>
        <v>26.82543780897603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111.51320965377049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-2.2737367544323206E-13</v>
      </c>
      <c r="BZ135" s="13">
        <f>BY135*VLOOKUP('Données projet'!$B$12,Paramètres!$A$1:$I$89,3,0)*VLOOKUP('Données projet'!$B$12,Paramètres!$A$1:$I$89,5,0)</f>
        <v>-1.3596945791505279E-13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393.01180019332998</v>
      </c>
      <c r="CE135" s="59">
        <f t="shared" si="148"/>
        <v>283.82782416294748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84.687771844794455</v>
      </c>
      <c r="CL135" s="21">
        <f>EXP(-LN(2)/25)*CL134+(1-EXP(-LN(2)/25))/(LN(2)/25)*Calculateur!CG135*Calculateur!CI135*VLOOKUP('Données projet'!$B$12,Paramètres!$A$1:$I$89,3,0)*0.475*44/12</f>
        <v>26.82543780897603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111.51320965377049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-2.2737367544323206E-13</v>
      </c>
      <c r="CU135" s="17">
        <f>CT135*VLOOKUP('Données projet'!$B$13,Paramètres!$A$1:$I$89,3,0)*VLOOKUP('Données projet'!$B$13,Paramètres!$A$1:$I$89,5,0)</f>
        <v>-1.3596945791505279E-13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393.01180019332998</v>
      </c>
      <c r="CZ135" s="59">
        <f t="shared" si="150"/>
        <v>283.82782416294748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84.687771844794455</v>
      </c>
      <c r="DG135" s="21">
        <f>EXP(-LN(2)/25)*DG134+(1-EXP(-LN(2)/25))/(LN(2)/25)*Calculateur!DB135*Calculateur!DD135*VLOOKUP('Données projet'!$B$13,Paramètres!$A$1:$I$89,3,0)*0.475*44/12</f>
        <v>26.82543780897603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111.51320965377049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-2.2737367544323206E-13</v>
      </c>
      <c r="DP135" s="17">
        <f>DO135*VLOOKUP('Données projet'!$B$14,Paramètres!$A$1:$I$89,3,0)*VLOOKUP('Données projet'!$B$14,Paramètres!$A$1:$I$89,5,0)</f>
        <v>-1.3596945791505279E-13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393.01180019332998</v>
      </c>
      <c r="DU135" s="59">
        <f t="shared" si="152"/>
        <v>283.82782416294748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84.687771844794455</v>
      </c>
      <c r="EB135" s="21">
        <f>EXP(-LN(2)/25)*EB134+(1-EXP(-LN(2)/25))/(LN(2)/25)*Calculateur!DW135*Calculateur!DY135*VLOOKUP('Données projet'!$B$14,Paramètres!$A$1:$I$89,3,0)*0.475*44/12</f>
        <v>26.82543780897603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111.51320965377049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15.353519999999985</v>
      </c>
      <c r="D136" s="11">
        <f t="shared" si="140"/>
        <v>5.1485557230075649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31.65232743201166</v>
      </c>
      <c r="H136" s="67">
        <f t="shared" si="110"/>
        <v>292.37444855090484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-5.3205440053716299E-14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189.8770435341392</v>
      </c>
      <c r="T136" s="59">
        <f t="shared" si="142"/>
        <v>230.18380961122767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25.860552194022976</v>
      </c>
      <c r="AA136" s="21">
        <f>EXP(-LN(2)/25)*AA135+(1-EXP(-LN(2)/25))/(LN(2)/25)*Calculateur!V136*Calculateur!X136*VLOOKUP('Données projet'!$B$9,Paramètres!$A$1:$I$89,3,0)*0.475*44/12</f>
        <v>8.2270828672975949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34.087635061320569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-3.4106051316484809E-13</v>
      </c>
      <c r="AJ136" s="13">
        <f>AI136*VLOOKUP('Données projet'!$B$10,Paramètres!$A$1:$I$89,3,0)*VLOOKUP('Données projet'!$B$10,Paramètres!$A$1:$I$89,5,0)</f>
        <v>-1.5074874681886286E-13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207.77463758757142</v>
      </c>
      <c r="AO136" s="59">
        <f t="shared" si="144"/>
        <v>180.50802165484066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36.624033480565465</v>
      </c>
      <c r="AV136" s="21">
        <f>EXP(-LN(2)/25)*AV135+(1-EXP(-LN(2)/25))/(LN(2)/25)*Calculateur!AQ136*Calculateur!AS136*VLOOKUP('Données projet'!$B$10,Paramètres!$A$1:$I$89,3,0)*0.475*44/12</f>
        <v>12.618927023064755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49.242960503630222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-2.2737367544323206E-13</v>
      </c>
      <c r="BE136" s="13">
        <f>BD136*VLOOKUP('Données projet'!$B$11,Paramètres!$A$1:$I$89,3,0)*VLOOKUP('Données projet'!$B$11,Paramètres!$A$1:$I$89,5,0)</f>
        <v>-1.3596945791505279E-13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393.01180019332998</v>
      </c>
      <c r="BJ136" s="59">
        <f t="shared" si="146"/>
        <v>283.82782416294748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83.027096293358412</v>
      </c>
      <c r="BQ136" s="21">
        <f>EXP(-LN(2)/25)*BQ135+(1-EXP(-LN(2)/25))/(LN(2)/25)*Calculateur!BL136*Calculateur!BN136*VLOOKUP('Données projet'!$B$11,Paramètres!$A$1:$I$89,3,0)*0.475*44/12</f>
        <v>26.091894801401118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109.11899109475954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-2.2737367544323206E-13</v>
      </c>
      <c r="BZ136" s="13">
        <f>BY136*VLOOKUP('Données projet'!$B$12,Paramètres!$A$1:$I$89,3,0)*VLOOKUP('Données projet'!$B$12,Paramètres!$A$1:$I$89,5,0)</f>
        <v>-1.3596945791505279E-13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393.01180019332998</v>
      </c>
      <c r="CE136" s="59">
        <f t="shared" si="148"/>
        <v>283.82782416294748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83.027096293358412</v>
      </c>
      <c r="CL136" s="21">
        <f>EXP(-LN(2)/25)*CL135+(1-EXP(-LN(2)/25))/(LN(2)/25)*Calculateur!CG136*Calculateur!CI136*VLOOKUP('Données projet'!$B$12,Paramètres!$A$1:$I$89,3,0)*0.475*44/12</f>
        <v>26.091894801401118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109.11899109475954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-2.2737367544323206E-13</v>
      </c>
      <c r="CU136" s="17">
        <f>CT136*VLOOKUP('Données projet'!$B$13,Paramètres!$A$1:$I$89,3,0)*VLOOKUP('Données projet'!$B$13,Paramètres!$A$1:$I$89,5,0)</f>
        <v>-1.3596945791505279E-13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393.01180019332998</v>
      </c>
      <c r="CZ136" s="59">
        <f t="shared" si="150"/>
        <v>283.82782416294748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83.027096293358412</v>
      </c>
      <c r="DG136" s="21">
        <f>EXP(-LN(2)/25)*DG135+(1-EXP(-LN(2)/25))/(LN(2)/25)*Calculateur!DB136*Calculateur!DD136*VLOOKUP('Données projet'!$B$13,Paramètres!$A$1:$I$89,3,0)*0.475*44/12</f>
        <v>26.091894801401118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109.11899109475954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-2.2737367544323206E-13</v>
      </c>
      <c r="DP136" s="17">
        <f>DO136*VLOOKUP('Données projet'!$B$14,Paramètres!$A$1:$I$89,3,0)*VLOOKUP('Données projet'!$B$14,Paramètres!$A$1:$I$89,5,0)</f>
        <v>-1.3596945791505279E-13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393.01180019332998</v>
      </c>
      <c r="DU136" s="59">
        <f t="shared" si="152"/>
        <v>283.82782416294748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83.027096293358412</v>
      </c>
      <c r="EB136" s="21">
        <f>EXP(-LN(2)/25)*EB135+(1-EXP(-LN(2)/25))/(LN(2)/25)*Calculateur!DW136*Calculateur!DY136*VLOOKUP('Données projet'!$B$14,Paramètres!$A$1:$I$89,3,0)*0.475*44/12</f>
        <v>26.091894801401118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109.11899109475954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15.468959999999985</v>
      </c>
      <c r="D137" s="11">
        <f t="shared" si="140"/>
        <v>5.1827457880779182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31.883335251769399</v>
      </c>
      <c r="H137" s="67">
        <f t="shared" si="110"/>
        <v>292.63505424756903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-5.3205440053716299E-14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189.8770435341392</v>
      </c>
      <c r="T137" s="59">
        <f t="shared" si="142"/>
        <v>230.18380961122767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25.35344253887753</v>
      </c>
      <c r="AA137" s="21">
        <f>EXP(-LN(2)/25)*AA136+(1-EXP(-LN(2)/25))/(LN(2)/25)*Calculateur!V137*Calculateur!X137*VLOOKUP('Données projet'!$B$9,Paramètres!$A$1:$I$89,3,0)*0.475*44/12</f>
        <v>8.0021128536478567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33.355555392525389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-3.4106051316484809E-13</v>
      </c>
      <c r="AJ137" s="13">
        <f>AI137*VLOOKUP('Données projet'!$B$10,Paramètres!$A$1:$I$89,3,0)*VLOOKUP('Données projet'!$B$10,Paramètres!$A$1:$I$89,5,0)</f>
        <v>-1.5074874681886286E-13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207.77463758757142</v>
      </c>
      <c r="AO137" s="59">
        <f t="shared" si="144"/>
        <v>180.50802165484066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35.905858522466261</v>
      </c>
      <c r="AV137" s="21">
        <f>EXP(-LN(2)/25)*AV136+(1-EXP(-LN(2)/25))/(LN(2)/25)*Calculateur!AQ137*Calculateur!AS137*VLOOKUP('Données projet'!$B$10,Paramètres!$A$1:$I$89,3,0)*0.475*44/12</f>
        <v>12.273861800018517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48.179720322484776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-2.2737367544323206E-13</v>
      </c>
      <c r="BE137" s="13">
        <f>BD137*VLOOKUP('Données projet'!$B$11,Paramètres!$A$1:$I$89,3,0)*VLOOKUP('Données projet'!$B$11,Paramètres!$A$1:$I$89,5,0)</f>
        <v>-1.3596945791505279E-13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393.01180019332998</v>
      </c>
      <c r="BJ137" s="59">
        <f t="shared" si="146"/>
        <v>283.82782416294748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81.398985576573963</v>
      </c>
      <c r="BQ137" s="21">
        <f>EXP(-LN(2)/25)*BQ136+(1-EXP(-LN(2)/25))/(LN(2)/25)*Calculateur!BL137*Calculateur!BN137*VLOOKUP('Données projet'!$B$11,Paramètres!$A$1:$I$89,3,0)*0.475*44/12</f>
        <v>25.378410565943689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106.77739614251766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-2.2737367544323206E-13</v>
      </c>
      <c r="BZ137" s="13">
        <f>BY137*VLOOKUP('Données projet'!$B$12,Paramètres!$A$1:$I$89,3,0)*VLOOKUP('Données projet'!$B$12,Paramètres!$A$1:$I$89,5,0)</f>
        <v>-1.3596945791505279E-13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393.01180019332998</v>
      </c>
      <c r="CE137" s="59">
        <f t="shared" si="148"/>
        <v>283.82782416294748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81.398985576573963</v>
      </c>
      <c r="CL137" s="21">
        <f>EXP(-LN(2)/25)*CL136+(1-EXP(-LN(2)/25))/(LN(2)/25)*Calculateur!CG137*Calculateur!CI137*VLOOKUP('Données projet'!$B$12,Paramètres!$A$1:$I$89,3,0)*0.475*44/12</f>
        <v>25.378410565943689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106.77739614251766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-2.2737367544323206E-13</v>
      </c>
      <c r="CU137" s="17">
        <f>CT137*VLOOKUP('Données projet'!$B$13,Paramètres!$A$1:$I$89,3,0)*VLOOKUP('Données projet'!$B$13,Paramètres!$A$1:$I$89,5,0)</f>
        <v>-1.3596945791505279E-13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393.01180019332998</v>
      </c>
      <c r="CZ137" s="59">
        <f t="shared" si="150"/>
        <v>283.82782416294748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81.398985576573963</v>
      </c>
      <c r="DG137" s="21">
        <f>EXP(-LN(2)/25)*DG136+(1-EXP(-LN(2)/25))/(LN(2)/25)*Calculateur!DB137*Calculateur!DD137*VLOOKUP('Données projet'!$B$13,Paramètres!$A$1:$I$89,3,0)*0.475*44/12</f>
        <v>25.378410565943689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106.77739614251766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-2.2737367544323206E-13</v>
      </c>
      <c r="DP137" s="17">
        <f>DO137*VLOOKUP('Données projet'!$B$14,Paramètres!$A$1:$I$89,3,0)*VLOOKUP('Données projet'!$B$14,Paramètres!$A$1:$I$89,5,0)</f>
        <v>-1.3596945791505279E-13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393.01180019332998</v>
      </c>
      <c r="DU137" s="59">
        <f t="shared" si="152"/>
        <v>283.82782416294748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81.398985576573963</v>
      </c>
      <c r="EB137" s="21">
        <f>EXP(-LN(2)/25)*EB136+(1-EXP(-LN(2)/25))/(LN(2)/25)*Calculateur!DW137*Calculateur!DY137*VLOOKUP('Données projet'!$B$14,Paramètres!$A$1:$I$89,3,0)*0.475*44/12</f>
        <v>25.378410565943689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106.77739614251766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15.584399999999984</v>
      </c>
      <c r="D138" s="11">
        <f t="shared" si="140"/>
        <v>5.2169061663227172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32.114297239235057</v>
      </c>
      <c r="H138" s="67">
        <f t="shared" si="110"/>
        <v>292.89560823967872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-5.3205440053716299E-14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189.8770435341392</v>
      </c>
      <c r="T138" s="59">
        <f t="shared" si="142"/>
        <v>230.18380961122767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24.856276994763139</v>
      </c>
      <c r="AA138" s="21">
        <f>EXP(-LN(2)/25)*AA137+(1-EXP(-LN(2)/25))/(LN(2)/25)*Calculateur!V138*Calculateur!X138*VLOOKUP('Données projet'!$B$9,Paramètres!$A$1:$I$89,3,0)*0.475*44/12</f>
        <v>7.7832946568520303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32.639571651615171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-3.4106051316484809E-13</v>
      </c>
      <c r="AJ138" s="13">
        <f>AI138*VLOOKUP('Données projet'!$B$10,Paramètres!$A$1:$I$89,3,0)*VLOOKUP('Données projet'!$B$10,Paramètres!$A$1:$I$89,5,0)</f>
        <v>-1.5074874681886286E-13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207.77463758757142</v>
      </c>
      <c r="AO138" s="59">
        <f t="shared" si="144"/>
        <v>180.50802165484066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35.201766537251913</v>
      </c>
      <c r="AV138" s="21">
        <f>EXP(-LN(2)/25)*AV137+(1-EXP(-LN(2)/25))/(LN(2)/25)*Calculateur!AQ138*Calculateur!AS138*VLOOKUP('Données projet'!$B$10,Paramètres!$A$1:$I$89,3,0)*0.475*44/12</f>
        <v>11.938232403642671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47.139998940894586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-2.2737367544323206E-13</v>
      </c>
      <c r="BE138" s="13">
        <f>BD138*VLOOKUP('Données projet'!$B$11,Paramètres!$A$1:$I$89,3,0)*VLOOKUP('Données projet'!$B$11,Paramètres!$A$1:$I$89,5,0)</f>
        <v>-1.3596945791505279E-13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393.01180019332998</v>
      </c>
      <c r="BJ138" s="59">
        <f t="shared" si="146"/>
        <v>283.82782416294748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79.802801117896166</v>
      </c>
      <c r="BQ138" s="21">
        <f>EXP(-LN(2)/25)*BQ137+(1-EXP(-LN(2)/25))/(LN(2)/25)*Calculateur!BL138*Calculateur!BN138*VLOOKUP('Données projet'!$B$11,Paramètres!$A$1:$I$89,3,0)*0.475*44/12</f>
        <v>24.68443659442535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104.48723771232152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-2.2737367544323206E-13</v>
      </c>
      <c r="BZ138" s="13">
        <f>BY138*VLOOKUP('Données projet'!$B$12,Paramètres!$A$1:$I$89,3,0)*VLOOKUP('Données projet'!$B$12,Paramètres!$A$1:$I$89,5,0)</f>
        <v>-1.3596945791505279E-13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393.01180019332998</v>
      </c>
      <c r="CE138" s="59">
        <f t="shared" si="148"/>
        <v>283.82782416294748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79.802801117896166</v>
      </c>
      <c r="CL138" s="21">
        <f>EXP(-LN(2)/25)*CL137+(1-EXP(-LN(2)/25))/(LN(2)/25)*Calculateur!CG138*Calculateur!CI138*VLOOKUP('Données projet'!$B$12,Paramètres!$A$1:$I$89,3,0)*0.475*44/12</f>
        <v>24.68443659442535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104.48723771232152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-2.2737367544323206E-13</v>
      </c>
      <c r="CU138" s="17">
        <f>CT138*VLOOKUP('Données projet'!$B$13,Paramètres!$A$1:$I$89,3,0)*VLOOKUP('Données projet'!$B$13,Paramètres!$A$1:$I$89,5,0)</f>
        <v>-1.3596945791505279E-13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393.01180019332998</v>
      </c>
      <c r="CZ138" s="59">
        <f t="shared" si="150"/>
        <v>283.82782416294748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79.802801117896166</v>
      </c>
      <c r="DG138" s="21">
        <f>EXP(-LN(2)/25)*DG137+(1-EXP(-LN(2)/25))/(LN(2)/25)*Calculateur!DB138*Calculateur!DD138*VLOOKUP('Données projet'!$B$13,Paramètres!$A$1:$I$89,3,0)*0.475*44/12</f>
        <v>24.68443659442535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104.48723771232152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-2.2737367544323206E-13</v>
      </c>
      <c r="DP138" s="17">
        <f>DO138*VLOOKUP('Données projet'!$B$14,Paramètres!$A$1:$I$89,3,0)*VLOOKUP('Données projet'!$B$14,Paramètres!$A$1:$I$89,5,0)</f>
        <v>-1.3596945791505279E-13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393.01180019332998</v>
      </c>
      <c r="DU138" s="59">
        <f t="shared" si="152"/>
        <v>283.82782416294748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79.802801117896166</v>
      </c>
      <c r="EB138" s="21">
        <f>EXP(-LN(2)/25)*EB137+(1-EXP(-LN(2)/25))/(LN(2)/25)*Calculateur!DW138*Calculateur!DY138*VLOOKUP('Données projet'!$B$14,Paramètres!$A$1:$I$89,3,0)*0.475*44/12</f>
        <v>24.68443659442535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104.48723771232152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15.699839999999984</v>
      </c>
      <c r="D139" s="11">
        <f t="shared" si="140"/>
        <v>5.2510371031397112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32.345213773268306</v>
      </c>
      <c r="H139" s="67">
        <f t="shared" si="110"/>
        <v>293.15611095463498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-5.3205440053716299E-14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189.8770435341392</v>
      </c>
      <c r="T139" s="59">
        <f t="shared" si="142"/>
        <v>230.18380961122767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24.368860563727793</v>
      </c>
      <c r="AA139" s="21">
        <f>EXP(-LN(2)/25)*AA138+(1-EXP(-LN(2)/25))/(LN(2)/25)*Calculateur!V139*Calculateur!X139*VLOOKUP('Données projet'!$B$9,Paramètres!$A$1:$I$89,3,0)*0.475*44/12</f>
        <v>7.5704600551547347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31.939320618882526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-3.4106051316484809E-13</v>
      </c>
      <c r="AJ139" s="13">
        <f>AI139*VLOOKUP('Données projet'!$B$10,Paramètres!$A$1:$I$89,3,0)*VLOOKUP('Données projet'!$B$10,Paramètres!$A$1:$I$89,5,0)</f>
        <v>-1.5074874681886286E-13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207.77463758757142</v>
      </c>
      <c r="AO139" s="59">
        <f t="shared" si="144"/>
        <v>180.50802165484066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34.511481366413911</v>
      </c>
      <c r="AV139" s="21">
        <f>EXP(-LN(2)/25)*AV138+(1-EXP(-LN(2)/25))/(LN(2)/25)*Calculateur!AQ139*Calculateur!AS139*VLOOKUP('Données projet'!$B$10,Paramètres!$A$1:$I$89,3,0)*0.475*44/12</f>
        <v>11.611780810760704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46.123262177174617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-2.2737367544323206E-13</v>
      </c>
      <c r="BE139" s="13">
        <f>BD139*VLOOKUP('Données projet'!$B$11,Paramètres!$A$1:$I$89,3,0)*VLOOKUP('Données projet'!$B$11,Paramètres!$A$1:$I$89,5,0)</f>
        <v>-1.3596945791505279E-13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393.01180019332998</v>
      </c>
      <c r="BJ139" s="59">
        <f t="shared" si="146"/>
        <v>283.82782416294748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78.237916862876659</v>
      </c>
      <c r="BQ139" s="21">
        <f>EXP(-LN(2)/25)*BQ138+(1-EXP(-LN(2)/25))/(LN(2)/25)*Calculateur!BL139*Calculateur!BN139*VLOOKUP('Données projet'!$B$11,Paramètres!$A$1:$I$89,3,0)*0.475*44/12</f>
        <v>24.009439377652686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102.24735624052934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-2.2737367544323206E-13</v>
      </c>
      <c r="BZ139" s="13">
        <f>BY139*VLOOKUP('Données projet'!$B$12,Paramètres!$A$1:$I$89,3,0)*VLOOKUP('Données projet'!$B$12,Paramètres!$A$1:$I$89,5,0)</f>
        <v>-1.3596945791505279E-13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393.01180019332998</v>
      </c>
      <c r="CE139" s="59">
        <f t="shared" si="148"/>
        <v>283.82782416294748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78.237916862876659</v>
      </c>
      <c r="CL139" s="21">
        <f>EXP(-LN(2)/25)*CL138+(1-EXP(-LN(2)/25))/(LN(2)/25)*Calculateur!CG139*Calculateur!CI139*VLOOKUP('Données projet'!$B$12,Paramètres!$A$1:$I$89,3,0)*0.475*44/12</f>
        <v>24.009439377652686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102.24735624052934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-2.2737367544323206E-13</v>
      </c>
      <c r="CU139" s="17">
        <f>CT139*VLOOKUP('Données projet'!$B$13,Paramètres!$A$1:$I$89,3,0)*VLOOKUP('Données projet'!$B$13,Paramètres!$A$1:$I$89,5,0)</f>
        <v>-1.3596945791505279E-13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393.01180019332998</v>
      </c>
      <c r="CZ139" s="59">
        <f t="shared" si="150"/>
        <v>283.82782416294748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78.237916862876659</v>
      </c>
      <c r="DG139" s="21">
        <f>EXP(-LN(2)/25)*DG138+(1-EXP(-LN(2)/25))/(LN(2)/25)*Calculateur!DB139*Calculateur!DD139*VLOOKUP('Données projet'!$B$13,Paramètres!$A$1:$I$89,3,0)*0.475*44/12</f>
        <v>24.009439377652686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102.24735624052934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-2.2737367544323206E-13</v>
      </c>
      <c r="DP139" s="17">
        <f>DO139*VLOOKUP('Données projet'!$B$14,Paramètres!$A$1:$I$89,3,0)*VLOOKUP('Données projet'!$B$14,Paramètres!$A$1:$I$89,5,0)</f>
        <v>-1.3596945791505279E-13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393.01180019332998</v>
      </c>
      <c r="DU139" s="59">
        <f t="shared" si="152"/>
        <v>283.82782416294748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78.237916862876659</v>
      </c>
      <c r="EB139" s="21">
        <f>EXP(-LN(2)/25)*EB138+(1-EXP(-LN(2)/25))/(LN(2)/25)*Calculateur!DW139*Calculateur!DY139*VLOOKUP('Données projet'!$B$14,Paramètres!$A$1:$I$89,3,0)*0.475*44/12</f>
        <v>24.009439377652686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102.24735624052934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15.815279999999984</v>
      </c>
      <c r="D140" s="11">
        <f t="shared" si="140"/>
        <v>5.2851388401093589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32.576085226835474</v>
      </c>
      <c r="H140" s="67">
        <f t="shared" si="110"/>
        <v>293.41656281319047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-5.3205440053716299E-14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189.8770435341392</v>
      </c>
      <c r="T140" s="59">
        <f t="shared" si="142"/>
        <v>230.18380961122767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23.891002071610384</v>
      </c>
      <c r="AA140" s="21">
        <f>EXP(-LN(2)/25)*AA139+(1-EXP(-LN(2)/25))/(LN(2)/25)*Calculateur!V140*Calculateur!X140*VLOOKUP('Données projet'!$B$9,Paramètres!$A$1:$I$89,3,0)*0.475*44/12</f>
        <v>7.3634454268333371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31.254447498443721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-3.4106051316484809E-13</v>
      </c>
      <c r="AJ140" s="13">
        <f>AI140*VLOOKUP('Données projet'!$B$10,Paramètres!$A$1:$I$89,3,0)*VLOOKUP('Données projet'!$B$10,Paramètres!$A$1:$I$89,5,0)</f>
        <v>-1.5074874681886286E-13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207.77463758757142</v>
      </c>
      <c r="AO140" s="59">
        <f t="shared" si="144"/>
        <v>180.50802165484066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33.834732266743657</v>
      </c>
      <c r="AV140" s="21">
        <f>EXP(-LN(2)/25)*AV139+(1-EXP(-LN(2)/25))/(LN(2)/25)*Calculateur!AQ140*Calculateur!AS140*VLOOKUP('Données projet'!$B$10,Paramètres!$A$1:$I$89,3,0)*0.475*44/12</f>
        <v>11.29425605385344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45.128988320597095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-2.2737367544323206E-13</v>
      </c>
      <c r="BE140" s="13">
        <f>BD140*VLOOKUP('Données projet'!$B$11,Paramètres!$A$1:$I$89,3,0)*VLOOKUP('Données projet'!$B$11,Paramètres!$A$1:$I$89,5,0)</f>
        <v>-1.3596945791505279E-13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393.01180019332998</v>
      </c>
      <c r="BJ140" s="59">
        <f t="shared" si="146"/>
        <v>283.82782416294748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76.703719033612941</v>
      </c>
      <c r="BQ140" s="21">
        <f>EXP(-LN(2)/25)*BQ139+(1-EXP(-LN(2)/25))/(LN(2)/25)*Calculateur!BL140*Calculateur!BN140*VLOOKUP('Données projet'!$B$11,Paramètres!$A$1:$I$89,3,0)*0.475*44/12</f>
        <v>23.35289999526923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100.05661902888217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-2.2737367544323206E-13</v>
      </c>
      <c r="BZ140" s="13">
        <f>BY140*VLOOKUP('Données projet'!$B$12,Paramètres!$A$1:$I$89,3,0)*VLOOKUP('Données projet'!$B$12,Paramètres!$A$1:$I$89,5,0)</f>
        <v>-1.3596945791505279E-13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393.01180019332998</v>
      </c>
      <c r="CE140" s="59">
        <f t="shared" si="148"/>
        <v>283.82782416294748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76.703719033612941</v>
      </c>
      <c r="CL140" s="21">
        <f>EXP(-LN(2)/25)*CL139+(1-EXP(-LN(2)/25))/(LN(2)/25)*Calculateur!CG140*Calculateur!CI140*VLOOKUP('Données projet'!$B$12,Paramètres!$A$1:$I$89,3,0)*0.475*44/12</f>
        <v>23.35289999526923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100.05661902888217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-2.2737367544323206E-13</v>
      </c>
      <c r="CU140" s="17">
        <f>CT140*VLOOKUP('Données projet'!$B$13,Paramètres!$A$1:$I$89,3,0)*VLOOKUP('Données projet'!$B$13,Paramètres!$A$1:$I$89,5,0)</f>
        <v>-1.3596945791505279E-13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393.01180019332998</v>
      </c>
      <c r="CZ140" s="59">
        <f t="shared" si="150"/>
        <v>283.82782416294748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76.703719033612941</v>
      </c>
      <c r="DG140" s="21">
        <f>EXP(-LN(2)/25)*DG139+(1-EXP(-LN(2)/25))/(LN(2)/25)*Calculateur!DB140*Calculateur!DD140*VLOOKUP('Données projet'!$B$13,Paramètres!$A$1:$I$89,3,0)*0.475*44/12</f>
        <v>23.35289999526923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100.05661902888217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-2.2737367544323206E-13</v>
      </c>
      <c r="DP140" s="17">
        <f>DO140*VLOOKUP('Données projet'!$B$14,Paramètres!$A$1:$I$89,3,0)*VLOOKUP('Données projet'!$B$14,Paramètres!$A$1:$I$89,5,0)</f>
        <v>-1.3596945791505279E-13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393.01180019332998</v>
      </c>
      <c r="DU140" s="59">
        <f t="shared" si="152"/>
        <v>283.82782416294748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76.703719033612941</v>
      </c>
      <c r="EB140" s="21">
        <f>EXP(-LN(2)/25)*EB139+(1-EXP(-LN(2)/25))/(LN(2)/25)*Calculateur!DW140*Calculateur!DY140*VLOOKUP('Données projet'!$B$14,Paramètres!$A$1:$I$89,3,0)*0.475*44/12</f>
        <v>23.35289999526923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100.05661902888217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15.930719999999983</v>
      </c>
      <c r="D141" s="11">
        <f t="shared" si="140"/>
        <v>5.3192116150816249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32.806911967143542</v>
      </c>
      <c r="H141" s="67">
        <f t="shared" si="110"/>
        <v>293.67696422960046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-5.3205440053716299E-14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189.8770435341392</v>
      </c>
      <c r="T141" s="59">
        <f t="shared" si="142"/>
        <v>230.18380961122767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23.422514093058496</v>
      </c>
      <c r="AA141" s="21">
        <f>EXP(-LN(2)/25)*AA140+(1-EXP(-LN(2)/25))/(LN(2)/25)*Calculateur!V141*Calculateur!X141*VLOOKUP('Données projet'!$B$9,Paramètres!$A$1:$I$89,3,0)*0.475*44/12</f>
        <v>7.1620916244098138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30.58460571746831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-3.4106051316484809E-13</v>
      </c>
      <c r="AJ141" s="13">
        <f>AI141*VLOOKUP('Données projet'!$B$10,Paramètres!$A$1:$I$89,3,0)*VLOOKUP('Données projet'!$B$10,Paramètres!$A$1:$I$89,5,0)</f>
        <v>-1.5074874681886286E-13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207.77463758757142</v>
      </c>
      <c r="AO141" s="59">
        <f t="shared" si="144"/>
        <v>180.50802165484066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33.171253804141749</v>
      </c>
      <c r="AV141" s="21">
        <f>EXP(-LN(2)/25)*AV140+(1-EXP(-LN(2)/25))/(LN(2)/25)*Calculateur!AQ141*Calculateur!AS141*VLOOKUP('Données projet'!$B$10,Paramètres!$A$1:$I$89,3,0)*0.475*44/12</f>
        <v>10.985414028121705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44.156667832263452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-2.2737367544323206E-13</v>
      </c>
      <c r="BE141" s="13">
        <f>BD141*VLOOKUP('Données projet'!$B$11,Paramètres!$A$1:$I$89,3,0)*VLOOKUP('Données projet'!$B$11,Paramètres!$A$1:$I$89,5,0)</f>
        <v>-1.3596945791505279E-13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393.01180019332998</v>
      </c>
      <c r="BJ141" s="59">
        <f t="shared" si="146"/>
        <v>283.82782416294748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75.199605888012798</v>
      </c>
      <c r="BQ141" s="21">
        <f>EXP(-LN(2)/25)*BQ140+(1-EXP(-LN(2)/25))/(LN(2)/25)*Calculateur!BL141*Calculateur!BN141*VLOOKUP('Données projet'!$B$11,Paramètres!$A$1:$I$89,3,0)*0.475*44/12</f>
        <v>22.714313716822957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97.913919604835755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-2.2737367544323206E-13</v>
      </c>
      <c r="BZ141" s="13">
        <f>BY141*VLOOKUP('Données projet'!$B$12,Paramètres!$A$1:$I$89,3,0)*VLOOKUP('Données projet'!$B$12,Paramètres!$A$1:$I$89,5,0)</f>
        <v>-1.3596945791505279E-13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393.01180019332998</v>
      </c>
      <c r="CE141" s="59">
        <f t="shared" si="148"/>
        <v>283.82782416294748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75.199605888012798</v>
      </c>
      <c r="CL141" s="21">
        <f>EXP(-LN(2)/25)*CL140+(1-EXP(-LN(2)/25))/(LN(2)/25)*Calculateur!CG141*Calculateur!CI141*VLOOKUP('Données projet'!$B$12,Paramètres!$A$1:$I$89,3,0)*0.475*44/12</f>
        <v>22.714313716822957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97.913919604835755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-2.2737367544323206E-13</v>
      </c>
      <c r="CU141" s="17">
        <f>CT141*VLOOKUP('Données projet'!$B$13,Paramètres!$A$1:$I$89,3,0)*VLOOKUP('Données projet'!$B$13,Paramètres!$A$1:$I$89,5,0)</f>
        <v>-1.3596945791505279E-13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393.01180019332998</v>
      </c>
      <c r="CZ141" s="59">
        <f t="shared" si="150"/>
        <v>283.82782416294748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75.199605888012798</v>
      </c>
      <c r="DG141" s="21">
        <f>EXP(-LN(2)/25)*DG140+(1-EXP(-LN(2)/25))/(LN(2)/25)*Calculateur!DB141*Calculateur!DD141*VLOOKUP('Données projet'!$B$13,Paramètres!$A$1:$I$89,3,0)*0.475*44/12</f>
        <v>22.714313716822957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97.913919604835755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-2.2737367544323206E-13</v>
      </c>
      <c r="DP141" s="17">
        <f>DO141*VLOOKUP('Données projet'!$B$14,Paramètres!$A$1:$I$89,3,0)*VLOOKUP('Données projet'!$B$14,Paramètres!$A$1:$I$89,5,0)</f>
        <v>-1.3596945791505279E-13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393.01180019332998</v>
      </c>
      <c r="DU141" s="59">
        <f t="shared" si="152"/>
        <v>283.82782416294748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75.199605888012798</v>
      </c>
      <c r="EB141" s="21">
        <f>EXP(-LN(2)/25)*EB140+(1-EXP(-LN(2)/25))/(LN(2)/25)*Calculateur!DW141*Calculateur!DY141*VLOOKUP('Données projet'!$B$14,Paramètres!$A$1:$I$89,3,0)*0.475*44/12</f>
        <v>22.714313716822957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97.913919604835755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16.046159999999983</v>
      </c>
      <c r="D142" s="11">
        <f t="shared" si="140"/>
        <v>5.353255662260203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33.037694355770114</v>
      </c>
      <c r="H142" s="67">
        <f t="shared" si="110"/>
        <v>293.93731561176986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-5.3205440053716299E-14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189.8770435341392</v>
      </c>
      <c r="T142" s="59">
        <f t="shared" si="142"/>
        <v>230.18380961122767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22.963212878016559</v>
      </c>
      <c r="AA142" s="21">
        <f>EXP(-LN(2)/25)*AA141+(1-EXP(-LN(2)/25))/(LN(2)/25)*Calculateur!V142*Calculateur!X142*VLOOKUP('Données projet'!$B$9,Paramètres!$A$1:$I$89,3,0)*0.475*44/12</f>
        <v>6.9662438523022985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29.929456730318858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-3.4106051316484809E-13</v>
      </c>
      <c r="AJ142" s="13">
        <f>AI142*VLOOKUP('Données projet'!$B$10,Paramètres!$A$1:$I$89,3,0)*VLOOKUP('Données projet'!$B$10,Paramètres!$A$1:$I$89,5,0)</f>
        <v>-1.5074874681886286E-13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207.77463758757142</v>
      </c>
      <c r="AO142" s="59">
        <f t="shared" si="144"/>
        <v>180.50802165484066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32.520785749509557</v>
      </c>
      <c r="AV142" s="21">
        <f>EXP(-LN(2)/25)*AV141+(1-EXP(-LN(2)/25))/(LN(2)/25)*Calculateur!AQ142*Calculateur!AS142*VLOOKUP('Données projet'!$B$10,Paramètres!$A$1:$I$89,3,0)*0.475*44/12</f>
        <v>10.6850173038249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43.205803053334456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-2.2737367544323206E-13</v>
      </c>
      <c r="BE142" s="13">
        <f>BD142*VLOOKUP('Données projet'!$B$11,Paramètres!$A$1:$I$89,3,0)*VLOOKUP('Données projet'!$B$11,Paramètres!$A$1:$I$89,5,0)</f>
        <v>-1.3596945791505279E-13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393.01180019332998</v>
      </c>
      <c r="BJ142" s="59">
        <f t="shared" si="146"/>
        <v>283.82782416294748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73.724987483779444</v>
      </c>
      <c r="BQ142" s="21">
        <f>EXP(-LN(2)/25)*BQ141+(1-EXP(-LN(2)/25))/(LN(2)/25)*Calculateur!BL142*Calculateur!BN142*VLOOKUP('Données projet'!$B$11,Paramètres!$A$1:$I$89,3,0)*0.475*44/12</f>
        <v>22.093189613742588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95.818177097522039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-2.2737367544323206E-13</v>
      </c>
      <c r="BZ142" s="13">
        <f>BY142*VLOOKUP('Données projet'!$B$12,Paramètres!$A$1:$I$89,3,0)*VLOOKUP('Données projet'!$B$12,Paramètres!$A$1:$I$89,5,0)</f>
        <v>-1.3596945791505279E-13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393.01180019332998</v>
      </c>
      <c r="CE142" s="59">
        <f t="shared" si="148"/>
        <v>283.82782416294748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73.724987483779444</v>
      </c>
      <c r="CL142" s="21">
        <f>EXP(-LN(2)/25)*CL141+(1-EXP(-LN(2)/25))/(LN(2)/25)*Calculateur!CG142*Calculateur!CI142*VLOOKUP('Données projet'!$B$12,Paramètres!$A$1:$I$89,3,0)*0.475*44/12</f>
        <v>22.093189613742588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95.818177097522039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-2.2737367544323206E-13</v>
      </c>
      <c r="CU142" s="17">
        <f>CT142*VLOOKUP('Données projet'!$B$13,Paramètres!$A$1:$I$89,3,0)*VLOOKUP('Données projet'!$B$13,Paramètres!$A$1:$I$89,5,0)</f>
        <v>-1.3596945791505279E-13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393.01180019332998</v>
      </c>
      <c r="CZ142" s="59">
        <f t="shared" si="150"/>
        <v>283.82782416294748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73.724987483779444</v>
      </c>
      <c r="DG142" s="21">
        <f>EXP(-LN(2)/25)*DG141+(1-EXP(-LN(2)/25))/(LN(2)/25)*Calculateur!DB142*Calculateur!DD142*VLOOKUP('Données projet'!$B$13,Paramètres!$A$1:$I$89,3,0)*0.475*44/12</f>
        <v>22.093189613742588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95.818177097522039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-2.2737367544323206E-13</v>
      </c>
      <c r="DP142" s="17">
        <f>DO142*VLOOKUP('Données projet'!$B$14,Paramètres!$A$1:$I$89,3,0)*VLOOKUP('Données projet'!$B$14,Paramètres!$A$1:$I$89,5,0)</f>
        <v>-1.3596945791505279E-13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393.01180019332998</v>
      </c>
      <c r="DU142" s="59">
        <f t="shared" si="152"/>
        <v>283.82782416294748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73.724987483779444</v>
      </c>
      <c r="EB142" s="21">
        <f>EXP(-LN(2)/25)*EB141+(1-EXP(-LN(2)/25))/(LN(2)/25)*Calculateur!DW142*Calculateur!DY142*VLOOKUP('Données projet'!$B$14,Paramètres!$A$1:$I$89,3,0)*0.475*44/12</f>
        <v>22.093189613742588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95.818177097522039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16.161599999999982</v>
      </c>
      <c r="D143" s="11">
        <f t="shared" si="140"/>
        <v>5.387271212284217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33.268432748789643</v>
      </c>
      <c r="H143" s="67">
        <f t="shared" si="110"/>
        <v>294.19761736139498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-5.3205440053716299E-14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189.8770435341392</v>
      </c>
      <c r="T143" s="59">
        <f t="shared" si="142"/>
        <v>230.18380961122767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22.512918279655516</v>
      </c>
      <c r="AA143" s="21">
        <f>EXP(-LN(2)/25)*AA142+(1-EXP(-LN(2)/25))/(LN(2)/25)*Calculateur!V143*Calculateur!X143*VLOOKUP('Données projet'!$B$9,Paramètres!$A$1:$I$89,3,0)*0.475*44/12</f>
        <v>6.7757515478222494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29.288669827477765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-3.4106051316484809E-13</v>
      </c>
      <c r="AJ143" s="13">
        <f>AI143*VLOOKUP('Données projet'!$B$10,Paramètres!$A$1:$I$89,3,0)*VLOOKUP('Données projet'!$B$10,Paramètres!$A$1:$I$89,5,0)</f>
        <v>-1.5074874681886286E-13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207.77463758757142</v>
      </c>
      <c r="AO143" s="59">
        <f t="shared" si="144"/>
        <v>180.50802165484066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31.883072976682367</v>
      </c>
      <c r="AV143" s="21">
        <f>EXP(-LN(2)/25)*AV142+(1-EXP(-LN(2)/25))/(LN(2)/25)*Calculateur!AQ143*Calculateur!AS143*VLOOKUP('Données projet'!$B$10,Paramètres!$A$1:$I$89,3,0)*0.475*44/12</f>
        <v>10.392834943751168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42.275907920433539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-2.2737367544323206E-13</v>
      </c>
      <c r="BE143" s="13">
        <f>BD143*VLOOKUP('Données projet'!$B$11,Paramètres!$A$1:$I$89,3,0)*VLOOKUP('Données projet'!$B$11,Paramètres!$A$1:$I$89,5,0)</f>
        <v>-1.3596945791505279E-13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393.01180019332998</v>
      </c>
      <c r="BJ143" s="59">
        <f t="shared" si="146"/>
        <v>283.82782416294748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72.279285447024691</v>
      </c>
      <c r="BQ143" s="21">
        <f>EXP(-LN(2)/25)*BQ142+(1-EXP(-LN(2)/25))/(LN(2)/25)*Calculateur!BL143*Calculateur!BN143*VLOOKUP('Données projet'!$B$11,Paramètres!$A$1:$I$89,3,0)*0.475*44/12</f>
        <v>21.489050181924451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93.768335628949146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-2.2737367544323206E-13</v>
      </c>
      <c r="BZ143" s="13">
        <f>BY143*VLOOKUP('Données projet'!$B$12,Paramètres!$A$1:$I$89,3,0)*VLOOKUP('Données projet'!$B$12,Paramètres!$A$1:$I$89,5,0)</f>
        <v>-1.3596945791505279E-13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393.01180019332998</v>
      </c>
      <c r="CE143" s="59">
        <f t="shared" si="148"/>
        <v>283.82782416294748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72.279285447024691</v>
      </c>
      <c r="CL143" s="21">
        <f>EXP(-LN(2)/25)*CL142+(1-EXP(-LN(2)/25))/(LN(2)/25)*Calculateur!CG143*Calculateur!CI143*VLOOKUP('Données projet'!$B$12,Paramètres!$A$1:$I$89,3,0)*0.475*44/12</f>
        <v>21.489050181924451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93.768335628949146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-2.2737367544323206E-13</v>
      </c>
      <c r="CU143" s="17">
        <f>CT143*VLOOKUP('Données projet'!$B$13,Paramètres!$A$1:$I$89,3,0)*VLOOKUP('Données projet'!$B$13,Paramètres!$A$1:$I$89,5,0)</f>
        <v>-1.3596945791505279E-13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393.01180019332998</v>
      </c>
      <c r="CZ143" s="59">
        <f t="shared" si="150"/>
        <v>283.82782416294748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72.279285447024691</v>
      </c>
      <c r="DG143" s="21">
        <f>EXP(-LN(2)/25)*DG142+(1-EXP(-LN(2)/25))/(LN(2)/25)*Calculateur!DB143*Calculateur!DD143*VLOOKUP('Données projet'!$B$13,Paramètres!$A$1:$I$89,3,0)*0.475*44/12</f>
        <v>21.489050181924451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93.768335628949146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-2.2737367544323206E-13</v>
      </c>
      <c r="DP143" s="17">
        <f>DO143*VLOOKUP('Données projet'!$B$14,Paramètres!$A$1:$I$89,3,0)*VLOOKUP('Données projet'!$B$14,Paramètres!$A$1:$I$89,5,0)</f>
        <v>-1.3596945791505279E-13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393.01180019332998</v>
      </c>
      <c r="DU143" s="59">
        <f t="shared" si="152"/>
        <v>283.82782416294748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72.279285447024691</v>
      </c>
      <c r="EB143" s="21">
        <f>EXP(-LN(2)/25)*EB142+(1-EXP(-LN(2)/25))/(LN(2)/25)*Calculateur!DW143*Calculateur!DY143*VLOOKUP('Données projet'!$B$14,Paramètres!$A$1:$I$89,3,0)*0.475*44/12</f>
        <v>21.489050181924451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93.768335628949146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16.277039999999982</v>
      </c>
      <c r="D144" s="11">
        <f t="shared" si="140"/>
        <v>5.4212584923075555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33.499127496895852</v>
      </c>
      <c r="H144" s="67">
        <f t="shared" si="110"/>
        <v>294.4578698741023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-5.3205440053716299E-14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189.8770435341392</v>
      </c>
      <c r="T144" s="59">
        <f t="shared" si="142"/>
        <v>230.18380961122767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22.071453683715745</v>
      </c>
      <c r="AA144" s="21">
        <f>EXP(-LN(2)/25)*AA143+(1-EXP(-LN(2)/25))/(LN(2)/25)*Calculateur!V144*Calculateur!X144*VLOOKUP('Données projet'!$B$9,Paramètres!$A$1:$I$89,3,0)*0.475*44/12</f>
        <v>6.5904682654257627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28.661921949141508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-3.4106051316484809E-13</v>
      </c>
      <c r="AJ144" s="13">
        <f>AI144*VLOOKUP('Données projet'!$B$10,Paramètres!$A$1:$I$89,3,0)*VLOOKUP('Données projet'!$B$10,Paramètres!$A$1:$I$89,5,0)</f>
        <v>-1.5074874681886286E-13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207.77463758757142</v>
      </c>
      <c r="AO144" s="59">
        <f t="shared" si="144"/>
        <v>180.50802165484066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31.257865362363933</v>
      </c>
      <c r="AV144" s="21">
        <f>EXP(-LN(2)/25)*AV143+(1-EXP(-LN(2)/25))/(LN(2)/25)*Calculateur!AQ144*Calculateur!AS144*VLOOKUP('Données projet'!$B$10,Paramètres!$A$1:$I$89,3,0)*0.475*44/12</f>
        <v>10.108642325678856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41.366507688042788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-2.2737367544323206E-13</v>
      </c>
      <c r="BE144" s="13">
        <f>BD144*VLOOKUP('Données projet'!$B$11,Paramètres!$A$1:$I$89,3,0)*VLOOKUP('Données projet'!$B$11,Paramètres!$A$1:$I$89,5,0)</f>
        <v>-1.3596945791505279E-13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393.01180019332998</v>
      </c>
      <c r="BJ144" s="59">
        <f t="shared" si="146"/>
        <v>283.82782416294748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70.861932745419523</v>
      </c>
      <c r="BQ144" s="21">
        <f>EXP(-LN(2)/25)*BQ143+(1-EXP(-LN(2)/25))/(LN(2)/25)*Calculateur!BL144*Calculateur!BN144*VLOOKUP('Données projet'!$B$11,Paramètres!$A$1:$I$89,3,0)*0.475*44/12</f>
        <v>20.901430974639691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91.763363720059218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-2.2737367544323206E-13</v>
      </c>
      <c r="BZ144" s="13">
        <f>BY144*VLOOKUP('Données projet'!$B$12,Paramètres!$A$1:$I$89,3,0)*VLOOKUP('Données projet'!$B$12,Paramètres!$A$1:$I$89,5,0)</f>
        <v>-1.3596945791505279E-13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393.01180019332998</v>
      </c>
      <c r="CE144" s="59">
        <f t="shared" si="148"/>
        <v>283.82782416294748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70.861932745419523</v>
      </c>
      <c r="CL144" s="21">
        <f>EXP(-LN(2)/25)*CL143+(1-EXP(-LN(2)/25))/(LN(2)/25)*Calculateur!CG144*Calculateur!CI144*VLOOKUP('Données projet'!$B$12,Paramètres!$A$1:$I$89,3,0)*0.475*44/12</f>
        <v>20.901430974639691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91.763363720059218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-2.2737367544323206E-13</v>
      </c>
      <c r="CU144" s="17">
        <f>CT144*VLOOKUP('Données projet'!$B$13,Paramètres!$A$1:$I$89,3,0)*VLOOKUP('Données projet'!$B$13,Paramètres!$A$1:$I$89,5,0)</f>
        <v>-1.3596945791505279E-13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393.01180019332998</v>
      </c>
      <c r="CZ144" s="59">
        <f t="shared" si="150"/>
        <v>283.82782416294748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70.861932745419523</v>
      </c>
      <c r="DG144" s="21">
        <f>EXP(-LN(2)/25)*DG143+(1-EXP(-LN(2)/25))/(LN(2)/25)*Calculateur!DB144*Calculateur!DD144*VLOOKUP('Données projet'!$B$13,Paramètres!$A$1:$I$89,3,0)*0.475*44/12</f>
        <v>20.901430974639691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91.763363720059218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-2.2737367544323206E-13</v>
      </c>
      <c r="DP144" s="17">
        <f>DO144*VLOOKUP('Données projet'!$B$14,Paramètres!$A$1:$I$89,3,0)*VLOOKUP('Données projet'!$B$14,Paramètres!$A$1:$I$89,5,0)</f>
        <v>-1.3596945791505279E-13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393.01180019332998</v>
      </c>
      <c r="DU144" s="59">
        <f t="shared" si="152"/>
        <v>283.82782416294748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70.861932745419523</v>
      </c>
      <c r="EB144" s="21">
        <f>EXP(-LN(2)/25)*EB143+(1-EXP(-LN(2)/25))/(LN(2)/25)*Calculateur!DW144*Calculateur!DY144*VLOOKUP('Données projet'!$B$14,Paramètres!$A$1:$I$89,3,0)*0.475*44/12</f>
        <v>20.901430974639691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91.763363720059218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16.392479999999981</v>
      </c>
      <c r="D145" s="11">
        <f t="shared" si="140"/>
        <v>5.4552177260758636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33.7297789455206</v>
      </c>
      <c r="H145" s="67">
        <f t="shared" si="110"/>
        <v>294.71807353958212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-5.3205440053716299E-14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189.8770435341392</v>
      </c>
      <c r="T145" s="59">
        <f t="shared" si="142"/>
        <v>230.18380961122767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21.638645939235538</v>
      </c>
      <c r="AA145" s="21">
        <f>EXP(-LN(2)/25)*AA144+(1-EXP(-LN(2)/25))/(LN(2)/25)*Calculateur!V145*Calculateur!X145*VLOOKUP('Données projet'!$B$9,Paramètres!$A$1:$I$89,3,0)*0.475*44/12</f>
        <v>6.4102515641300322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28.04889750336557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-3.4106051316484809E-13</v>
      </c>
      <c r="AJ145" s="13">
        <f>AI145*VLOOKUP('Données projet'!$B$10,Paramètres!$A$1:$I$89,3,0)*VLOOKUP('Données projet'!$B$10,Paramètres!$A$1:$I$89,5,0)</f>
        <v>-1.5074874681886286E-13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207.77463758757142</v>
      </c>
      <c r="AO145" s="59">
        <f t="shared" si="144"/>
        <v>180.50802165484066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30.644917688023295</v>
      </c>
      <c r="AV145" s="21">
        <f>EXP(-LN(2)/25)*AV144+(1-EXP(-LN(2)/25))/(LN(2)/25)*Calculateur!AQ145*Calculateur!AS145*VLOOKUP('Données projet'!$B$10,Paramètres!$A$1:$I$89,3,0)*0.475*44/12</f>
        <v>9.8322209696927718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40.477138657716068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-2.2737367544323206E-13</v>
      </c>
      <c r="BE145" s="13">
        <f>BD145*VLOOKUP('Données projet'!$B$11,Paramètres!$A$1:$I$89,3,0)*VLOOKUP('Données projet'!$B$11,Paramètres!$A$1:$I$89,5,0)</f>
        <v>-1.3596945791505279E-13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393.01180019332998</v>
      </c>
      <c r="BJ145" s="59">
        <f t="shared" si="146"/>
        <v>283.82782416294748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69.472373465793055</v>
      </c>
      <c r="BQ145" s="21">
        <f>EXP(-LN(2)/25)*BQ144+(1-EXP(-LN(2)/25))/(LN(2)/25)*Calculateur!BL145*Calculateur!BN145*VLOOKUP('Données projet'!$B$11,Paramètres!$A$1:$I$89,3,0)*0.475*44/12</f>
        <v>20.329880245479686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89.802253711272741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-2.2737367544323206E-13</v>
      </c>
      <c r="BZ145" s="13">
        <f>BY145*VLOOKUP('Données projet'!$B$12,Paramètres!$A$1:$I$89,3,0)*VLOOKUP('Données projet'!$B$12,Paramètres!$A$1:$I$89,5,0)</f>
        <v>-1.3596945791505279E-13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393.01180019332998</v>
      </c>
      <c r="CE145" s="59">
        <f t="shared" si="148"/>
        <v>283.82782416294748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69.472373465793055</v>
      </c>
      <c r="CL145" s="21">
        <f>EXP(-LN(2)/25)*CL144+(1-EXP(-LN(2)/25))/(LN(2)/25)*Calculateur!CG145*Calculateur!CI145*VLOOKUP('Données projet'!$B$12,Paramètres!$A$1:$I$89,3,0)*0.475*44/12</f>
        <v>20.329880245479686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89.802253711272741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-2.2737367544323206E-13</v>
      </c>
      <c r="CU145" s="17">
        <f>CT145*VLOOKUP('Données projet'!$B$13,Paramètres!$A$1:$I$89,3,0)*VLOOKUP('Données projet'!$B$13,Paramètres!$A$1:$I$89,5,0)</f>
        <v>-1.3596945791505279E-13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393.01180019332998</v>
      </c>
      <c r="CZ145" s="59">
        <f t="shared" si="150"/>
        <v>283.82782416294748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69.472373465793055</v>
      </c>
      <c r="DG145" s="21">
        <f>EXP(-LN(2)/25)*DG144+(1-EXP(-LN(2)/25))/(LN(2)/25)*Calculateur!DB145*Calculateur!DD145*VLOOKUP('Données projet'!$B$13,Paramètres!$A$1:$I$89,3,0)*0.475*44/12</f>
        <v>20.329880245479686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89.802253711272741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-2.2737367544323206E-13</v>
      </c>
      <c r="DP145" s="17">
        <f>DO145*VLOOKUP('Données projet'!$B$14,Paramètres!$A$1:$I$89,3,0)*VLOOKUP('Données projet'!$B$14,Paramètres!$A$1:$I$89,5,0)</f>
        <v>-1.3596945791505279E-13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393.01180019332998</v>
      </c>
      <c r="DU145" s="59">
        <f t="shared" si="152"/>
        <v>283.82782416294748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69.472373465793055</v>
      </c>
      <c r="EB145" s="21">
        <f>EXP(-LN(2)/25)*EB144+(1-EXP(-LN(2)/25))/(LN(2)/25)*Calculateur!DW145*Calculateur!DY145*VLOOKUP('Données projet'!$B$14,Paramètres!$A$1:$I$89,3,0)*0.475*44/12</f>
        <v>20.329880245479686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89.802253711272741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16.507919999999981</v>
      </c>
      <c r="D146" s="11">
        <f t="shared" si="140"/>
        <v>5.4891491340013081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33.960387434949368</v>
      </c>
      <c r="H146" s="67">
        <f t="shared" si="110"/>
        <v>294.97822874171891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-5.3205440053716299E-14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189.8770435341392</v>
      </c>
      <c r="T146" s="59">
        <f t="shared" si="142"/>
        <v>230.18380961122767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21.21432529063793</v>
      </c>
      <c r="AA146" s="21">
        <f>EXP(-LN(2)/25)*AA145+(1-EXP(-LN(2)/25))/(LN(2)/25)*Calculateur!V146*Calculateur!X146*VLOOKUP('Données projet'!$B$9,Paramètres!$A$1:$I$89,3,0)*0.475*44/12</f>
        <v>6.2349628980084173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27.449288188646349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-3.4106051316484809E-13</v>
      </c>
      <c r="AJ146" s="13">
        <f>AI146*VLOOKUP('Données projet'!$B$10,Paramètres!$A$1:$I$89,3,0)*VLOOKUP('Données projet'!$B$10,Paramètres!$A$1:$I$89,5,0)</f>
        <v>-1.5074874681886286E-13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207.77463758757142</v>
      </c>
      <c r="AO146" s="59">
        <f t="shared" si="144"/>
        <v>180.50802165484066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30.043989543715309</v>
      </c>
      <c r="AV146" s="21">
        <f>EXP(-LN(2)/25)*AV145+(1-EXP(-LN(2)/25))/(LN(2)/25)*Calculateur!AQ146*Calculateur!AS146*VLOOKUP('Données projet'!$B$10,Paramètres!$A$1:$I$89,3,0)*0.475*44/12</f>
        <v>9.5633583702224936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39.607347913937801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-2.2737367544323206E-13</v>
      </c>
      <c r="BE146" s="13">
        <f>BD146*VLOOKUP('Données projet'!$B$11,Paramètres!$A$1:$I$89,3,0)*VLOOKUP('Données projet'!$B$11,Paramètres!$A$1:$I$89,5,0)</f>
        <v>-1.3596945791505279E-13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393.01180019332998</v>
      </c>
      <c r="BJ146" s="59">
        <f t="shared" si="146"/>
        <v>283.82782416294748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68.11006259609259</v>
      </c>
      <c r="BQ146" s="21">
        <f>EXP(-LN(2)/25)*BQ145+(1-EXP(-LN(2)/25))/(LN(2)/25)*Calculateur!BL146*Calculateur!BN146*VLOOKUP('Données projet'!$B$11,Paramètres!$A$1:$I$89,3,0)*0.475*44/12</f>
        <v>19.773958601065107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87.884021197157693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-2.2737367544323206E-13</v>
      </c>
      <c r="BZ146" s="13">
        <f>BY146*VLOOKUP('Données projet'!$B$12,Paramètres!$A$1:$I$89,3,0)*VLOOKUP('Données projet'!$B$12,Paramètres!$A$1:$I$89,5,0)</f>
        <v>-1.3596945791505279E-13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393.01180019332998</v>
      </c>
      <c r="CE146" s="59">
        <f t="shared" si="148"/>
        <v>283.82782416294748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68.11006259609259</v>
      </c>
      <c r="CL146" s="21">
        <f>EXP(-LN(2)/25)*CL145+(1-EXP(-LN(2)/25))/(LN(2)/25)*Calculateur!CG146*Calculateur!CI146*VLOOKUP('Données projet'!$B$12,Paramètres!$A$1:$I$89,3,0)*0.475*44/12</f>
        <v>19.773958601065107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87.884021197157693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-2.2737367544323206E-13</v>
      </c>
      <c r="CU146" s="17">
        <f>CT146*VLOOKUP('Données projet'!$B$13,Paramètres!$A$1:$I$89,3,0)*VLOOKUP('Données projet'!$B$13,Paramètres!$A$1:$I$89,5,0)</f>
        <v>-1.3596945791505279E-13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393.01180019332998</v>
      </c>
      <c r="CZ146" s="59">
        <f t="shared" si="150"/>
        <v>283.82782416294748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68.11006259609259</v>
      </c>
      <c r="DG146" s="21">
        <f>EXP(-LN(2)/25)*DG145+(1-EXP(-LN(2)/25))/(LN(2)/25)*Calculateur!DB146*Calculateur!DD146*VLOOKUP('Données projet'!$B$13,Paramètres!$A$1:$I$89,3,0)*0.475*44/12</f>
        <v>19.773958601065107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87.884021197157693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-2.2737367544323206E-13</v>
      </c>
      <c r="DP146" s="17">
        <f>DO146*VLOOKUP('Données projet'!$B$14,Paramètres!$A$1:$I$89,3,0)*VLOOKUP('Données projet'!$B$14,Paramètres!$A$1:$I$89,5,0)</f>
        <v>-1.3596945791505279E-13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393.01180019332998</v>
      </c>
      <c r="DU146" s="59">
        <f t="shared" si="152"/>
        <v>283.82782416294748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68.11006259609259</v>
      </c>
      <c r="EB146" s="21">
        <f>EXP(-LN(2)/25)*EB145+(1-EXP(-LN(2)/25))/(LN(2)/25)*Calculateur!DW146*Calculateur!DY146*VLOOKUP('Données projet'!$B$14,Paramètres!$A$1:$I$89,3,0)*0.475*44/12</f>
        <v>19.773958601065107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87.884021197157693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16.62335999999998</v>
      </c>
      <c r="D147" s="11">
        <f t="shared" si="140"/>
        <v>5.5230529332352187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34.190953300433293</v>
      </c>
      <c r="H147" s="67">
        <f t="shared" si="110"/>
        <v>295.23833585871796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-5.3205440053716299E-14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189.8770435341392</v>
      </c>
      <c r="T147" s="59">
        <f t="shared" si="142"/>
        <v>230.18380961122767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20.798325311149281</v>
      </c>
      <c r="AA147" s="21">
        <f>EXP(-LN(2)/25)*AA146+(1-EXP(-LN(2)/25))/(LN(2)/25)*Calculateur!V147*Calculateur!X147*VLOOKUP('Données projet'!$B$9,Paramètres!$A$1:$I$89,3,0)*0.475*44/12</f>
        <v>6.0644675096799281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26.86279282082921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-3.4106051316484809E-13</v>
      </c>
      <c r="AJ147" s="13">
        <f>AI147*VLOOKUP('Données projet'!$B$10,Paramètres!$A$1:$I$89,3,0)*VLOOKUP('Données projet'!$B$10,Paramètres!$A$1:$I$89,5,0)</f>
        <v>-1.5074874681886286E-13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207.77463758757142</v>
      </c>
      <c r="AO147" s="59">
        <f t="shared" si="144"/>
        <v>180.50802165484066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29.454845233787228</v>
      </c>
      <c r="AV147" s="21">
        <f>EXP(-LN(2)/25)*AV146+(1-EXP(-LN(2)/25))/(LN(2)/25)*Calculateur!AQ147*Calculateur!AS147*VLOOKUP('Données projet'!$B$10,Paramètres!$A$1:$I$89,3,0)*0.475*44/12</f>
        <v>9.3018478326735998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38.756693066460826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-2.2737367544323206E-13</v>
      </c>
      <c r="BE147" s="13">
        <f>BD147*VLOOKUP('Données projet'!$B$11,Paramètres!$A$1:$I$89,3,0)*VLOOKUP('Données projet'!$B$11,Paramètres!$A$1:$I$89,5,0)</f>
        <v>-1.3596945791505279E-13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393.01180019332998</v>
      </c>
      <c r="BJ147" s="59">
        <f t="shared" si="146"/>
        <v>283.82782416294748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66.774465811619365</v>
      </c>
      <c r="BQ147" s="21">
        <f>EXP(-LN(2)/25)*BQ146+(1-EXP(-LN(2)/25))/(LN(2)/25)*Calculateur!BL147*Calculateur!BN147*VLOOKUP('Données projet'!$B$11,Paramètres!$A$1:$I$89,3,0)*0.475*44/12</f>
        <v>19.233238663251694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86.007704474871062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-2.2737367544323206E-13</v>
      </c>
      <c r="BZ147" s="13">
        <f>BY147*VLOOKUP('Données projet'!$B$12,Paramètres!$A$1:$I$89,3,0)*VLOOKUP('Données projet'!$B$12,Paramètres!$A$1:$I$89,5,0)</f>
        <v>-1.3596945791505279E-13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393.01180019332998</v>
      </c>
      <c r="CE147" s="59">
        <f t="shared" si="148"/>
        <v>283.82782416294748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66.774465811619365</v>
      </c>
      <c r="CL147" s="21">
        <f>EXP(-LN(2)/25)*CL146+(1-EXP(-LN(2)/25))/(LN(2)/25)*Calculateur!CG147*Calculateur!CI147*VLOOKUP('Données projet'!$B$12,Paramètres!$A$1:$I$89,3,0)*0.475*44/12</f>
        <v>19.233238663251694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86.007704474871062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-2.2737367544323206E-13</v>
      </c>
      <c r="CU147" s="17">
        <f>CT147*VLOOKUP('Données projet'!$B$13,Paramètres!$A$1:$I$89,3,0)*VLOOKUP('Données projet'!$B$13,Paramètres!$A$1:$I$89,5,0)</f>
        <v>-1.3596945791505279E-13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393.01180019332998</v>
      </c>
      <c r="CZ147" s="59">
        <f t="shared" si="150"/>
        <v>283.82782416294748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66.774465811619365</v>
      </c>
      <c r="DG147" s="21">
        <f>EXP(-LN(2)/25)*DG146+(1-EXP(-LN(2)/25))/(LN(2)/25)*Calculateur!DB147*Calculateur!DD147*VLOOKUP('Données projet'!$B$13,Paramètres!$A$1:$I$89,3,0)*0.475*44/12</f>
        <v>19.233238663251694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86.007704474871062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-2.2737367544323206E-13</v>
      </c>
      <c r="DP147" s="17">
        <f>DO147*VLOOKUP('Données projet'!$B$14,Paramètres!$A$1:$I$89,3,0)*VLOOKUP('Données projet'!$B$14,Paramètres!$A$1:$I$89,5,0)</f>
        <v>-1.3596945791505279E-13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393.01180019332998</v>
      </c>
      <c r="DU147" s="59">
        <f t="shared" si="152"/>
        <v>283.82782416294748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66.774465811619365</v>
      </c>
      <c r="EB147" s="21">
        <f>EXP(-LN(2)/25)*EB146+(1-EXP(-LN(2)/25))/(LN(2)/25)*Calculateur!DW147*Calculateur!DY147*VLOOKUP('Données projet'!$B$14,Paramètres!$A$1:$I$89,3,0)*0.475*44/12</f>
        <v>19.233238663251694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86.007704474871062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16.73879999999998</v>
      </c>
      <c r="D148" s="11">
        <f t="shared" si="140"/>
        <v>5.5569293377386071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34.421476872298172</v>
      </c>
      <c r="H148" s="67">
        <f t="shared" si="110"/>
        <v>295.49839526322808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-5.3205440053716299E-14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189.8770435341392</v>
      </c>
      <c r="T148" s="59">
        <f t="shared" si="142"/>
        <v>230.18380961122767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20.390482837523471</v>
      </c>
      <c r="AA148" s="21">
        <f>EXP(-LN(2)/25)*AA147+(1-EXP(-LN(2)/25))/(LN(2)/25)*Calculateur!V148*Calculateur!X148*VLOOKUP('Données projet'!$B$9,Paramètres!$A$1:$I$89,3,0)*0.475*44/12</f>
        <v>5.8986343267112442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26.289117164234717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-3.4106051316484809E-13</v>
      </c>
      <c r="AJ148" s="13">
        <f>AI148*VLOOKUP('Données projet'!$B$10,Paramètres!$A$1:$I$89,3,0)*VLOOKUP('Données projet'!$B$10,Paramètres!$A$1:$I$89,5,0)</f>
        <v>-1.5074874681886286E-13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207.77463758757142</v>
      </c>
      <c r="AO148" s="59">
        <f t="shared" si="144"/>
        <v>180.50802165484066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28.87725368443429</v>
      </c>
      <c r="AV148" s="21">
        <f>EXP(-LN(2)/25)*AV147+(1-EXP(-LN(2)/25))/(LN(2)/25)*Calculateur!AQ148*Calculateur!AS148*VLOOKUP('Données projet'!$B$10,Paramètres!$A$1:$I$89,3,0)*0.475*44/12</f>
        <v>9.0474883145262233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37.924741998960513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-2.2737367544323206E-13</v>
      </c>
      <c r="BE148" s="13">
        <f>BD148*VLOOKUP('Données projet'!$B$11,Paramètres!$A$1:$I$89,3,0)*VLOOKUP('Données projet'!$B$11,Paramètres!$A$1:$I$89,5,0)</f>
        <v>-1.3596945791505279E-13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393.01180019332998</v>
      </c>
      <c r="BJ148" s="59">
        <f t="shared" si="146"/>
        <v>283.82782416294748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65.465059265456063</v>
      </c>
      <c r="BQ148" s="21">
        <f>EXP(-LN(2)/25)*BQ147+(1-EXP(-LN(2)/25))/(LN(2)/25)*Calculateur!BL148*Calculateur!BN148*VLOOKUP('Données projet'!$B$11,Paramètres!$A$1:$I$89,3,0)*0.475*44/12</f>
        <v>18.707304740573012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84.172364006029071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-2.2737367544323206E-13</v>
      </c>
      <c r="BZ148" s="13">
        <f>BY148*VLOOKUP('Données projet'!$B$12,Paramètres!$A$1:$I$89,3,0)*VLOOKUP('Données projet'!$B$12,Paramètres!$A$1:$I$89,5,0)</f>
        <v>-1.3596945791505279E-13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393.01180019332998</v>
      </c>
      <c r="CE148" s="59">
        <f t="shared" si="148"/>
        <v>283.82782416294748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65.465059265456063</v>
      </c>
      <c r="CL148" s="21">
        <f>EXP(-LN(2)/25)*CL147+(1-EXP(-LN(2)/25))/(LN(2)/25)*Calculateur!CG148*Calculateur!CI148*VLOOKUP('Données projet'!$B$12,Paramètres!$A$1:$I$89,3,0)*0.475*44/12</f>
        <v>18.707304740573012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84.172364006029071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-2.2737367544323206E-13</v>
      </c>
      <c r="CU148" s="17">
        <f>CT148*VLOOKUP('Données projet'!$B$13,Paramètres!$A$1:$I$89,3,0)*VLOOKUP('Données projet'!$B$13,Paramètres!$A$1:$I$89,5,0)</f>
        <v>-1.3596945791505279E-13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393.01180019332998</v>
      </c>
      <c r="CZ148" s="59">
        <f t="shared" si="150"/>
        <v>283.82782416294748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65.465059265456063</v>
      </c>
      <c r="DG148" s="21">
        <f>EXP(-LN(2)/25)*DG147+(1-EXP(-LN(2)/25))/(LN(2)/25)*Calculateur!DB148*Calculateur!DD148*VLOOKUP('Données projet'!$B$13,Paramètres!$A$1:$I$89,3,0)*0.475*44/12</f>
        <v>18.707304740573012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84.172364006029071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-2.2737367544323206E-13</v>
      </c>
      <c r="DP148" s="17">
        <f>DO148*VLOOKUP('Données projet'!$B$14,Paramètres!$A$1:$I$89,3,0)*VLOOKUP('Données projet'!$B$14,Paramètres!$A$1:$I$89,5,0)</f>
        <v>-1.3596945791505279E-13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393.01180019332998</v>
      </c>
      <c r="DU148" s="59">
        <f t="shared" si="152"/>
        <v>283.82782416294748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65.465059265456063</v>
      </c>
      <c r="EB148" s="21">
        <f>EXP(-LN(2)/25)*EB147+(1-EXP(-LN(2)/25))/(LN(2)/25)*Calculateur!DW148*Calculateur!DY148*VLOOKUP('Données projet'!$B$14,Paramètres!$A$1:$I$89,3,0)*0.475*44/12</f>
        <v>18.707304740573012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84.172364006029071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16.854239999999979</v>
      </c>
      <c r="D149" s="11">
        <f t="shared" si="140"/>
        <v>5.5907785583507232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34.651958476050211</v>
      </c>
      <c r="H149" s="67">
        <f t="shared" si="110"/>
        <v>295.75840732246081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-5.3205440053716299E-14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189.8770435341392</v>
      </c>
      <c r="T149" s="59">
        <f t="shared" si="142"/>
        <v>230.18380961122767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19.990637906046118</v>
      </c>
      <c r="AA149" s="21">
        <f>EXP(-LN(2)/25)*AA148+(1-EXP(-LN(2)/25))/(LN(2)/25)*Calculateur!V149*Calculateur!X149*VLOOKUP('Données projet'!$B$9,Paramètres!$A$1:$I$89,3,0)*0.475*44/12</f>
        <v>5.7373358608516272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25.727973766897744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-3.4106051316484809E-13</v>
      </c>
      <c r="AJ149" s="13">
        <f>AI149*VLOOKUP('Données projet'!$B$10,Paramètres!$A$1:$I$89,3,0)*VLOOKUP('Données projet'!$B$10,Paramètres!$A$1:$I$89,5,0)</f>
        <v>-1.5074874681886286E-13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207.77463758757142</v>
      </c>
      <c r="AO149" s="59">
        <f t="shared" si="144"/>
        <v>180.50802165484066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28.310988353068105</v>
      </c>
      <c r="AV149" s="21">
        <f>EXP(-LN(2)/25)*AV148+(1-EXP(-LN(2)/25))/(LN(2)/25)*Calculateur!AQ149*Calculateur!AS149*VLOOKUP('Données projet'!$B$10,Paramètres!$A$1:$I$89,3,0)*0.475*44/12</f>
        <v>8.8000842707787719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37.11107262384688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-2.2737367544323206E-13</v>
      </c>
      <c r="BE149" s="13">
        <f>BD149*VLOOKUP('Données projet'!$B$11,Paramètres!$A$1:$I$89,3,0)*VLOOKUP('Données projet'!$B$11,Paramètres!$A$1:$I$89,5,0)</f>
        <v>-1.3596945791505279E-13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393.01180019332998</v>
      </c>
      <c r="BJ149" s="59">
        <f t="shared" si="146"/>
        <v>283.82782416294748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64.181329383003884</v>
      </c>
      <c r="BQ149" s="21">
        <f>EXP(-LN(2)/25)*BQ148+(1-EXP(-LN(2)/25))/(LN(2)/25)*Calculateur!BL149*Calculateur!BN149*VLOOKUP('Données projet'!$B$11,Paramètres!$A$1:$I$89,3,0)*0.475*44/12</f>
        <v>18.195752508667642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82.377081891671523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-2.2737367544323206E-13</v>
      </c>
      <c r="BZ149" s="13">
        <f>BY149*VLOOKUP('Données projet'!$B$12,Paramètres!$A$1:$I$89,3,0)*VLOOKUP('Données projet'!$B$12,Paramètres!$A$1:$I$89,5,0)</f>
        <v>-1.3596945791505279E-13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393.01180019332998</v>
      </c>
      <c r="CE149" s="59">
        <f t="shared" si="148"/>
        <v>283.82782416294748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64.181329383003884</v>
      </c>
      <c r="CL149" s="21">
        <f>EXP(-LN(2)/25)*CL148+(1-EXP(-LN(2)/25))/(LN(2)/25)*Calculateur!CG149*Calculateur!CI149*VLOOKUP('Données projet'!$B$12,Paramètres!$A$1:$I$89,3,0)*0.475*44/12</f>
        <v>18.195752508667642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82.377081891671523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-2.2737367544323206E-13</v>
      </c>
      <c r="CU149" s="17">
        <f>CT149*VLOOKUP('Données projet'!$B$13,Paramètres!$A$1:$I$89,3,0)*VLOOKUP('Données projet'!$B$13,Paramètres!$A$1:$I$89,5,0)</f>
        <v>-1.3596945791505279E-13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393.01180019332998</v>
      </c>
      <c r="CZ149" s="59">
        <f t="shared" si="150"/>
        <v>283.82782416294748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64.181329383003884</v>
      </c>
      <c r="DG149" s="21">
        <f>EXP(-LN(2)/25)*DG148+(1-EXP(-LN(2)/25))/(LN(2)/25)*Calculateur!DB149*Calculateur!DD149*VLOOKUP('Données projet'!$B$13,Paramètres!$A$1:$I$89,3,0)*0.475*44/12</f>
        <v>18.195752508667642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82.377081891671523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-2.2737367544323206E-13</v>
      </c>
      <c r="DP149" s="17">
        <f>DO149*VLOOKUP('Données projet'!$B$14,Paramètres!$A$1:$I$89,3,0)*VLOOKUP('Données projet'!$B$14,Paramètres!$A$1:$I$89,5,0)</f>
        <v>-1.3596945791505279E-13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393.01180019332998</v>
      </c>
      <c r="DU149" s="59">
        <f t="shared" si="152"/>
        <v>283.82782416294748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64.181329383003884</v>
      </c>
      <c r="EB149" s="21">
        <f>EXP(-LN(2)/25)*EB148+(1-EXP(-LN(2)/25))/(LN(2)/25)*Calculateur!DW149*Calculateur!DY149*VLOOKUP('Données projet'!$B$14,Paramètres!$A$1:$I$89,3,0)*0.475*44/12</f>
        <v>18.195752508667642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82.377081891671523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16.969679999999979</v>
      </c>
      <c r="D150" s="11">
        <f t="shared" si="140"/>
        <v>5.6246008028556522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34.882398432478873</v>
      </c>
      <c r="H150" s="67">
        <f t="shared" si="110"/>
        <v>296.01837239830689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-5.3205440053716299E-14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189.8770435341392</v>
      </c>
      <c r="T150" s="59">
        <f t="shared" si="142"/>
        <v>230.18380961122767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19.598633689793708</v>
      </c>
      <c r="AA150" s="21">
        <f>EXP(-LN(2)/25)*AA149+(1-EXP(-LN(2)/25))/(LN(2)/25)*Calculateur!V150*Calculateur!X150*VLOOKUP('Données projet'!$B$9,Paramètres!$A$1:$I$89,3,0)*0.475*44/12</f>
        <v>5.5804481100232595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25.179081799816966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-3.4106051316484809E-13</v>
      </c>
      <c r="AJ150" s="13">
        <f>AI150*VLOOKUP('Données projet'!$B$10,Paramètres!$A$1:$I$89,3,0)*VLOOKUP('Données projet'!$B$10,Paramètres!$A$1:$I$89,5,0)</f>
        <v>-1.5074874681886286E-13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207.77463758757142</v>
      </c>
      <c r="AO150" s="59">
        <f t="shared" si="144"/>
        <v>180.50802165484066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27.755827139462262</v>
      </c>
      <c r="AV150" s="21">
        <f>EXP(-LN(2)/25)*AV149+(1-EXP(-LN(2)/25))/(LN(2)/25)*Calculateur!AQ150*Calculateur!AS150*VLOOKUP('Données projet'!$B$10,Paramètres!$A$1:$I$89,3,0)*0.475*44/12</f>
        <v>8.5594455036180079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36.31527264308027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-2.2737367544323206E-13</v>
      </c>
      <c r="BE150" s="13">
        <f>BD150*VLOOKUP('Données projet'!$B$11,Paramètres!$A$1:$I$89,3,0)*VLOOKUP('Données projet'!$B$11,Paramètres!$A$1:$I$89,5,0)</f>
        <v>-1.3596945791505279E-13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393.01180019332998</v>
      </c>
      <c r="BJ150" s="59">
        <f t="shared" si="146"/>
        <v>283.82782416294748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62.922772660548681</v>
      </c>
      <c r="BQ150" s="21">
        <f>EXP(-LN(2)/25)*BQ149+(1-EXP(-LN(2)/25))/(LN(2)/25)*Calculateur!BL150*Calculateur!BN150*VLOOKUP('Données projet'!$B$11,Paramètres!$A$1:$I$89,3,0)*0.475*44/12</f>
        <v>17.698188699445087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80.620961359993771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-2.2737367544323206E-13</v>
      </c>
      <c r="BZ150" s="13">
        <f>BY150*VLOOKUP('Données projet'!$B$12,Paramètres!$A$1:$I$89,3,0)*VLOOKUP('Données projet'!$B$12,Paramètres!$A$1:$I$89,5,0)</f>
        <v>-1.3596945791505279E-13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393.01180019332998</v>
      </c>
      <c r="CE150" s="59">
        <f t="shared" si="148"/>
        <v>283.82782416294748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62.922772660548681</v>
      </c>
      <c r="CL150" s="21">
        <f>EXP(-LN(2)/25)*CL149+(1-EXP(-LN(2)/25))/(LN(2)/25)*Calculateur!CG150*Calculateur!CI150*VLOOKUP('Données projet'!$B$12,Paramètres!$A$1:$I$89,3,0)*0.475*44/12</f>
        <v>17.698188699445087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80.620961359993771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-2.2737367544323206E-13</v>
      </c>
      <c r="CU150" s="17">
        <f>CT150*VLOOKUP('Données projet'!$B$13,Paramètres!$A$1:$I$89,3,0)*VLOOKUP('Données projet'!$B$13,Paramètres!$A$1:$I$89,5,0)</f>
        <v>-1.3596945791505279E-13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393.01180019332998</v>
      </c>
      <c r="CZ150" s="59">
        <f t="shared" si="150"/>
        <v>283.82782416294748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62.922772660548681</v>
      </c>
      <c r="DG150" s="21">
        <f>EXP(-LN(2)/25)*DG149+(1-EXP(-LN(2)/25))/(LN(2)/25)*Calculateur!DB150*Calculateur!DD150*VLOOKUP('Données projet'!$B$13,Paramètres!$A$1:$I$89,3,0)*0.475*44/12</f>
        <v>17.698188699445087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80.620961359993771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-2.2737367544323206E-13</v>
      </c>
      <c r="DP150" s="17">
        <f>DO150*VLOOKUP('Données projet'!$B$14,Paramètres!$A$1:$I$89,3,0)*VLOOKUP('Données projet'!$B$14,Paramètres!$A$1:$I$89,5,0)</f>
        <v>-1.3596945791505279E-13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393.01180019332998</v>
      </c>
      <c r="DU150" s="59">
        <f t="shared" si="152"/>
        <v>283.82782416294748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62.922772660548681</v>
      </c>
      <c r="EB150" s="21">
        <f>EXP(-LN(2)/25)*EB149+(1-EXP(-LN(2)/25))/(LN(2)/25)*Calculateur!DW150*Calculateur!DY150*VLOOKUP('Données projet'!$B$14,Paramètres!$A$1:$I$89,3,0)*0.475*44/12</f>
        <v>17.698188699445087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80.620961359993771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17.085119999999979</v>
      </c>
      <c r="D151" s="11">
        <f t="shared" si="140"/>
        <v>5.6583962760470881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35.112797057756879</v>
      </c>
      <c r="H151" s="67">
        <f t="shared" si="110"/>
        <v>296.27829084744866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-5.3205440053716299E-14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189.8770435341392</v>
      </c>
      <c r="T151" s="59">
        <f t="shared" si="142"/>
        <v>230.18380961122767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19.214316437123045</v>
      </c>
      <c r="AA151" s="21">
        <f>EXP(-LN(2)/25)*AA150+(1-EXP(-LN(2)/25))/(LN(2)/25)*Calculateur!V151*Calculateur!X151*VLOOKUP('Données projet'!$B$9,Paramètres!$A$1:$I$89,3,0)*0.475*44/12</f>
        <v>5.4278504629916613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24.642166900114706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-3.4106051316484809E-13</v>
      </c>
      <c r="AJ151" s="13">
        <f>AI151*VLOOKUP('Données projet'!$B$10,Paramètres!$A$1:$I$89,3,0)*VLOOKUP('Données projet'!$B$10,Paramètres!$A$1:$I$89,5,0)</f>
        <v>-1.5074874681886286E-13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207.77463758757142</v>
      </c>
      <c r="AO151" s="59">
        <f t="shared" si="144"/>
        <v>180.50802165484066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27.211552298640324</v>
      </c>
      <c r="AV151" s="21">
        <f>EXP(-LN(2)/25)*AV150+(1-EXP(-LN(2)/25))/(LN(2)/25)*Calculateur!AQ151*Calculateur!AS151*VLOOKUP('Données projet'!$B$10,Paramètres!$A$1:$I$89,3,0)*0.475*44/12</f>
        <v>8.3253870161998975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35.536939314840225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-2.2737367544323206E-13</v>
      </c>
      <c r="BE151" s="13">
        <f>BD151*VLOOKUP('Données projet'!$B$11,Paramètres!$A$1:$I$89,3,0)*VLOOKUP('Données projet'!$B$11,Paramètres!$A$1:$I$89,5,0)</f>
        <v>-1.3596945791505279E-13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393.01180019332998</v>
      </c>
      <c r="BJ151" s="59">
        <f t="shared" si="146"/>
        <v>283.82782416294748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61.688895467777023</v>
      </c>
      <c r="BQ151" s="21">
        <f>EXP(-LN(2)/25)*BQ150+(1-EXP(-LN(2)/25))/(LN(2)/25)*Calculateur!BL151*Calculateur!BN151*VLOOKUP('Données projet'!$B$11,Paramètres!$A$1:$I$89,3,0)*0.475*44/12</f>
        <v>17.214230798751466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78.903126266528488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-2.2737367544323206E-13</v>
      </c>
      <c r="BZ151" s="13">
        <f>BY151*VLOOKUP('Données projet'!$B$12,Paramètres!$A$1:$I$89,3,0)*VLOOKUP('Données projet'!$B$12,Paramètres!$A$1:$I$89,5,0)</f>
        <v>-1.3596945791505279E-13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393.01180019332998</v>
      </c>
      <c r="CE151" s="59">
        <f t="shared" si="148"/>
        <v>283.82782416294748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61.688895467777023</v>
      </c>
      <c r="CL151" s="21">
        <f>EXP(-LN(2)/25)*CL150+(1-EXP(-LN(2)/25))/(LN(2)/25)*Calculateur!CG151*Calculateur!CI151*VLOOKUP('Données projet'!$B$12,Paramètres!$A$1:$I$89,3,0)*0.475*44/12</f>
        <v>17.214230798751466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78.903126266528488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-2.2737367544323206E-13</v>
      </c>
      <c r="CU151" s="17">
        <f>CT151*VLOOKUP('Données projet'!$B$13,Paramètres!$A$1:$I$89,3,0)*VLOOKUP('Données projet'!$B$13,Paramètres!$A$1:$I$89,5,0)</f>
        <v>-1.3596945791505279E-13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393.01180019332998</v>
      </c>
      <c r="CZ151" s="59">
        <f t="shared" si="150"/>
        <v>283.82782416294748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61.688895467777023</v>
      </c>
      <c r="DG151" s="21">
        <f>EXP(-LN(2)/25)*DG150+(1-EXP(-LN(2)/25))/(LN(2)/25)*Calculateur!DB151*Calculateur!DD151*VLOOKUP('Données projet'!$B$13,Paramètres!$A$1:$I$89,3,0)*0.475*44/12</f>
        <v>17.214230798751466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78.903126266528488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-2.2737367544323206E-13</v>
      </c>
      <c r="DP151" s="17">
        <f>DO151*VLOOKUP('Données projet'!$B$14,Paramètres!$A$1:$I$89,3,0)*VLOOKUP('Données projet'!$B$14,Paramètres!$A$1:$I$89,5,0)</f>
        <v>-1.3596945791505279E-13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393.01180019332998</v>
      </c>
      <c r="DU151" s="59">
        <f t="shared" si="152"/>
        <v>283.82782416294748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61.688895467777023</v>
      </c>
      <c r="EB151" s="21">
        <f>EXP(-LN(2)/25)*EB150+(1-EXP(-LN(2)/25))/(LN(2)/25)*Calculateur!DW151*Calculateur!DY151*VLOOKUP('Données projet'!$B$14,Paramètres!$A$1:$I$89,3,0)*0.475*44/12</f>
        <v>17.214230798751466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78.903126266528488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17.200559999999978</v>
      </c>
      <c r="D152" s="11">
        <f t="shared" si="140"/>
        <v>5.6921651797912425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35.343154663537327</v>
      </c>
      <c r="H152" s="67">
        <f t="shared" si="110"/>
        <v>296.5381630214697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-5.3205440053716299E-14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189.8770435341392</v>
      </c>
      <c r="T152" s="59">
        <f t="shared" si="142"/>
        <v>230.18380961122767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18.837535411366876</v>
      </c>
      <c r="AA152" s="21">
        <f>EXP(-LN(2)/25)*AA151+(1-EXP(-LN(2)/25))/(LN(2)/25)*Calculateur!V152*Calculateur!X152*VLOOKUP('Données projet'!$B$9,Paramètres!$A$1:$I$89,3,0)*0.475*44/12</f>
        <v>5.2794256066429037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24.116961018009778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-3.4106051316484809E-13</v>
      </c>
      <c r="AJ152" s="13">
        <f>AI152*VLOOKUP('Données projet'!$B$10,Paramètres!$A$1:$I$89,3,0)*VLOOKUP('Données projet'!$B$10,Paramètres!$A$1:$I$89,5,0)</f>
        <v>-1.5074874681886286E-13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207.77463758757142</v>
      </c>
      <c r="AO152" s="59">
        <f t="shared" si="144"/>
        <v>180.50802165484066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26.677950355472031</v>
      </c>
      <c r="AV152" s="21">
        <f>EXP(-LN(2)/25)*AV151+(1-EXP(-LN(2)/25))/(LN(2)/25)*Calculateur!AQ152*Calculateur!AS152*VLOOKUP('Données projet'!$B$10,Paramètres!$A$1:$I$89,3,0)*0.475*44/12</f>
        <v>8.0977288704288366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34.775679225900866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-2.2737367544323206E-13</v>
      </c>
      <c r="BE152" s="13">
        <f>BD152*VLOOKUP('Données projet'!$B$11,Paramètres!$A$1:$I$89,3,0)*VLOOKUP('Données projet'!$B$11,Paramètres!$A$1:$I$89,5,0)</f>
        <v>-1.3596945791505279E-13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393.01180019332998</v>
      </c>
      <c r="BJ152" s="59">
        <f t="shared" si="146"/>
        <v>283.82782416294748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60.47921385416484</v>
      </c>
      <c r="BQ152" s="21">
        <f>EXP(-LN(2)/25)*BQ151+(1-EXP(-LN(2)/25))/(LN(2)/25)*Calculateur!BL152*Calculateur!BN152*VLOOKUP('Données projet'!$B$11,Paramètres!$A$1:$I$89,3,0)*0.475*44/12</f>
        <v>16.743506752302551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77.222720606467391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-2.2737367544323206E-13</v>
      </c>
      <c r="BZ152" s="13">
        <f>BY152*VLOOKUP('Données projet'!$B$12,Paramètres!$A$1:$I$89,3,0)*VLOOKUP('Données projet'!$B$12,Paramètres!$A$1:$I$89,5,0)</f>
        <v>-1.3596945791505279E-13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393.01180019332998</v>
      </c>
      <c r="CE152" s="59">
        <f t="shared" si="148"/>
        <v>283.82782416294748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60.47921385416484</v>
      </c>
      <c r="CL152" s="21">
        <f>EXP(-LN(2)/25)*CL151+(1-EXP(-LN(2)/25))/(LN(2)/25)*Calculateur!CG152*Calculateur!CI152*VLOOKUP('Données projet'!$B$12,Paramètres!$A$1:$I$89,3,0)*0.475*44/12</f>
        <v>16.743506752302551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77.222720606467391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-2.2737367544323206E-13</v>
      </c>
      <c r="CU152" s="17">
        <f>CT152*VLOOKUP('Données projet'!$B$13,Paramètres!$A$1:$I$89,3,0)*VLOOKUP('Données projet'!$B$13,Paramètres!$A$1:$I$89,5,0)</f>
        <v>-1.3596945791505279E-13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393.01180019332998</v>
      </c>
      <c r="CZ152" s="59">
        <f t="shared" si="150"/>
        <v>283.82782416294748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60.47921385416484</v>
      </c>
      <c r="DG152" s="21">
        <f>EXP(-LN(2)/25)*DG151+(1-EXP(-LN(2)/25))/(LN(2)/25)*Calculateur!DB152*Calculateur!DD152*VLOOKUP('Données projet'!$B$13,Paramètres!$A$1:$I$89,3,0)*0.475*44/12</f>
        <v>16.743506752302551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77.222720606467391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-2.2737367544323206E-13</v>
      </c>
      <c r="DP152" s="17">
        <f>DO152*VLOOKUP('Données projet'!$B$14,Paramètres!$A$1:$I$89,3,0)*VLOOKUP('Données projet'!$B$14,Paramètres!$A$1:$I$89,5,0)</f>
        <v>-1.3596945791505279E-13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393.01180019332998</v>
      </c>
      <c r="DU152" s="59">
        <f t="shared" si="152"/>
        <v>283.82782416294748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60.47921385416484</v>
      </c>
      <c r="EB152" s="21">
        <f>EXP(-LN(2)/25)*EB151+(1-EXP(-LN(2)/25))/(LN(2)/25)*Calculateur!DW152*Calculateur!DY152*VLOOKUP('Données projet'!$B$14,Paramètres!$A$1:$I$89,3,0)*0.475*44/12</f>
        <v>16.743506752302551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77.222720606467391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17.315999999999978</v>
      </c>
      <c r="D153" s="11">
        <f t="shared" si="140"/>
        <v>5.725907713088084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35.573471557048244</v>
      </c>
      <c r="H153" s="67">
        <f t="shared" si="110"/>
        <v>296.79798926696174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-5.3205440053716299E-14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189.8770435341392</v>
      </c>
      <c r="T153" s="59">
        <f t="shared" si="142"/>
        <v>230.18380961122767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18.468142831712051</v>
      </c>
      <c r="AA153" s="21">
        <f>EXP(-LN(2)/25)*AA152+(1-EXP(-LN(2)/25))/(LN(2)/25)*Calculateur!V153*Calculateur!X153*VLOOKUP('Données projet'!$B$9,Paramètres!$A$1:$I$89,3,0)*0.475*44/12</f>
        <v>5.1350594357963271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23.603202267508379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-3.4106051316484809E-13</v>
      </c>
      <c r="AJ153" s="13">
        <f>AI153*VLOOKUP('Données projet'!$B$10,Paramètres!$A$1:$I$89,3,0)*VLOOKUP('Données projet'!$B$10,Paramètres!$A$1:$I$89,5,0)</f>
        <v>-1.5074874681886286E-13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207.77463758757142</v>
      </c>
      <c r="AO153" s="59">
        <f t="shared" si="144"/>
        <v>180.50802165484066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26.15481202094422</v>
      </c>
      <c r="AV153" s="21">
        <f>EXP(-LN(2)/25)*AV152+(1-EXP(-LN(2)/25))/(LN(2)/25)*Calculateur!AQ153*Calculateur!AS153*VLOOKUP('Données projet'!$B$10,Paramètres!$A$1:$I$89,3,0)*0.475*44/12</f>
        <v>7.8762960486259068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34.031108069570124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-2.2737367544323206E-13</v>
      </c>
      <c r="BE153" s="13">
        <f>BD153*VLOOKUP('Données projet'!$B$11,Paramètres!$A$1:$I$89,3,0)*VLOOKUP('Données projet'!$B$11,Paramètres!$A$1:$I$89,5,0)</f>
        <v>-1.3596945791505279E-13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393.01180019332998</v>
      </c>
      <c r="BJ153" s="59">
        <f t="shared" si="146"/>
        <v>283.82782416294748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59.293253359162662</v>
      </c>
      <c r="BQ153" s="21">
        <f>EXP(-LN(2)/25)*BQ152+(1-EXP(-LN(2)/25))/(LN(2)/25)*Calculateur!BL153*Calculateur!BN153*VLOOKUP('Données projet'!$B$11,Paramètres!$A$1:$I$89,3,0)*0.475*44/12</f>
        <v>16.285654679658084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75.578908038820742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-2.2737367544323206E-13</v>
      </c>
      <c r="BZ153" s="13">
        <f>BY153*VLOOKUP('Données projet'!$B$12,Paramètres!$A$1:$I$89,3,0)*VLOOKUP('Données projet'!$B$12,Paramètres!$A$1:$I$89,5,0)</f>
        <v>-1.3596945791505279E-13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393.01180019332998</v>
      </c>
      <c r="CE153" s="59">
        <f t="shared" si="148"/>
        <v>283.82782416294748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59.293253359162662</v>
      </c>
      <c r="CL153" s="21">
        <f>EXP(-LN(2)/25)*CL152+(1-EXP(-LN(2)/25))/(LN(2)/25)*Calculateur!CG153*Calculateur!CI153*VLOOKUP('Données projet'!$B$12,Paramètres!$A$1:$I$89,3,0)*0.475*44/12</f>
        <v>16.285654679658084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75.578908038820742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-2.2737367544323206E-13</v>
      </c>
      <c r="CU153" s="17">
        <f>CT153*VLOOKUP('Données projet'!$B$13,Paramètres!$A$1:$I$89,3,0)*VLOOKUP('Données projet'!$B$13,Paramètres!$A$1:$I$89,5,0)</f>
        <v>-1.3596945791505279E-13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393.01180019332998</v>
      </c>
      <c r="CZ153" s="59">
        <f t="shared" si="150"/>
        <v>283.82782416294748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59.293253359162662</v>
      </c>
      <c r="DG153" s="21">
        <f>EXP(-LN(2)/25)*DG152+(1-EXP(-LN(2)/25))/(LN(2)/25)*Calculateur!DB153*Calculateur!DD153*VLOOKUP('Données projet'!$B$13,Paramètres!$A$1:$I$89,3,0)*0.475*44/12</f>
        <v>16.285654679658084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75.578908038820742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-2.2737367544323206E-13</v>
      </c>
      <c r="DP153" s="17">
        <f>DO153*VLOOKUP('Données projet'!$B$14,Paramètres!$A$1:$I$89,3,0)*VLOOKUP('Données projet'!$B$14,Paramètres!$A$1:$I$89,5,0)</f>
        <v>-1.3596945791505279E-13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393.01180019332998</v>
      </c>
      <c r="DU153" s="59">
        <f t="shared" si="152"/>
        <v>283.82782416294748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59.293253359162662</v>
      </c>
      <c r="EB153" s="21">
        <f>EXP(-LN(2)/25)*EB152+(1-EXP(-LN(2)/25))/(LN(2)/25)*Calculateur!DW153*Calculateur!DY153*VLOOKUP('Données projet'!$B$14,Paramètres!$A$1:$I$89,3,0)*0.475*44/12</f>
        <v>16.285654679658084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75.578908038820742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17.431439999999977</v>
      </c>
      <c r="D154" s="11">
        <f t="shared" si="140"/>
        <v>5.7596240721308387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35.80374804118442</v>
      </c>
      <c r="H154" s="67">
        <f t="shared" si="110"/>
        <v>297.05776992562784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-5.3205440053716299E-14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189.8770435341392</v>
      </c>
      <c r="T154" s="59">
        <f t="shared" si="142"/>
        <v>230.18380961122767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18.105993815237031</v>
      </c>
      <c r="AA154" s="21">
        <f>EXP(-LN(2)/25)*AA153+(1-EXP(-LN(2)/25))/(LN(2)/25)*Calculateur!V154*Calculateur!X154*VLOOKUP('Données projet'!$B$9,Paramètres!$A$1:$I$89,3,0)*0.475*44/12</f>
        <v>4.9946409654834367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23.100634780720469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-3.4106051316484809E-13</v>
      </c>
      <c r="AJ154" s="13">
        <f>AI154*VLOOKUP('Données projet'!$B$10,Paramètres!$A$1:$I$89,3,0)*VLOOKUP('Données projet'!$B$10,Paramètres!$A$1:$I$89,5,0)</f>
        <v>-1.5074874681886286E-13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207.77463758757142</v>
      </c>
      <c r="AO154" s="59">
        <f t="shared" si="144"/>
        <v>180.50802165484066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25.641932110073622</v>
      </c>
      <c r="AV154" s="21">
        <f>EXP(-LN(2)/25)*AV153+(1-EXP(-LN(2)/25))/(LN(2)/25)*Calculateur!AQ154*Calculateur!AS154*VLOOKUP('Données projet'!$B$10,Paramètres!$A$1:$I$89,3,0)*0.475*44/12</f>
        <v>7.6609183189798236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33.302850429053443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-2.2737367544323206E-13</v>
      </c>
      <c r="BE154" s="13">
        <f>BD154*VLOOKUP('Données projet'!$B$11,Paramètres!$A$1:$I$89,3,0)*VLOOKUP('Données projet'!$B$11,Paramètres!$A$1:$I$89,5,0)</f>
        <v>-1.3596945791505279E-13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393.01180019332998</v>
      </c>
      <c r="BJ154" s="59">
        <f t="shared" si="146"/>
        <v>283.82782416294748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58.130548826103002</v>
      </c>
      <c r="BQ154" s="21">
        <f>EXP(-LN(2)/25)*BQ153+(1-EXP(-LN(2)/25))/(LN(2)/25)*Calculateur!BL154*Calculateur!BN154*VLOOKUP('Données projet'!$B$11,Paramètres!$A$1:$I$89,3,0)*0.475*44/12</f>
        <v>15.840322596017476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73.970871422120481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-2.2737367544323206E-13</v>
      </c>
      <c r="BZ154" s="13">
        <f>BY154*VLOOKUP('Données projet'!$B$12,Paramètres!$A$1:$I$89,3,0)*VLOOKUP('Données projet'!$B$12,Paramètres!$A$1:$I$89,5,0)</f>
        <v>-1.3596945791505279E-13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393.01180019332998</v>
      </c>
      <c r="CE154" s="59">
        <f t="shared" si="148"/>
        <v>283.82782416294748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58.130548826103002</v>
      </c>
      <c r="CL154" s="21">
        <f>EXP(-LN(2)/25)*CL153+(1-EXP(-LN(2)/25))/(LN(2)/25)*Calculateur!CG154*Calculateur!CI154*VLOOKUP('Données projet'!$B$12,Paramètres!$A$1:$I$89,3,0)*0.475*44/12</f>
        <v>15.840322596017476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73.970871422120481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-2.2737367544323206E-13</v>
      </c>
      <c r="CU154" s="17">
        <f>CT154*VLOOKUP('Données projet'!$B$13,Paramètres!$A$1:$I$89,3,0)*VLOOKUP('Données projet'!$B$13,Paramètres!$A$1:$I$89,5,0)</f>
        <v>-1.3596945791505279E-13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393.01180019332998</v>
      </c>
      <c r="CZ154" s="59">
        <f t="shared" si="150"/>
        <v>283.82782416294748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58.130548826103002</v>
      </c>
      <c r="DG154" s="21">
        <f>EXP(-LN(2)/25)*DG153+(1-EXP(-LN(2)/25))/(LN(2)/25)*Calculateur!DB154*Calculateur!DD154*VLOOKUP('Données projet'!$B$13,Paramètres!$A$1:$I$89,3,0)*0.475*44/12</f>
        <v>15.840322596017476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73.970871422120481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-2.2737367544323206E-13</v>
      </c>
      <c r="DP154" s="17">
        <f>DO154*VLOOKUP('Données projet'!$B$14,Paramètres!$A$1:$I$89,3,0)*VLOOKUP('Données projet'!$B$14,Paramètres!$A$1:$I$89,5,0)</f>
        <v>-1.3596945791505279E-13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393.01180019332998</v>
      </c>
      <c r="DU154" s="59">
        <f t="shared" si="152"/>
        <v>283.82782416294748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58.130548826103002</v>
      </c>
      <c r="EB154" s="21">
        <f>EXP(-LN(2)/25)*EB153+(1-EXP(-LN(2)/25))/(LN(2)/25)*Calculateur!DW154*Calculateur!DY154*VLOOKUP('Données projet'!$B$14,Paramètres!$A$1:$I$89,3,0)*0.475*44/12</f>
        <v>15.840322596017476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73.970871422120481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17.546879999999977</v>
      </c>
      <c r="D155" s="11">
        <f t="shared" si="140"/>
        <v>5.7933144503639182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36.033984414596894</v>
      </c>
      <c r="H155" s="67">
        <f t="shared" si="110"/>
        <v>297.31750533438378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-5.3205440053716299E-14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189.8770435341392</v>
      </c>
      <c r="T155" s="59">
        <f t="shared" si="142"/>
        <v>230.18380961122767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17.750946320085998</v>
      </c>
      <c r="AA155" s="21">
        <f>EXP(-LN(2)/25)*AA154+(1-EXP(-LN(2)/25))/(LN(2)/25)*Calculateur!V155*Calculateur!X155*VLOOKUP('Données projet'!$B$9,Paramètres!$A$1:$I$89,3,0)*0.475*44/12</f>
        <v>4.8580622456255389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22.609008565711537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-3.4106051316484809E-13</v>
      </c>
      <c r="AJ155" s="13">
        <f>AI155*VLOOKUP('Données projet'!$B$10,Paramètres!$A$1:$I$89,3,0)*VLOOKUP('Données projet'!$B$10,Paramètres!$A$1:$I$89,5,0)</f>
        <v>-1.5074874681886286E-13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207.77463758757142</v>
      </c>
      <c r="AO155" s="59">
        <f t="shared" si="144"/>
        <v>180.50802165484066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25.139109461429339</v>
      </c>
      <c r="AV155" s="21">
        <f>EXP(-LN(2)/25)*AV154+(1-EXP(-LN(2)/25))/(LN(2)/25)*Calculateur!AQ155*Calculateur!AS155*VLOOKUP('Données projet'!$B$10,Paramètres!$A$1:$I$89,3,0)*0.475*44/12</f>
        <v>7.4514301046771347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32.590539566106472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-2.2737367544323206E-13</v>
      </c>
      <c r="BE155" s="13">
        <f>BD155*VLOOKUP('Données projet'!$B$11,Paramètres!$A$1:$I$89,3,0)*VLOOKUP('Données projet'!$B$11,Paramètres!$A$1:$I$89,5,0)</f>
        <v>-1.3596945791505279E-13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393.01180019332998</v>
      </c>
      <c r="BJ155" s="59">
        <f t="shared" si="146"/>
        <v>283.82782416294748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56.990644219756902</v>
      </c>
      <c r="BQ155" s="21">
        <f>EXP(-LN(2)/25)*BQ154+(1-EXP(-LN(2)/25))/(LN(2)/25)*Calculateur!BL155*Calculateur!BN155*VLOOKUP('Données projet'!$B$11,Paramètres!$A$1:$I$89,3,0)*0.475*44/12</f>
        <v>15.407168141623016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72.39781236137992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-2.2737367544323206E-13</v>
      </c>
      <c r="BZ155" s="13">
        <f>BY155*VLOOKUP('Données projet'!$B$12,Paramètres!$A$1:$I$89,3,0)*VLOOKUP('Données projet'!$B$12,Paramètres!$A$1:$I$89,5,0)</f>
        <v>-1.3596945791505279E-13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393.01180019332998</v>
      </c>
      <c r="CE155" s="59">
        <f t="shared" si="148"/>
        <v>283.82782416294748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56.990644219756902</v>
      </c>
      <c r="CL155" s="21">
        <f>EXP(-LN(2)/25)*CL154+(1-EXP(-LN(2)/25))/(LN(2)/25)*Calculateur!CG155*Calculateur!CI155*VLOOKUP('Données projet'!$B$12,Paramètres!$A$1:$I$89,3,0)*0.475*44/12</f>
        <v>15.407168141623016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72.39781236137992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-2.2737367544323206E-13</v>
      </c>
      <c r="CU155" s="17">
        <f>CT155*VLOOKUP('Données projet'!$B$13,Paramètres!$A$1:$I$89,3,0)*VLOOKUP('Données projet'!$B$13,Paramètres!$A$1:$I$89,5,0)</f>
        <v>-1.3596945791505279E-13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393.01180019332998</v>
      </c>
      <c r="CZ155" s="59">
        <f t="shared" si="150"/>
        <v>283.82782416294748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56.990644219756902</v>
      </c>
      <c r="DG155" s="21">
        <f>EXP(-LN(2)/25)*DG154+(1-EXP(-LN(2)/25))/(LN(2)/25)*Calculateur!DB155*Calculateur!DD155*VLOOKUP('Données projet'!$B$13,Paramètres!$A$1:$I$89,3,0)*0.475*44/12</f>
        <v>15.407168141623016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72.39781236137992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-2.2737367544323206E-13</v>
      </c>
      <c r="DP155" s="17">
        <f>DO155*VLOOKUP('Données projet'!$B$14,Paramètres!$A$1:$I$89,3,0)*VLOOKUP('Données projet'!$B$14,Paramètres!$A$1:$I$89,5,0)</f>
        <v>-1.3596945791505279E-13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393.01180019332998</v>
      </c>
      <c r="DU155" s="59">
        <f t="shared" si="152"/>
        <v>283.82782416294748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56.990644219756902</v>
      </c>
      <c r="EB155" s="21">
        <f>EXP(-LN(2)/25)*EB154+(1-EXP(-LN(2)/25))/(LN(2)/25)*Calculateur!DW155*Calculateur!DY155*VLOOKUP('Données projet'!$B$14,Paramètres!$A$1:$I$89,3,0)*0.475*44/12</f>
        <v>15.407168141623016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72.39781236137992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17.662319999999976</v>
      </c>
      <c r="D156" s="11">
        <f t="shared" si="140"/>
        <v>5.8269790385392488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36.264180971779858</v>
      </c>
      <c r="H156" s="67">
        <f t="shared" si="110"/>
        <v>297.57719582545582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-5.3205440053716299E-14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189.8770435341392</v>
      </c>
      <c r="T156" s="59">
        <f t="shared" si="142"/>
        <v>230.18380961122767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17.402861089757288</v>
      </c>
      <c r="AA156" s="21">
        <f>EXP(-LN(2)/25)*AA155+(1-EXP(-LN(2)/25))/(LN(2)/25)*Calculateur!V156*Calculateur!X156*VLOOKUP('Données projet'!$B$9,Paramètres!$A$1:$I$89,3,0)*0.475*44/12</f>
        <v>4.725218278044518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22.128079367801806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-3.4106051316484809E-13</v>
      </c>
      <c r="AJ156" s="13">
        <f>AI156*VLOOKUP('Données projet'!$B$10,Paramètres!$A$1:$I$89,3,0)*VLOOKUP('Données projet'!$B$10,Paramètres!$A$1:$I$89,5,0)</f>
        <v>-1.5074874681886286E-13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207.77463758757142</v>
      </c>
      <c r="AO156" s="59">
        <f t="shared" si="144"/>
        <v>180.50802165484066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24.64614685823344</v>
      </c>
      <c r="AV156" s="21">
        <f>EXP(-LN(2)/25)*AV155+(1-EXP(-LN(2)/25))/(LN(2)/25)*Calculateur!AQ156*Calculateur!AS156*VLOOKUP('Données projet'!$B$10,Paramètres!$A$1:$I$89,3,0)*0.475*44/12</f>
        <v>7.2476703566110601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31.8938172148445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-2.2737367544323206E-13</v>
      </c>
      <c r="BE156" s="13">
        <f>BD156*VLOOKUP('Données projet'!$B$11,Paramètres!$A$1:$I$89,3,0)*VLOOKUP('Données projet'!$B$11,Paramètres!$A$1:$I$89,5,0)</f>
        <v>-1.3596945791505279E-13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393.01180019332998</v>
      </c>
      <c r="BJ156" s="59">
        <f t="shared" si="146"/>
        <v>283.82782416294748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55.873092447468096</v>
      </c>
      <c r="BQ156" s="21">
        <f>EXP(-LN(2)/25)*BQ155+(1-EXP(-LN(2)/25))/(LN(2)/25)*Calculateur!BL156*Calculateur!BN156*VLOOKUP('Données projet'!$B$11,Paramètres!$A$1:$I$89,3,0)*0.475*44/12</f>
        <v>14.985858318562576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70.858950766030674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-2.2737367544323206E-13</v>
      </c>
      <c r="BZ156" s="13">
        <f>BY156*VLOOKUP('Données projet'!$B$12,Paramètres!$A$1:$I$89,3,0)*VLOOKUP('Données projet'!$B$12,Paramètres!$A$1:$I$89,5,0)</f>
        <v>-1.3596945791505279E-13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393.01180019332998</v>
      </c>
      <c r="CE156" s="59">
        <f t="shared" si="148"/>
        <v>283.82782416294748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55.873092447468096</v>
      </c>
      <c r="CL156" s="21">
        <f>EXP(-LN(2)/25)*CL155+(1-EXP(-LN(2)/25))/(LN(2)/25)*Calculateur!CG156*Calculateur!CI156*VLOOKUP('Données projet'!$B$12,Paramètres!$A$1:$I$89,3,0)*0.475*44/12</f>
        <v>14.985858318562576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70.858950766030674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-2.2737367544323206E-13</v>
      </c>
      <c r="CU156" s="17">
        <f>CT156*VLOOKUP('Données projet'!$B$13,Paramètres!$A$1:$I$89,3,0)*VLOOKUP('Données projet'!$B$13,Paramètres!$A$1:$I$89,5,0)</f>
        <v>-1.3596945791505279E-13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393.01180019332998</v>
      </c>
      <c r="CZ156" s="59">
        <f t="shared" si="150"/>
        <v>283.82782416294748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55.873092447468096</v>
      </c>
      <c r="DG156" s="21">
        <f>EXP(-LN(2)/25)*DG155+(1-EXP(-LN(2)/25))/(LN(2)/25)*Calculateur!DB156*Calculateur!DD156*VLOOKUP('Données projet'!$B$13,Paramètres!$A$1:$I$89,3,0)*0.475*44/12</f>
        <v>14.985858318562576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70.858950766030674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-2.2737367544323206E-13</v>
      </c>
      <c r="DP156" s="17">
        <f>DO156*VLOOKUP('Données projet'!$B$14,Paramètres!$A$1:$I$89,3,0)*VLOOKUP('Données projet'!$B$14,Paramètres!$A$1:$I$89,5,0)</f>
        <v>-1.3596945791505279E-13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393.01180019332998</v>
      </c>
      <c r="DU156" s="59">
        <f t="shared" si="152"/>
        <v>283.82782416294748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55.873092447468096</v>
      </c>
      <c r="EB156" s="21">
        <f>EXP(-LN(2)/25)*EB155+(1-EXP(-LN(2)/25))/(LN(2)/25)*Calculateur!DW156*Calculateur!DY156*VLOOKUP('Données projet'!$B$14,Paramètres!$A$1:$I$89,3,0)*0.475*44/12</f>
        <v>14.985858318562576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70.858950766030674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17.777759999999976</v>
      </c>
      <c r="D157" s="11">
        <f t="shared" si="140"/>
        <v>5.860618024771088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36.494338003155327</v>
      </c>
      <c r="H157" s="67">
        <f t="shared" si="110"/>
        <v>297.83684172647628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-5.3205440053716299E-14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189.8770435341392</v>
      </c>
      <c r="T157" s="59">
        <f t="shared" si="142"/>
        <v>230.18380961122767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17.061601598484298</v>
      </c>
      <c r="AA157" s="21">
        <f>EXP(-LN(2)/25)*AA156+(1-EXP(-LN(2)/25))/(LN(2)/25)*Calculateur!V157*Calculateur!X157*VLOOKUP('Données projet'!$B$9,Paramètres!$A$1:$I$89,3,0)*0.475*44/12</f>
        <v>4.5960069357429614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21.657608534227258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-3.4106051316484809E-13</v>
      </c>
      <c r="AJ157" s="13">
        <f>AI157*VLOOKUP('Données projet'!$B$10,Paramètres!$A$1:$I$89,3,0)*VLOOKUP('Données projet'!$B$10,Paramètres!$A$1:$I$89,5,0)</f>
        <v>-1.5074874681886286E-13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207.77463758757142</v>
      </c>
      <c r="AO157" s="59">
        <f t="shared" si="144"/>
        <v>180.50802165484066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24.162850951008714</v>
      </c>
      <c r="AV157" s="21">
        <f>EXP(-LN(2)/25)*AV156+(1-EXP(-LN(2)/25))/(LN(2)/25)*Calculateur!AQ157*Calculateur!AS157*VLOOKUP('Données projet'!$B$10,Paramètres!$A$1:$I$89,3,0)*0.475*44/12</f>
        <v>7.0494824295711114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31.212333380579825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-2.2737367544323206E-13</v>
      </c>
      <c r="BE157" s="13">
        <f>BD157*VLOOKUP('Données projet'!$B$11,Paramètres!$A$1:$I$89,3,0)*VLOOKUP('Données projet'!$B$11,Paramètres!$A$1:$I$89,5,0)</f>
        <v>-1.3596945791505279E-13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393.01180019332998</v>
      </c>
      <c r="BJ157" s="59">
        <f t="shared" si="146"/>
        <v>283.82782416294748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54.777455183794594</v>
      </c>
      <c r="BQ157" s="21">
        <f>EXP(-LN(2)/25)*BQ156+(1-EXP(-LN(2)/25))/(LN(2)/25)*Calculateur!BL157*Calculateur!BN157*VLOOKUP('Données projet'!$B$11,Paramètres!$A$1:$I$89,3,0)*0.475*44/12</f>
        <v>14.576069234769443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69.353524418564035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-2.2737367544323206E-13</v>
      </c>
      <c r="BZ157" s="13">
        <f>BY157*VLOOKUP('Données projet'!$B$12,Paramètres!$A$1:$I$89,3,0)*VLOOKUP('Données projet'!$B$12,Paramètres!$A$1:$I$89,5,0)</f>
        <v>-1.3596945791505279E-13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393.01180019332998</v>
      </c>
      <c r="CE157" s="59">
        <f t="shared" si="148"/>
        <v>283.82782416294748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54.777455183794594</v>
      </c>
      <c r="CL157" s="21">
        <f>EXP(-LN(2)/25)*CL156+(1-EXP(-LN(2)/25))/(LN(2)/25)*Calculateur!CG157*Calculateur!CI157*VLOOKUP('Données projet'!$B$12,Paramètres!$A$1:$I$89,3,0)*0.475*44/12</f>
        <v>14.576069234769443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69.353524418564035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-2.2737367544323206E-13</v>
      </c>
      <c r="CU157" s="17">
        <f>CT157*VLOOKUP('Données projet'!$B$13,Paramètres!$A$1:$I$89,3,0)*VLOOKUP('Données projet'!$B$13,Paramètres!$A$1:$I$89,5,0)</f>
        <v>-1.3596945791505279E-13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393.01180019332998</v>
      </c>
      <c r="CZ157" s="59">
        <f t="shared" si="150"/>
        <v>283.82782416294748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54.777455183794594</v>
      </c>
      <c r="DG157" s="21">
        <f>EXP(-LN(2)/25)*DG156+(1-EXP(-LN(2)/25))/(LN(2)/25)*Calculateur!DB157*Calculateur!DD157*VLOOKUP('Données projet'!$B$13,Paramètres!$A$1:$I$89,3,0)*0.475*44/12</f>
        <v>14.576069234769443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69.353524418564035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-2.2737367544323206E-13</v>
      </c>
      <c r="DP157" s="17">
        <f>DO157*VLOOKUP('Données projet'!$B$14,Paramètres!$A$1:$I$89,3,0)*VLOOKUP('Données projet'!$B$14,Paramètres!$A$1:$I$89,5,0)</f>
        <v>-1.3596945791505279E-13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393.01180019332998</v>
      </c>
      <c r="DU157" s="59">
        <f t="shared" si="152"/>
        <v>283.82782416294748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54.777455183794594</v>
      </c>
      <c r="EB157" s="21">
        <f>EXP(-LN(2)/25)*EB156+(1-EXP(-LN(2)/25))/(LN(2)/25)*Calculateur!DW157*Calculateur!DY157*VLOOKUP('Données projet'!$B$14,Paramètres!$A$1:$I$89,3,0)*0.475*44/12</f>
        <v>14.576069234769443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69.353524418564035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17.893199999999975</v>
      </c>
      <c r="D158" s="11">
        <f t="shared" si="140"/>
        <v>5.8942315945894013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36.724455795155542</v>
      </c>
      <c r="H158" s="67">
        <f t="shared" si="110"/>
        <v>298.09644336057653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-5.3205440053716299E-14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189.8770435341392</v>
      </c>
      <c r="T158" s="59">
        <f t="shared" si="142"/>
        <v>230.18380961122767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16.727033997687435</v>
      </c>
      <c r="AA158" s="21">
        <f>EXP(-LN(2)/25)*AA157+(1-EXP(-LN(2)/25))/(LN(2)/25)*Calculateur!V158*Calculateur!X158*VLOOKUP('Données projet'!$B$9,Paramètres!$A$1:$I$89,3,0)*0.475*44/12</f>
        <v>4.4703288843915701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21.197362882079005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-3.4106051316484809E-13</v>
      </c>
      <c r="AJ158" s="13">
        <f>AI158*VLOOKUP('Données projet'!$B$10,Paramètres!$A$1:$I$89,3,0)*VLOOKUP('Données projet'!$B$10,Paramètres!$A$1:$I$89,5,0)</f>
        <v>-1.5074874681886286E-13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207.77463758757142</v>
      </c>
      <c r="AO158" s="59">
        <f t="shared" si="144"/>
        <v>180.50802165484066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23.689032181743269</v>
      </c>
      <c r="AV158" s="21">
        <f>EXP(-LN(2)/25)*AV157+(1-EXP(-LN(2)/25))/(LN(2)/25)*Calculateur!AQ158*Calculateur!AS158*VLOOKUP('Données projet'!$B$10,Paramètres!$A$1:$I$89,3,0)*0.475*44/12</f>
        <v>6.8567139618183202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30.545746143561587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-2.2737367544323206E-13</v>
      </c>
      <c r="BE158" s="13">
        <f>BD158*VLOOKUP('Données projet'!$B$11,Paramètres!$A$1:$I$89,3,0)*VLOOKUP('Données projet'!$B$11,Paramètres!$A$1:$I$89,5,0)</f>
        <v>-1.3596945791505279E-13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393.01180019332998</v>
      </c>
      <c r="BJ158" s="59">
        <f t="shared" si="146"/>
        <v>283.82782416294748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53.703302698588985</v>
      </c>
      <c r="BQ158" s="21">
        <f>EXP(-LN(2)/25)*BQ157+(1-EXP(-LN(2)/25))/(LN(2)/25)*Calculateur!BL158*Calculateur!BN158*VLOOKUP('Données projet'!$B$11,Paramètres!$A$1:$I$89,3,0)*0.475*44/12</f>
        <v>14.177485855022505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67.880788553611495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-2.2737367544323206E-13</v>
      </c>
      <c r="BZ158" s="13">
        <f>BY158*VLOOKUP('Données projet'!$B$12,Paramètres!$A$1:$I$89,3,0)*VLOOKUP('Données projet'!$B$12,Paramètres!$A$1:$I$89,5,0)</f>
        <v>-1.3596945791505279E-13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393.01180019332998</v>
      </c>
      <c r="CE158" s="59">
        <f t="shared" si="148"/>
        <v>283.82782416294748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53.703302698588985</v>
      </c>
      <c r="CL158" s="21">
        <f>EXP(-LN(2)/25)*CL157+(1-EXP(-LN(2)/25))/(LN(2)/25)*Calculateur!CG158*Calculateur!CI158*VLOOKUP('Données projet'!$B$12,Paramètres!$A$1:$I$89,3,0)*0.475*44/12</f>
        <v>14.177485855022505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67.880788553611495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-2.2737367544323206E-13</v>
      </c>
      <c r="CU158" s="17">
        <f>CT158*VLOOKUP('Données projet'!$B$13,Paramètres!$A$1:$I$89,3,0)*VLOOKUP('Données projet'!$B$13,Paramètres!$A$1:$I$89,5,0)</f>
        <v>-1.3596945791505279E-13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393.01180019332998</v>
      </c>
      <c r="CZ158" s="59">
        <f t="shared" si="150"/>
        <v>283.82782416294748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53.703302698588985</v>
      </c>
      <c r="DG158" s="21">
        <f>EXP(-LN(2)/25)*DG157+(1-EXP(-LN(2)/25))/(LN(2)/25)*Calculateur!DB158*Calculateur!DD158*VLOOKUP('Données projet'!$B$13,Paramètres!$A$1:$I$89,3,0)*0.475*44/12</f>
        <v>14.177485855022505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67.880788553611495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-2.2737367544323206E-13</v>
      </c>
      <c r="DP158" s="17">
        <f>DO158*VLOOKUP('Données projet'!$B$14,Paramètres!$A$1:$I$89,3,0)*VLOOKUP('Données projet'!$B$14,Paramètres!$A$1:$I$89,5,0)</f>
        <v>-1.3596945791505279E-13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393.01180019332998</v>
      </c>
      <c r="DU158" s="59">
        <f t="shared" si="152"/>
        <v>283.82782416294748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53.703302698588985</v>
      </c>
      <c r="EB158" s="21">
        <f>EXP(-LN(2)/25)*EB157+(1-EXP(-LN(2)/25))/(LN(2)/25)*Calculateur!DW158*Calculateur!DY158*VLOOKUP('Données projet'!$B$14,Paramètres!$A$1:$I$89,3,0)*0.475*44/12</f>
        <v>14.177485855022505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67.880788553611495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18.008639999999975</v>
      </c>
      <c r="D159" s="11">
        <f t="shared" si="140"/>
        <v>5.9278199309917694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36.954534630303044</v>
      </c>
      <c r="H159" s="67">
        <f t="shared" si="110"/>
        <v>298.35600104647733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-5.3205440053716299E-14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189.8770435341392</v>
      </c>
      <c r="T159" s="59">
        <f t="shared" si="142"/>
        <v>230.18380961122767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16.399027063476112</v>
      </c>
      <c r="AA159" s="21">
        <f>EXP(-LN(2)/25)*AA158+(1-EXP(-LN(2)/25))/(LN(2)/25)*Calculateur!V159*Calculateur!X159*VLOOKUP('Données projet'!$B$9,Paramètres!$A$1:$I$89,3,0)*0.475*44/12</f>
        <v>4.3480875059635036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20.747114569439617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-3.4106051316484809E-13</v>
      </c>
      <c r="AJ159" s="13">
        <f>AI159*VLOOKUP('Données projet'!$B$10,Paramètres!$A$1:$I$89,3,0)*VLOOKUP('Données projet'!$B$10,Paramètres!$A$1:$I$89,5,0)</f>
        <v>-1.5074874681886286E-13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207.77463758757142</v>
      </c>
      <c r="AO159" s="59">
        <f t="shared" si="144"/>
        <v>180.50802165484066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23.224504709542206</v>
      </c>
      <c r="AV159" s="21">
        <f>EXP(-LN(2)/25)*AV158+(1-EXP(-LN(2)/25))/(LN(2)/25)*Calculateur!AQ159*Calculateur!AS159*VLOOKUP('Données projet'!$B$10,Paramètres!$A$1:$I$89,3,0)*0.475*44/12</f>
        <v>6.6692167579534818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29.893721467495688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-2.2737367544323206E-13</v>
      </c>
      <c r="BE159" s="13">
        <f>BD159*VLOOKUP('Données projet'!$B$11,Paramètres!$A$1:$I$89,3,0)*VLOOKUP('Données projet'!$B$11,Paramètres!$A$1:$I$89,5,0)</f>
        <v>-1.3596945791505279E-13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393.01180019332998</v>
      </c>
      <c r="BJ159" s="59">
        <f t="shared" si="146"/>
        <v>283.82782416294748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52.650213688449938</v>
      </c>
      <c r="BQ159" s="21">
        <f>EXP(-LN(2)/25)*BQ158+(1-EXP(-LN(2)/25))/(LN(2)/25)*Calculateur!BL159*Calculateur!BN159*VLOOKUP('Données projet'!$B$11,Paramètres!$A$1:$I$89,3,0)*0.475*44/12</f>
        <v>13.789801758755337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66.440015447205269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-2.2737367544323206E-13</v>
      </c>
      <c r="BZ159" s="13">
        <f>BY159*VLOOKUP('Données projet'!$B$12,Paramètres!$A$1:$I$89,3,0)*VLOOKUP('Données projet'!$B$12,Paramètres!$A$1:$I$89,5,0)</f>
        <v>-1.3596945791505279E-13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393.01180019332998</v>
      </c>
      <c r="CE159" s="59">
        <f t="shared" si="148"/>
        <v>283.82782416294748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52.650213688449938</v>
      </c>
      <c r="CL159" s="21">
        <f>EXP(-LN(2)/25)*CL158+(1-EXP(-LN(2)/25))/(LN(2)/25)*Calculateur!CG159*Calculateur!CI159*VLOOKUP('Données projet'!$B$12,Paramètres!$A$1:$I$89,3,0)*0.475*44/12</f>
        <v>13.789801758755337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66.440015447205269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-2.2737367544323206E-13</v>
      </c>
      <c r="CU159" s="17">
        <f>CT159*VLOOKUP('Données projet'!$B$13,Paramètres!$A$1:$I$89,3,0)*VLOOKUP('Données projet'!$B$13,Paramètres!$A$1:$I$89,5,0)</f>
        <v>-1.3596945791505279E-13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393.01180019332998</v>
      </c>
      <c r="CZ159" s="59">
        <f t="shared" si="150"/>
        <v>283.82782416294748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52.650213688449938</v>
      </c>
      <c r="DG159" s="21">
        <f>EXP(-LN(2)/25)*DG158+(1-EXP(-LN(2)/25))/(LN(2)/25)*Calculateur!DB159*Calculateur!DD159*VLOOKUP('Données projet'!$B$13,Paramètres!$A$1:$I$89,3,0)*0.475*44/12</f>
        <v>13.789801758755337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66.440015447205269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-2.2737367544323206E-13</v>
      </c>
      <c r="DP159" s="17">
        <f>DO159*VLOOKUP('Données projet'!$B$14,Paramètres!$A$1:$I$89,3,0)*VLOOKUP('Données projet'!$B$14,Paramètres!$A$1:$I$89,5,0)</f>
        <v>-1.3596945791505279E-13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393.01180019332998</v>
      </c>
      <c r="DU159" s="59">
        <f t="shared" si="152"/>
        <v>283.82782416294748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52.650213688449938</v>
      </c>
      <c r="EB159" s="21">
        <f>EXP(-LN(2)/25)*EB158+(1-EXP(-LN(2)/25))/(LN(2)/25)*Calculateur!DW159*Calculateur!DY159*VLOOKUP('Données projet'!$B$14,Paramètres!$A$1:$I$89,3,0)*0.475*44/12</f>
        <v>13.789801758755337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66.440015447205269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18.124079999999974</v>
      </c>
      <c r="D160" s="11">
        <f t="shared" si="140"/>
        <v>5.9613832144940062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37.184574787288952</v>
      </c>
      <c r="H160" s="67">
        <f t="shared" si="110"/>
        <v>298.61551509857702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-5.3205440053716299E-14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189.8770435341392</v>
      </c>
      <c r="T160" s="59">
        <f t="shared" si="142"/>
        <v>230.18380961122767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16.077452145180196</v>
      </c>
      <c r="AA160" s="21">
        <f>EXP(-LN(2)/25)*AA159+(1-EXP(-LN(2)/25))/(LN(2)/25)*Calculateur!V160*Calculateur!X160*VLOOKUP('Données projet'!$B$9,Paramètres!$A$1:$I$89,3,0)*0.475*44/12</f>
        <v>4.2291888244569469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20.306640969637144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-3.4106051316484809E-13</v>
      </c>
      <c r="AJ160" s="13">
        <f>AI160*VLOOKUP('Données projet'!$B$10,Paramètres!$A$1:$I$89,3,0)*VLOOKUP('Données projet'!$B$10,Paramètres!$A$1:$I$89,5,0)</f>
        <v>-1.5074874681886286E-13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207.77463758757142</v>
      </c>
      <c r="AO160" s="59">
        <f t="shared" si="144"/>
        <v>180.50802165484066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22.769086337737225</v>
      </c>
      <c r="AV160" s="21">
        <f>EXP(-LN(2)/25)*AV159+(1-EXP(-LN(2)/25))/(LN(2)/25)*Calculateur!AQ160*Calculateur!AS160*VLOOKUP('Données projet'!$B$10,Paramètres!$A$1:$I$89,3,0)*0.475*44/12</f>
        <v>6.4868466749883771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29.255933012725603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-2.2737367544323206E-13</v>
      </c>
      <c r="BE160" s="13">
        <f>BD160*VLOOKUP('Données projet'!$B$11,Paramètres!$A$1:$I$89,3,0)*VLOOKUP('Données projet'!$B$11,Paramètres!$A$1:$I$89,5,0)</f>
        <v>-1.3596945791505279E-13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393.01180019332998</v>
      </c>
      <c r="BJ160" s="59">
        <f t="shared" si="146"/>
        <v>283.82782416294748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51.617775111478842</v>
      </c>
      <c r="BQ160" s="21">
        <f>EXP(-LN(2)/25)*BQ159+(1-EXP(-LN(2)/25))/(LN(2)/25)*Calculateur!BL160*Calculateur!BN160*VLOOKUP('Données projet'!$B$11,Paramètres!$A$1:$I$89,3,0)*0.475*44/12</f>
        <v>13.412718904488015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65.030494015966852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-2.2737367544323206E-13</v>
      </c>
      <c r="BZ160" s="13">
        <f>BY160*VLOOKUP('Données projet'!$B$12,Paramètres!$A$1:$I$89,3,0)*VLOOKUP('Données projet'!$B$12,Paramètres!$A$1:$I$89,5,0)</f>
        <v>-1.3596945791505279E-13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393.01180019332998</v>
      </c>
      <c r="CE160" s="59">
        <f t="shared" si="148"/>
        <v>283.82782416294748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51.617775111478842</v>
      </c>
      <c r="CL160" s="21">
        <f>EXP(-LN(2)/25)*CL159+(1-EXP(-LN(2)/25))/(LN(2)/25)*Calculateur!CG160*Calculateur!CI160*VLOOKUP('Données projet'!$B$12,Paramètres!$A$1:$I$89,3,0)*0.475*44/12</f>
        <v>13.412718904488015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65.030494015966852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-2.2737367544323206E-13</v>
      </c>
      <c r="CU160" s="17">
        <f>CT160*VLOOKUP('Données projet'!$B$13,Paramètres!$A$1:$I$89,3,0)*VLOOKUP('Données projet'!$B$13,Paramètres!$A$1:$I$89,5,0)</f>
        <v>-1.3596945791505279E-13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393.01180019332998</v>
      </c>
      <c r="CZ160" s="59">
        <f t="shared" si="150"/>
        <v>283.82782416294748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51.617775111478842</v>
      </c>
      <c r="DG160" s="21">
        <f>EXP(-LN(2)/25)*DG159+(1-EXP(-LN(2)/25))/(LN(2)/25)*Calculateur!DB160*Calculateur!DD160*VLOOKUP('Données projet'!$B$13,Paramètres!$A$1:$I$89,3,0)*0.475*44/12</f>
        <v>13.412718904488015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65.030494015966852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-2.2737367544323206E-13</v>
      </c>
      <c r="DP160" s="17">
        <f>DO160*VLOOKUP('Données projet'!$B$14,Paramètres!$A$1:$I$89,3,0)*VLOOKUP('Données projet'!$B$14,Paramètres!$A$1:$I$89,5,0)</f>
        <v>-1.3596945791505279E-13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393.01180019332998</v>
      </c>
      <c r="DU160" s="59">
        <f t="shared" si="152"/>
        <v>283.82782416294748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51.617775111478842</v>
      </c>
      <c r="EB160" s="21">
        <f>EXP(-LN(2)/25)*EB159+(1-EXP(-LN(2)/25))/(LN(2)/25)*Calculateur!DW160*Calculateur!DY160*VLOOKUP('Données projet'!$B$14,Paramètres!$A$1:$I$89,3,0)*0.475*44/12</f>
        <v>13.412718904488015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65.030494015966852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18.239519999999974</v>
      </c>
      <c r="D161" s="11">
        <f t="shared" si="140"/>
        <v>5.9949216231793638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37.414576541048802</v>
      </c>
      <c r="H161" s="67">
        <f t="shared" si="110"/>
        <v>298.87498582703734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-5.3205440053716299E-14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189.8770435341392</v>
      </c>
      <c r="T161" s="59">
        <f t="shared" si="142"/>
        <v>230.18380961122767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15.762183114890732</v>
      </c>
      <c r="AA161" s="21">
        <f>EXP(-LN(2)/25)*AA160+(1-EXP(-LN(2)/25))/(LN(2)/25)*Calculateur!V161*Calculateur!X161*VLOOKUP('Données projet'!$B$9,Paramètres!$A$1:$I$89,3,0)*0.475*44/12</f>
        <v>4.1135414336487974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19.87572454853953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-3.4106051316484809E-13</v>
      </c>
      <c r="AJ161" s="13">
        <f>AI161*VLOOKUP('Données projet'!$B$10,Paramètres!$A$1:$I$89,3,0)*VLOOKUP('Données projet'!$B$10,Paramètres!$A$1:$I$89,5,0)</f>
        <v>-1.5074874681886286E-13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207.77463758757142</v>
      </c>
      <c r="AO161" s="59">
        <f t="shared" si="144"/>
        <v>180.50802165484066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22.322598442425559</v>
      </c>
      <c r="AV161" s="21">
        <f>EXP(-LN(2)/25)*AV160+(1-EXP(-LN(2)/25))/(LN(2)/25)*Calculateur!AQ161*Calculateur!AS161*VLOOKUP('Données projet'!$B$10,Paramètres!$A$1:$I$89,3,0)*0.475*44/12</f>
        <v>6.3094635115323792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28.632061953957937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-2.2737367544323206E-13</v>
      </c>
      <c r="BE161" s="13">
        <f>BD161*VLOOKUP('Données projet'!$B$11,Paramètres!$A$1:$I$89,3,0)*VLOOKUP('Données projet'!$B$11,Paramètres!$A$1:$I$89,5,0)</f>
        <v>-1.3596945791505279E-13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393.01180019332998</v>
      </c>
      <c r="BJ161" s="59">
        <f t="shared" si="146"/>
        <v>283.82782416294748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50.605582025276803</v>
      </c>
      <c r="BQ161" s="21">
        <f>EXP(-LN(2)/25)*BQ160+(1-EXP(-LN(2)/25))/(LN(2)/25)*Calculateur!BL161*Calculateur!BN161*VLOOKUP('Données projet'!$B$11,Paramètres!$A$1:$I$89,3,0)*0.475*44/12</f>
        <v>13.045947400700559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63.651529425977358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-2.2737367544323206E-13</v>
      </c>
      <c r="BZ161" s="13">
        <f>BY161*VLOOKUP('Données projet'!$B$12,Paramètres!$A$1:$I$89,3,0)*VLOOKUP('Données projet'!$B$12,Paramètres!$A$1:$I$89,5,0)</f>
        <v>-1.3596945791505279E-13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393.01180019332998</v>
      </c>
      <c r="CE161" s="59">
        <f t="shared" si="148"/>
        <v>283.82782416294748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50.605582025276803</v>
      </c>
      <c r="CL161" s="21">
        <f>EXP(-LN(2)/25)*CL160+(1-EXP(-LN(2)/25))/(LN(2)/25)*Calculateur!CG161*Calculateur!CI161*VLOOKUP('Données projet'!$B$12,Paramètres!$A$1:$I$89,3,0)*0.475*44/12</f>
        <v>13.045947400700559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63.651529425977358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-2.2737367544323206E-13</v>
      </c>
      <c r="CU161" s="17">
        <f>CT161*VLOOKUP('Données projet'!$B$13,Paramètres!$A$1:$I$89,3,0)*VLOOKUP('Données projet'!$B$13,Paramètres!$A$1:$I$89,5,0)</f>
        <v>-1.3596945791505279E-13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393.01180019332998</v>
      </c>
      <c r="CZ161" s="59">
        <f t="shared" si="150"/>
        <v>283.82782416294748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50.605582025276803</v>
      </c>
      <c r="DG161" s="21">
        <f>EXP(-LN(2)/25)*DG160+(1-EXP(-LN(2)/25))/(LN(2)/25)*Calculateur!DB161*Calculateur!DD161*VLOOKUP('Données projet'!$B$13,Paramètres!$A$1:$I$89,3,0)*0.475*44/12</f>
        <v>13.045947400700559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63.651529425977358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-2.2737367544323206E-13</v>
      </c>
      <c r="DP161" s="17">
        <f>DO161*VLOOKUP('Données projet'!$B$14,Paramètres!$A$1:$I$89,3,0)*VLOOKUP('Données projet'!$B$14,Paramètres!$A$1:$I$89,5,0)</f>
        <v>-1.3596945791505279E-13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393.01180019332998</v>
      </c>
      <c r="DU161" s="59">
        <f t="shared" si="152"/>
        <v>283.82782416294748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50.605582025276803</v>
      </c>
      <c r="EB161" s="21">
        <f>EXP(-LN(2)/25)*EB160+(1-EXP(-LN(2)/25))/(LN(2)/25)*Calculateur!DW161*Calculateur!DY161*VLOOKUP('Données projet'!$B$14,Paramètres!$A$1:$I$89,3,0)*0.475*44/12</f>
        <v>13.045947400700559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63.651529425977358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18.354959999999974</v>
      </c>
      <c r="D162" s="11">
        <f t="shared" si="140"/>
        <v>6.0284353327465166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37.644540162836684</v>
      </c>
      <c r="H162" s="67">
        <f t="shared" si="110"/>
        <v>299.13441353786681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-5.3205440053716299E-14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189.8770435341392</v>
      </c>
      <c r="T162" s="59">
        <f t="shared" si="142"/>
        <v>230.18380961122767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15.453096317990124</v>
      </c>
      <c r="AA162" s="21">
        <f>EXP(-LN(2)/25)*AA161+(1-EXP(-LN(2)/25))/(LN(2)/25)*Calculateur!V162*Calculateur!X162*VLOOKUP('Données projet'!$B$9,Paramètres!$A$1:$I$89,3,0)*0.475*44/12</f>
        <v>4.0010564268239284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19.454152744814053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-3.4106051316484809E-13</v>
      </c>
      <c r="AJ162" s="13">
        <f>AI162*VLOOKUP('Données projet'!$B$10,Paramètres!$A$1:$I$89,3,0)*VLOOKUP('Données projet'!$B$10,Paramètres!$A$1:$I$89,5,0)</f>
        <v>-1.5074874681886286E-13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207.77463758757142</v>
      </c>
      <c r="AO162" s="59">
        <f t="shared" si="144"/>
        <v>180.50802165484066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21.88486590241023</v>
      </c>
      <c r="AV162" s="21">
        <f>EXP(-LN(2)/25)*AV161+(1-EXP(-LN(2)/25))/(LN(2)/25)*Calculateur!AQ162*Calculateur!AS162*VLOOKUP('Données projet'!$B$10,Paramètres!$A$1:$I$89,3,0)*0.475*44/12</f>
        <v>6.1369309000092604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28.021796802419491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-2.2737367544323206E-13</v>
      </c>
      <c r="BE162" s="13">
        <f>BD162*VLOOKUP('Données projet'!$B$11,Paramètres!$A$1:$I$89,3,0)*VLOOKUP('Données projet'!$B$11,Paramètres!$A$1:$I$89,5,0)</f>
        <v>-1.3596945791505279E-13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393.01180019332998</v>
      </c>
      <c r="BJ162" s="59">
        <f t="shared" si="146"/>
        <v>283.82782416294748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49.61323742811836</v>
      </c>
      <c r="BQ162" s="21">
        <f>EXP(-LN(2)/25)*BQ161+(1-EXP(-LN(2)/25))/(LN(2)/25)*Calculateur!BL162*Calculateur!BN162*VLOOKUP('Données projet'!$B$11,Paramètres!$A$1:$I$89,3,0)*0.475*44/12</f>
        <v>12.689205282971844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62.302442711090208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-2.2737367544323206E-13</v>
      </c>
      <c r="BZ162" s="13">
        <f>BY162*VLOOKUP('Données projet'!$B$12,Paramètres!$A$1:$I$89,3,0)*VLOOKUP('Données projet'!$B$12,Paramètres!$A$1:$I$89,5,0)</f>
        <v>-1.3596945791505279E-13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393.01180019332998</v>
      </c>
      <c r="CE162" s="59">
        <f t="shared" si="148"/>
        <v>283.82782416294748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49.61323742811836</v>
      </c>
      <c r="CL162" s="21">
        <f>EXP(-LN(2)/25)*CL161+(1-EXP(-LN(2)/25))/(LN(2)/25)*Calculateur!CG162*Calculateur!CI162*VLOOKUP('Données projet'!$B$12,Paramètres!$A$1:$I$89,3,0)*0.475*44/12</f>
        <v>12.689205282971844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62.302442711090208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-2.2737367544323206E-13</v>
      </c>
      <c r="CU162" s="17">
        <f>CT162*VLOOKUP('Données projet'!$B$13,Paramètres!$A$1:$I$89,3,0)*VLOOKUP('Données projet'!$B$13,Paramètres!$A$1:$I$89,5,0)</f>
        <v>-1.3596945791505279E-13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393.01180019332998</v>
      </c>
      <c r="CZ162" s="59">
        <f t="shared" si="150"/>
        <v>283.82782416294748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49.61323742811836</v>
      </c>
      <c r="DG162" s="21">
        <f>EXP(-LN(2)/25)*DG161+(1-EXP(-LN(2)/25))/(LN(2)/25)*Calculateur!DB162*Calculateur!DD162*VLOOKUP('Données projet'!$B$13,Paramètres!$A$1:$I$89,3,0)*0.475*44/12</f>
        <v>12.689205282971844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62.302442711090208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-2.2737367544323206E-13</v>
      </c>
      <c r="DP162" s="17">
        <f>DO162*VLOOKUP('Données projet'!$B$14,Paramètres!$A$1:$I$89,3,0)*VLOOKUP('Données projet'!$B$14,Paramètres!$A$1:$I$89,5,0)</f>
        <v>-1.3596945791505279E-13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393.01180019332998</v>
      </c>
      <c r="DU162" s="59">
        <f t="shared" si="152"/>
        <v>283.82782416294748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49.61323742811836</v>
      </c>
      <c r="EB162" s="21">
        <f>EXP(-LN(2)/25)*EB161+(1-EXP(-LN(2)/25))/(LN(2)/25)*Calculateur!DW162*Calculateur!DY162*VLOOKUP('Données projet'!$B$14,Paramètres!$A$1:$I$89,3,0)*0.475*44/12</f>
        <v>12.689205282971844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62.302442711090208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18.470399999999973</v>
      </c>
      <c r="D163" s="11">
        <f t="shared" si="140"/>
        <v>6.061924516556279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37.874465920297375</v>
      </c>
      <c r="H163" s="67">
        <f t="shared" si="110"/>
        <v>299.39379853300215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-5.3205440053716299E-14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189.8770435341392</v>
      </c>
      <c r="T163" s="59">
        <f t="shared" si="142"/>
        <v>230.18380961122767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15.150070524652405</v>
      </c>
      <c r="AA163" s="21">
        <f>EXP(-LN(2)/25)*AA162+(1-EXP(-LN(2)/25))/(LN(2)/25)*Calculateur!V163*Calculateur!X163*VLOOKUP('Données projet'!$B$9,Paramètres!$A$1:$I$89,3,0)*0.475*44/12</f>
        <v>3.8916473284260151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19.041717853078421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-3.4106051316484809E-13</v>
      </c>
      <c r="AJ163" s="13">
        <f>AI163*VLOOKUP('Données projet'!$B$10,Paramètres!$A$1:$I$89,3,0)*VLOOKUP('Données projet'!$B$10,Paramètres!$A$1:$I$89,5,0)</f>
        <v>-1.5074874681886286E-13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207.77463758757142</v>
      </c>
      <c r="AO163" s="59">
        <f t="shared" si="144"/>
        <v>180.50802165484066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21.455717030514116</v>
      </c>
      <c r="AV163" s="21">
        <f>EXP(-LN(2)/25)*AV162+(1-EXP(-LN(2)/25))/(LN(2)/25)*Calculateur!AQ163*Calculateur!AS163*VLOOKUP('Données projet'!$B$10,Paramètres!$A$1:$I$89,3,0)*0.475*44/12</f>
        <v>5.9691162018213371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27.424833232335452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-2.2737367544323206E-13</v>
      </c>
      <c r="BE163" s="13">
        <f>BD163*VLOOKUP('Données projet'!$B$11,Paramètres!$A$1:$I$89,3,0)*VLOOKUP('Données projet'!$B$11,Paramètres!$A$1:$I$89,5,0)</f>
        <v>-1.3596945791505279E-13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393.01180019332998</v>
      </c>
      <c r="BJ163" s="59">
        <f t="shared" si="146"/>
        <v>283.82782416294748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48.640352103239756</v>
      </c>
      <c r="BQ163" s="21">
        <f>EXP(-LN(2)/25)*BQ162+(1-EXP(-LN(2)/25))/(LN(2)/25)*Calculateur!BL163*Calculateur!BN163*VLOOKUP('Données projet'!$B$11,Paramètres!$A$1:$I$89,3,0)*0.475*44/12</f>
        <v>12.342218297212675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60.982570400452431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-2.2737367544323206E-13</v>
      </c>
      <c r="BZ163" s="13">
        <f>BY163*VLOOKUP('Données projet'!$B$12,Paramètres!$A$1:$I$89,3,0)*VLOOKUP('Données projet'!$B$12,Paramètres!$A$1:$I$89,5,0)</f>
        <v>-1.3596945791505279E-13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393.01180019332998</v>
      </c>
      <c r="CE163" s="59">
        <f t="shared" si="148"/>
        <v>283.82782416294748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48.640352103239756</v>
      </c>
      <c r="CL163" s="21">
        <f>EXP(-LN(2)/25)*CL162+(1-EXP(-LN(2)/25))/(LN(2)/25)*Calculateur!CG163*Calculateur!CI163*VLOOKUP('Données projet'!$B$12,Paramètres!$A$1:$I$89,3,0)*0.475*44/12</f>
        <v>12.342218297212675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60.982570400452431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-2.2737367544323206E-13</v>
      </c>
      <c r="CU163" s="17">
        <f>CT163*VLOOKUP('Données projet'!$B$13,Paramètres!$A$1:$I$89,3,0)*VLOOKUP('Données projet'!$B$13,Paramètres!$A$1:$I$89,5,0)</f>
        <v>-1.3596945791505279E-13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393.01180019332998</v>
      </c>
      <c r="CZ163" s="59">
        <f t="shared" si="150"/>
        <v>283.82782416294748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48.640352103239756</v>
      </c>
      <c r="DG163" s="21">
        <f>EXP(-LN(2)/25)*DG162+(1-EXP(-LN(2)/25))/(LN(2)/25)*Calculateur!DB163*Calculateur!DD163*VLOOKUP('Données projet'!$B$13,Paramètres!$A$1:$I$89,3,0)*0.475*44/12</f>
        <v>12.342218297212675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60.982570400452431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-2.2737367544323206E-13</v>
      </c>
      <c r="DP163" s="17">
        <f>DO163*VLOOKUP('Données projet'!$B$14,Paramètres!$A$1:$I$89,3,0)*VLOOKUP('Données projet'!$B$14,Paramètres!$A$1:$I$89,5,0)</f>
        <v>-1.3596945791505279E-13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393.01180019332998</v>
      </c>
      <c r="DU163" s="59">
        <f t="shared" si="152"/>
        <v>283.82782416294748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48.640352103239756</v>
      </c>
      <c r="EB163" s="21">
        <f>EXP(-LN(2)/25)*EB162+(1-EXP(-LN(2)/25))/(LN(2)/25)*Calculateur!DW163*Calculateur!DY163*VLOOKUP('Données projet'!$B$14,Paramètres!$A$1:$I$89,3,0)*0.475*44/12</f>
        <v>12.342218297212675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60.982570400452431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18.585839999999973</v>
      </c>
      <c r="D164" s="11">
        <f t="shared" si="140"/>
        <v>6.0953893456771233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38.10435407753657</v>
      </c>
      <c r="H164" s="67">
        <f t="shared" si="110"/>
        <v>299.65314111038765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-5.3205440053716299E-14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189.8770435341392</v>
      </c>
      <c r="T164" s="59">
        <f t="shared" si="142"/>
        <v>230.18380961122767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14.852986882294555</v>
      </c>
      <c r="AA164" s="21">
        <f>EXP(-LN(2)/25)*AA163+(1-EXP(-LN(2)/25))/(LN(2)/25)*Calculateur!V164*Calculateur!X164*VLOOKUP('Données projet'!$B$9,Paramètres!$A$1:$I$89,3,0)*0.475*44/12</f>
        <v>3.7852300275773674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18.638216909871922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-3.4106051316484809E-13</v>
      </c>
      <c r="AJ164" s="13">
        <f>AI164*VLOOKUP('Données projet'!$B$10,Paramètres!$A$1:$I$89,3,0)*VLOOKUP('Données projet'!$B$10,Paramètres!$A$1:$I$89,5,0)</f>
        <v>-1.5074874681886286E-13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207.77463758757142</v>
      </c>
      <c r="AO164" s="59">
        <f t="shared" si="144"/>
        <v>180.50802165484066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21.03498350624092</v>
      </c>
      <c r="AV164" s="21">
        <f>EXP(-LN(2)/25)*AV163+(1-EXP(-LN(2)/25))/(LN(2)/25)*Calculateur!AQ164*Calculateur!AS164*VLOOKUP('Données projet'!$B$10,Paramètres!$A$1:$I$89,3,0)*0.475*44/12</f>
        <v>5.8058904053803539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26.840873911621273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-2.2737367544323206E-13</v>
      </c>
      <c r="BE164" s="13">
        <f>BD164*VLOOKUP('Données projet'!$B$11,Paramètres!$A$1:$I$89,3,0)*VLOOKUP('Données projet'!$B$11,Paramètres!$A$1:$I$89,5,0)</f>
        <v>-1.3596945791505279E-13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393.01180019332998</v>
      </c>
      <c r="BJ164" s="59">
        <f t="shared" si="146"/>
        <v>283.82782416294748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47.686544466180564</v>
      </c>
      <c r="BQ164" s="21">
        <f>EXP(-LN(2)/25)*BQ163+(1-EXP(-LN(2)/25))/(LN(2)/25)*Calculateur!BL164*Calculateur!BN164*VLOOKUP('Données projet'!$B$11,Paramètres!$A$1:$I$89,3,0)*0.475*44/12</f>
        <v>12.004719688826343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59.691264155006905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-2.2737367544323206E-13</v>
      </c>
      <c r="BZ164" s="13">
        <f>BY164*VLOOKUP('Données projet'!$B$12,Paramètres!$A$1:$I$89,3,0)*VLOOKUP('Données projet'!$B$12,Paramètres!$A$1:$I$89,5,0)</f>
        <v>-1.3596945791505279E-13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393.01180019332998</v>
      </c>
      <c r="CE164" s="59">
        <f t="shared" si="148"/>
        <v>283.82782416294748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47.686544466180564</v>
      </c>
      <c r="CL164" s="21">
        <f>EXP(-LN(2)/25)*CL163+(1-EXP(-LN(2)/25))/(LN(2)/25)*Calculateur!CG164*Calculateur!CI164*VLOOKUP('Données projet'!$B$12,Paramètres!$A$1:$I$89,3,0)*0.475*44/12</f>
        <v>12.004719688826343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59.691264155006905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-2.2737367544323206E-13</v>
      </c>
      <c r="CU164" s="17">
        <f>CT164*VLOOKUP('Données projet'!$B$13,Paramètres!$A$1:$I$89,3,0)*VLOOKUP('Données projet'!$B$13,Paramètres!$A$1:$I$89,5,0)</f>
        <v>-1.3596945791505279E-13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393.01180019332998</v>
      </c>
      <c r="CZ164" s="59">
        <f t="shared" si="150"/>
        <v>283.82782416294748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47.686544466180564</v>
      </c>
      <c r="DG164" s="21">
        <f>EXP(-LN(2)/25)*DG163+(1-EXP(-LN(2)/25))/(LN(2)/25)*Calculateur!DB164*Calculateur!DD164*VLOOKUP('Données projet'!$B$13,Paramètres!$A$1:$I$89,3,0)*0.475*44/12</f>
        <v>12.004719688826343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59.691264155006905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-2.2737367544323206E-13</v>
      </c>
      <c r="DP164" s="17">
        <f>DO164*VLOOKUP('Données projet'!$B$14,Paramètres!$A$1:$I$89,3,0)*VLOOKUP('Données projet'!$B$14,Paramètres!$A$1:$I$89,5,0)</f>
        <v>-1.3596945791505279E-13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393.01180019332998</v>
      </c>
      <c r="DU164" s="59">
        <f t="shared" si="152"/>
        <v>283.82782416294748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47.686544466180564</v>
      </c>
      <c r="EB164" s="21">
        <f>EXP(-LN(2)/25)*EB163+(1-EXP(-LN(2)/25))/(LN(2)/25)*Calculateur!DW164*Calculateur!DY164*VLOOKUP('Données projet'!$B$14,Paramètres!$A$1:$I$89,3,0)*0.475*44/12</f>
        <v>12.004719688826343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59.691264155006905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18.701279999999972</v>
      </c>
      <c r="D165" s="11">
        <f t="shared" si="140"/>
        <v>6.1288299889295379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38.334204895189423</v>
      </c>
      <c r="H165" s="67">
        <f t="shared" si="110"/>
        <v>299.91244156405224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-5.3205440053716299E-14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189.8770435341392</v>
      </c>
      <c r="T165" s="59">
        <f t="shared" si="142"/>
        <v>230.18380961122767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14.561728868960213</v>
      </c>
      <c r="AA165" s="21">
        <f>EXP(-LN(2)/25)*AA164+(1-EXP(-LN(2)/25))/(LN(2)/25)*Calculateur!V165*Calculateur!X165*VLOOKUP('Données projet'!$B$9,Paramètres!$A$1:$I$89,3,0)*0.475*44/12</f>
        <v>3.6817227134166686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18.243451582376881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-3.4106051316484809E-13</v>
      </c>
      <c r="AJ165" s="13">
        <f>AI165*VLOOKUP('Données projet'!$B$10,Paramètres!$A$1:$I$89,3,0)*VLOOKUP('Données projet'!$B$10,Paramètres!$A$1:$I$89,5,0)</f>
        <v>-1.5074874681886286E-13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207.77463758757142</v>
      </c>
      <c r="AO165" s="59">
        <f t="shared" si="144"/>
        <v>180.50802165484066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20.62250030975661</v>
      </c>
      <c r="AV165" s="21">
        <f>EXP(-LN(2)/25)*AV164+(1-EXP(-LN(2)/25))/(LN(2)/25)*Calculateur!AQ165*Calculateur!AS165*VLOOKUP('Données projet'!$B$10,Paramètres!$A$1:$I$89,3,0)*0.475*44/12</f>
        <v>5.6471280269267217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26.269628336683333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-2.2737367544323206E-13</v>
      </c>
      <c r="BE165" s="13">
        <f>BD165*VLOOKUP('Données projet'!$B$11,Paramètres!$A$1:$I$89,3,0)*VLOOKUP('Données projet'!$B$11,Paramètres!$A$1:$I$89,5,0)</f>
        <v>-1.3596945791505279E-13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393.01180019332998</v>
      </c>
      <c r="BJ165" s="59">
        <f t="shared" si="146"/>
        <v>283.82782416294748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46.751440415118893</v>
      </c>
      <c r="BQ165" s="21">
        <f>EXP(-LN(2)/25)*BQ164+(1-EXP(-LN(2)/25))/(LN(2)/25)*Calculateur!BL165*Calculateur!BN165*VLOOKUP('Données projet'!$B$11,Paramètres!$A$1:$I$89,3,0)*0.475*44/12</f>
        <v>11.676449997634615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58.427890412753506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-2.2737367544323206E-13</v>
      </c>
      <c r="BZ165" s="13">
        <f>BY165*VLOOKUP('Données projet'!$B$12,Paramètres!$A$1:$I$89,3,0)*VLOOKUP('Données projet'!$B$12,Paramètres!$A$1:$I$89,5,0)</f>
        <v>-1.3596945791505279E-13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393.01180019332998</v>
      </c>
      <c r="CE165" s="59">
        <f t="shared" si="148"/>
        <v>283.82782416294748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46.751440415118893</v>
      </c>
      <c r="CL165" s="21">
        <f>EXP(-LN(2)/25)*CL164+(1-EXP(-LN(2)/25))/(LN(2)/25)*Calculateur!CG165*Calculateur!CI165*VLOOKUP('Données projet'!$B$12,Paramètres!$A$1:$I$89,3,0)*0.475*44/12</f>
        <v>11.676449997634615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58.427890412753506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-2.2737367544323206E-13</v>
      </c>
      <c r="CU165" s="17">
        <f>CT165*VLOOKUP('Données projet'!$B$13,Paramètres!$A$1:$I$89,3,0)*VLOOKUP('Données projet'!$B$13,Paramètres!$A$1:$I$89,5,0)</f>
        <v>-1.3596945791505279E-13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393.01180019332998</v>
      </c>
      <c r="CZ165" s="59">
        <f t="shared" si="150"/>
        <v>283.82782416294748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46.751440415118893</v>
      </c>
      <c r="DG165" s="21">
        <f>EXP(-LN(2)/25)*DG164+(1-EXP(-LN(2)/25))/(LN(2)/25)*Calculateur!DB165*Calculateur!DD165*VLOOKUP('Données projet'!$B$13,Paramètres!$A$1:$I$89,3,0)*0.475*44/12</f>
        <v>11.676449997634615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58.427890412753506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-2.2737367544323206E-13</v>
      </c>
      <c r="DP165" s="17">
        <f>DO165*VLOOKUP('Données projet'!$B$14,Paramètres!$A$1:$I$89,3,0)*VLOOKUP('Données projet'!$B$14,Paramètres!$A$1:$I$89,5,0)</f>
        <v>-1.3596945791505279E-13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393.01180019332998</v>
      </c>
      <c r="DU165" s="59">
        <f t="shared" si="152"/>
        <v>283.82782416294748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46.751440415118893</v>
      </c>
      <c r="EB165" s="21">
        <f>EXP(-LN(2)/25)*EB164+(1-EXP(-LN(2)/25))/(LN(2)/25)*Calculateur!DW165*Calculateur!DY165*VLOOKUP('Données projet'!$B$14,Paramètres!$A$1:$I$89,3,0)*0.475*44/12</f>
        <v>11.676449997634615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58.427890412753506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18.816719999999972</v>
      </c>
      <c r="D166" s="11">
        <f t="shared" si="140"/>
        <v>6.162246612929259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38.564018630487247</v>
      </c>
      <c r="H166" s="67">
        <f t="shared" si="110"/>
        <v>300.17170018418511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-5.3205440053716299E-14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189.8770435341392</v>
      </c>
      <c r="T166" s="59">
        <f t="shared" si="142"/>
        <v>230.18380961122767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14.276182247617511</v>
      </c>
      <c r="AA166" s="21">
        <f>EXP(-LN(2)/25)*AA165+(1-EXP(-LN(2)/25))/(LN(2)/25)*Calculateur!V166*Calculateur!X166*VLOOKUP('Données projet'!$B$9,Paramètres!$A$1:$I$89,3,0)*0.475*44/12</f>
        <v>3.5810458122049069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17.857228059822418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-3.4106051316484809E-13</v>
      </c>
      <c r="AJ166" s="13">
        <f>AI166*VLOOKUP('Données projet'!$B$10,Paramètres!$A$1:$I$89,3,0)*VLOOKUP('Données projet'!$B$10,Paramètres!$A$1:$I$89,5,0)</f>
        <v>-1.5074874681886286E-13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207.77463758757142</v>
      </c>
      <c r="AO166" s="59">
        <f t="shared" si="144"/>
        <v>180.50802165484066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20.218105657165449</v>
      </c>
      <c r="AV166" s="21">
        <f>EXP(-LN(2)/25)*AV165+(1-EXP(-LN(2)/25))/(LN(2)/25)*Calculateur!AQ166*Calculateur!AS166*VLOOKUP('Données projet'!$B$10,Paramètres!$A$1:$I$89,3,0)*0.475*44/12</f>
        <v>5.492707014060854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25.710812671226304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-2.2737367544323206E-13</v>
      </c>
      <c r="BE166" s="13">
        <f>BD166*VLOOKUP('Données projet'!$B$11,Paramètres!$A$1:$I$89,3,0)*VLOOKUP('Données projet'!$B$11,Paramètres!$A$1:$I$89,5,0)</f>
        <v>-1.3596945791505279E-13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393.01180019332998</v>
      </c>
      <c r="BJ166" s="59">
        <f t="shared" si="146"/>
        <v>283.82782416294748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45.834673184141387</v>
      </c>
      <c r="BQ166" s="21">
        <f>EXP(-LN(2)/25)*BQ165+(1-EXP(-LN(2)/25))/(LN(2)/25)*Calculateur!BL166*Calculateur!BN166*VLOOKUP('Données projet'!$B$11,Paramètres!$A$1:$I$89,3,0)*0.475*44/12</f>
        <v>11.357156858411479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57.191830042552866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-2.2737367544323206E-13</v>
      </c>
      <c r="BZ166" s="13">
        <f>BY166*VLOOKUP('Données projet'!$B$12,Paramètres!$A$1:$I$89,3,0)*VLOOKUP('Données projet'!$B$12,Paramètres!$A$1:$I$89,5,0)</f>
        <v>-1.3596945791505279E-13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393.01180019332998</v>
      </c>
      <c r="CE166" s="59">
        <f t="shared" si="148"/>
        <v>283.82782416294748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45.834673184141387</v>
      </c>
      <c r="CL166" s="21">
        <f>EXP(-LN(2)/25)*CL165+(1-EXP(-LN(2)/25))/(LN(2)/25)*Calculateur!CG166*Calculateur!CI166*VLOOKUP('Données projet'!$B$12,Paramètres!$A$1:$I$89,3,0)*0.475*44/12</f>
        <v>11.357156858411479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57.191830042552866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-2.2737367544323206E-13</v>
      </c>
      <c r="CU166" s="17">
        <f>CT166*VLOOKUP('Données projet'!$B$13,Paramètres!$A$1:$I$89,3,0)*VLOOKUP('Données projet'!$B$13,Paramètres!$A$1:$I$89,5,0)</f>
        <v>-1.3596945791505279E-13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393.01180019332998</v>
      </c>
      <c r="CZ166" s="59">
        <f t="shared" si="150"/>
        <v>283.82782416294748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45.834673184141387</v>
      </c>
      <c r="DG166" s="21">
        <f>EXP(-LN(2)/25)*DG165+(1-EXP(-LN(2)/25))/(LN(2)/25)*Calculateur!DB166*Calculateur!DD166*VLOOKUP('Données projet'!$B$13,Paramètres!$A$1:$I$89,3,0)*0.475*44/12</f>
        <v>11.357156858411479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57.191830042552866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-2.2737367544323206E-13</v>
      </c>
      <c r="DP166" s="17">
        <f>DO166*VLOOKUP('Données projet'!$B$14,Paramètres!$A$1:$I$89,3,0)*VLOOKUP('Données projet'!$B$14,Paramètres!$A$1:$I$89,5,0)</f>
        <v>-1.3596945791505279E-13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393.01180019332998</v>
      </c>
      <c r="DU166" s="59">
        <f t="shared" si="152"/>
        <v>283.82782416294748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45.834673184141387</v>
      </c>
      <c r="EB166" s="21">
        <f>EXP(-LN(2)/25)*EB165+(1-EXP(-LN(2)/25))/(LN(2)/25)*Calculateur!DW166*Calculateur!DY166*VLOOKUP('Données projet'!$B$14,Paramètres!$A$1:$I$89,3,0)*0.475*44/12</f>
        <v>11.357156858411479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57.191830042552866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18.932159999999971</v>
      </c>
      <c r="D167" s="11">
        <f t="shared" si="140"/>
        <v>6.1956393821294089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38.793795537322566</v>
      </c>
      <c r="H167" s="67">
        <f t="shared" si="110"/>
        <v>300.4309172572087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-5.3205440053716299E-14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189.8770435341392</v>
      </c>
      <c r="T167" s="59">
        <f t="shared" si="142"/>
        <v>230.18380961122767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13.996235021353097</v>
      </c>
      <c r="AA167" s="21">
        <f>EXP(-LN(2)/25)*AA166+(1-EXP(-LN(2)/25))/(LN(2)/25)*Calculateur!V167*Calculateur!X167*VLOOKUP('Données projet'!$B$9,Paramètres!$A$1:$I$89,3,0)*0.475*44/12</f>
        <v>3.4831219261511492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17.479356947504247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-3.4106051316484809E-13</v>
      </c>
      <c r="AJ167" s="13">
        <f>AI167*VLOOKUP('Données projet'!$B$10,Paramètres!$A$1:$I$89,3,0)*VLOOKUP('Données projet'!$B$10,Paramètres!$A$1:$I$89,5,0)</f>
        <v>-1.5074874681886286E-13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207.77463758757142</v>
      </c>
      <c r="AO167" s="59">
        <f t="shared" si="144"/>
        <v>180.50802165484066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19.821640937055218</v>
      </c>
      <c r="AV167" s="21">
        <f>EXP(-LN(2)/25)*AV166+(1-EXP(-LN(2)/25))/(LN(2)/25)*Calculateur!AQ167*Calculateur!AS167*VLOOKUP('Données projet'!$B$10,Paramètres!$A$1:$I$89,3,0)*0.475*44/12</f>
        <v>5.3425086519124516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25.164149588967668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-2.2737367544323206E-13</v>
      </c>
      <c r="BE167" s="13">
        <f>BD167*VLOOKUP('Données projet'!$B$11,Paramètres!$A$1:$I$89,3,0)*VLOOKUP('Données projet'!$B$11,Paramètres!$A$1:$I$89,5,0)</f>
        <v>-1.3596945791505279E-13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393.01180019332998</v>
      </c>
      <c r="BJ167" s="59">
        <f t="shared" si="146"/>
        <v>283.82782416294748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44.935883199390553</v>
      </c>
      <c r="BQ167" s="21">
        <f>EXP(-LN(2)/25)*BQ166+(1-EXP(-LN(2)/25))/(LN(2)/25)*Calculateur!BL167*Calculateur!BN167*VLOOKUP('Données projet'!$B$11,Paramètres!$A$1:$I$89,3,0)*0.475*44/12</f>
        <v>11.046594806871294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55.982478006261843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-2.2737367544323206E-13</v>
      </c>
      <c r="BZ167" s="13">
        <f>BY167*VLOOKUP('Données projet'!$B$12,Paramètres!$A$1:$I$89,3,0)*VLOOKUP('Données projet'!$B$12,Paramètres!$A$1:$I$89,5,0)</f>
        <v>-1.3596945791505279E-13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393.01180019332998</v>
      </c>
      <c r="CE167" s="59">
        <f t="shared" si="148"/>
        <v>283.82782416294748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44.935883199390553</v>
      </c>
      <c r="CL167" s="21">
        <f>EXP(-LN(2)/25)*CL166+(1-EXP(-LN(2)/25))/(LN(2)/25)*Calculateur!CG167*Calculateur!CI167*VLOOKUP('Données projet'!$B$12,Paramètres!$A$1:$I$89,3,0)*0.475*44/12</f>
        <v>11.046594806871294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55.982478006261843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-2.2737367544323206E-13</v>
      </c>
      <c r="CU167" s="17">
        <f>CT167*VLOOKUP('Données projet'!$B$13,Paramètres!$A$1:$I$89,3,0)*VLOOKUP('Données projet'!$B$13,Paramètres!$A$1:$I$89,5,0)</f>
        <v>-1.3596945791505279E-13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393.01180019332998</v>
      </c>
      <c r="CZ167" s="59">
        <f t="shared" si="150"/>
        <v>283.82782416294748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44.935883199390553</v>
      </c>
      <c r="DG167" s="21">
        <f>EXP(-LN(2)/25)*DG166+(1-EXP(-LN(2)/25))/(LN(2)/25)*Calculateur!DB167*Calculateur!DD167*VLOOKUP('Données projet'!$B$13,Paramètres!$A$1:$I$89,3,0)*0.475*44/12</f>
        <v>11.046594806871294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55.982478006261843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-2.2737367544323206E-13</v>
      </c>
      <c r="DP167" s="17">
        <f>DO167*VLOOKUP('Données projet'!$B$14,Paramètres!$A$1:$I$89,3,0)*VLOOKUP('Données projet'!$B$14,Paramètres!$A$1:$I$89,5,0)</f>
        <v>-1.3596945791505279E-13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393.01180019332998</v>
      </c>
      <c r="DU167" s="59">
        <f t="shared" si="152"/>
        <v>283.82782416294748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44.935883199390553</v>
      </c>
      <c r="EB167" s="21">
        <f>EXP(-LN(2)/25)*EB166+(1-EXP(-LN(2)/25))/(LN(2)/25)*Calculateur!DW167*Calculateur!DY167*VLOOKUP('Données projet'!$B$14,Paramètres!$A$1:$I$89,3,0)*0.475*44/12</f>
        <v>11.046594806871294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55.982478006261843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19.047599999999971</v>
      </c>
      <c r="D168" s="11">
        <f t="shared" si="140"/>
        <v>6.2290084588615757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39.023535866312564</v>
      </c>
      <c r="H168" s="67">
        <f t="shared" si="110"/>
        <v>300.69009306585053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-5.3205440053716299E-14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189.8770435341392</v>
      </c>
      <c r="T168" s="59">
        <f t="shared" si="142"/>
        <v>230.18380961122767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13.721777389444782</v>
      </c>
      <c r="AA168" s="21">
        <f>EXP(-LN(2)/25)*AA167+(1-EXP(-LN(2)/25))/(LN(2)/25)*Calculateur!V168*Calculateur!X168*VLOOKUP('Données projet'!$B$9,Paramètres!$A$1:$I$89,3,0)*0.475*44/12</f>
        <v>3.3878757739111247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17.109653163355908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-3.4106051316484809E-13</v>
      </c>
      <c r="AJ168" s="13">
        <f>AI168*VLOOKUP('Données projet'!$B$10,Paramètres!$A$1:$I$89,3,0)*VLOOKUP('Données projet'!$B$10,Paramètres!$A$1:$I$89,5,0)</f>
        <v>-1.5074874681886286E-13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207.77463758757142</v>
      </c>
      <c r="AO168" s="59">
        <f t="shared" si="144"/>
        <v>180.50802165484066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19.432950648286749</v>
      </c>
      <c r="AV168" s="21">
        <f>EXP(-LN(2)/25)*AV167+(1-EXP(-LN(2)/25))/(LN(2)/25)*Calculateur!AQ168*Calculateur!AS168*VLOOKUP('Données projet'!$B$10,Paramètres!$A$1:$I$89,3,0)*0.475*44/12</f>
        <v>5.196417471875586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24.629368120162333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-2.2737367544323206E-13</v>
      </c>
      <c r="BE168" s="13">
        <f>BD168*VLOOKUP('Données projet'!$B$11,Paramètres!$A$1:$I$89,3,0)*VLOOKUP('Données projet'!$B$11,Paramètres!$A$1:$I$89,5,0)</f>
        <v>-1.3596945791505279E-13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393.01180019332998</v>
      </c>
      <c r="BJ168" s="59">
        <f t="shared" si="146"/>
        <v>283.82782416294748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44.054717938032923</v>
      </c>
      <c r="BQ168" s="21">
        <f>EXP(-LN(2)/25)*BQ167+(1-EXP(-LN(2)/25))/(LN(2)/25)*Calculateur!BL168*Calculateur!BN168*VLOOKUP('Données projet'!$B$11,Paramètres!$A$1:$I$89,3,0)*0.475*44/12</f>
        <v>10.744525090962226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54.79924302899515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-2.2737367544323206E-13</v>
      </c>
      <c r="BZ168" s="13">
        <f>BY168*VLOOKUP('Données projet'!$B$12,Paramètres!$A$1:$I$89,3,0)*VLOOKUP('Données projet'!$B$12,Paramètres!$A$1:$I$89,5,0)</f>
        <v>-1.3596945791505279E-13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393.01180019332998</v>
      </c>
      <c r="CE168" s="59">
        <f t="shared" si="148"/>
        <v>283.82782416294748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44.054717938032923</v>
      </c>
      <c r="CL168" s="21">
        <f>EXP(-LN(2)/25)*CL167+(1-EXP(-LN(2)/25))/(LN(2)/25)*Calculateur!CG168*Calculateur!CI168*VLOOKUP('Données projet'!$B$12,Paramètres!$A$1:$I$89,3,0)*0.475*44/12</f>
        <v>10.744525090962226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54.79924302899515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-2.2737367544323206E-13</v>
      </c>
      <c r="CU168" s="17">
        <f>CT168*VLOOKUP('Données projet'!$B$13,Paramètres!$A$1:$I$89,3,0)*VLOOKUP('Données projet'!$B$13,Paramètres!$A$1:$I$89,5,0)</f>
        <v>-1.3596945791505279E-13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393.01180019332998</v>
      </c>
      <c r="CZ168" s="59">
        <f t="shared" si="150"/>
        <v>283.82782416294748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44.054717938032923</v>
      </c>
      <c r="DG168" s="21">
        <f>EXP(-LN(2)/25)*DG167+(1-EXP(-LN(2)/25))/(LN(2)/25)*Calculateur!DB168*Calculateur!DD168*VLOOKUP('Données projet'!$B$13,Paramètres!$A$1:$I$89,3,0)*0.475*44/12</f>
        <v>10.744525090962226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54.79924302899515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-2.2737367544323206E-13</v>
      </c>
      <c r="DP168" s="17">
        <f>DO168*VLOOKUP('Données projet'!$B$14,Paramètres!$A$1:$I$89,3,0)*VLOOKUP('Données projet'!$B$14,Paramètres!$A$1:$I$89,5,0)</f>
        <v>-1.3596945791505279E-13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393.01180019332998</v>
      </c>
      <c r="DU168" s="59">
        <f t="shared" si="152"/>
        <v>283.82782416294748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44.054717938032923</v>
      </c>
      <c r="EB168" s="21">
        <f>EXP(-LN(2)/25)*EB167+(1-EXP(-LN(2)/25))/(LN(2)/25)*Calculateur!DW168*Calculateur!DY168*VLOOKUP('Données projet'!$B$14,Paramètres!$A$1:$I$89,3,0)*0.475*44/12</f>
        <v>10.744525090962226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54.79924302899515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19.16303999999997</v>
      </c>
      <c r="D169" s="11">
        <f t="shared" si="140"/>
        <v>6.262354003375866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39.253239864860944</v>
      </c>
      <c r="H169" s="67">
        <f t="shared" si="110"/>
        <v>300.94922788921292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-5.3205440053716299E-14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189.8770435341392</v>
      </c>
      <c r="T169" s="59">
        <f t="shared" si="142"/>
        <v>230.18380961122767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13.452701704295562</v>
      </c>
      <c r="AA169" s="21">
        <f>EXP(-LN(2)/25)*AA168+(1-EXP(-LN(2)/25))/(LN(2)/25)*Calculateur!V169*Calculateur!X169*VLOOKUP('Données projet'!$B$9,Paramètres!$A$1:$I$89,3,0)*0.475*44/12</f>
        <v>3.2952341327128813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16.747935837008441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-3.4106051316484809E-13</v>
      </c>
      <c r="AJ169" s="13">
        <f>AI169*VLOOKUP('Données projet'!$B$10,Paramètres!$A$1:$I$89,3,0)*VLOOKUP('Données projet'!$B$10,Paramètres!$A$1:$I$89,5,0)</f>
        <v>-1.5074874681886286E-13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207.77463758757142</v>
      </c>
      <c r="AO169" s="59">
        <f t="shared" si="144"/>
        <v>180.50802165484066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19.051882339003363</v>
      </c>
      <c r="AV169" s="21">
        <f>EXP(-LN(2)/25)*AV168+(1-EXP(-LN(2)/25))/(LN(2)/25)*Calculateur!AQ169*Calculateur!AS169*VLOOKUP('Données projet'!$B$10,Paramètres!$A$1:$I$89,3,0)*0.475*44/12</f>
        <v>5.0543211628394298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24.106203501842792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-2.2737367544323206E-13</v>
      </c>
      <c r="BE169" s="13">
        <f>BD169*VLOOKUP('Données projet'!$B$11,Paramètres!$A$1:$I$89,3,0)*VLOOKUP('Données projet'!$B$11,Paramètres!$A$1:$I$89,5,0)</f>
        <v>-1.3596945791505279E-13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393.01180019332998</v>
      </c>
      <c r="BJ169" s="59">
        <f t="shared" si="146"/>
        <v>283.82782416294748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43.190831789992778</v>
      </c>
      <c r="BQ169" s="21">
        <f>EXP(-LN(2)/25)*BQ168+(1-EXP(-LN(2)/25))/(LN(2)/25)*Calculateur!BL169*Calculateur!BN169*VLOOKUP('Données projet'!$B$11,Paramètres!$A$1:$I$89,3,0)*0.475*44/12</f>
        <v>10.450715487319846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53.641547277312625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-2.2737367544323206E-13</v>
      </c>
      <c r="BZ169" s="13">
        <f>BY169*VLOOKUP('Données projet'!$B$12,Paramètres!$A$1:$I$89,3,0)*VLOOKUP('Données projet'!$B$12,Paramètres!$A$1:$I$89,5,0)</f>
        <v>-1.3596945791505279E-13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393.01180019332998</v>
      </c>
      <c r="CE169" s="59">
        <f t="shared" si="148"/>
        <v>283.82782416294748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43.190831789992778</v>
      </c>
      <c r="CL169" s="21">
        <f>EXP(-LN(2)/25)*CL168+(1-EXP(-LN(2)/25))/(LN(2)/25)*Calculateur!CG169*Calculateur!CI169*VLOOKUP('Données projet'!$B$12,Paramètres!$A$1:$I$89,3,0)*0.475*44/12</f>
        <v>10.450715487319846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53.641547277312625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-2.2737367544323206E-13</v>
      </c>
      <c r="CU169" s="17">
        <f>CT169*VLOOKUP('Données projet'!$B$13,Paramètres!$A$1:$I$89,3,0)*VLOOKUP('Données projet'!$B$13,Paramètres!$A$1:$I$89,5,0)</f>
        <v>-1.3596945791505279E-13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393.01180019332998</v>
      </c>
      <c r="CZ169" s="59">
        <f t="shared" si="150"/>
        <v>283.82782416294748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43.190831789992778</v>
      </c>
      <c r="DG169" s="21">
        <f>EXP(-LN(2)/25)*DG168+(1-EXP(-LN(2)/25))/(LN(2)/25)*Calculateur!DB169*Calculateur!DD169*VLOOKUP('Données projet'!$B$13,Paramètres!$A$1:$I$89,3,0)*0.475*44/12</f>
        <v>10.450715487319846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53.641547277312625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-2.2737367544323206E-13</v>
      </c>
      <c r="DP169" s="17">
        <f>DO169*VLOOKUP('Données projet'!$B$14,Paramètres!$A$1:$I$89,3,0)*VLOOKUP('Données projet'!$B$14,Paramètres!$A$1:$I$89,5,0)</f>
        <v>-1.3596945791505279E-13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393.01180019332998</v>
      </c>
      <c r="DU169" s="59">
        <f t="shared" si="152"/>
        <v>283.82782416294748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43.190831789992778</v>
      </c>
      <c r="EB169" s="21">
        <f>EXP(-LN(2)/25)*EB168+(1-EXP(-LN(2)/25))/(LN(2)/25)*Calculateur!DW169*Calculateur!DY169*VLOOKUP('Données projet'!$B$14,Paramètres!$A$1:$I$89,3,0)*0.475*44/12</f>
        <v>10.450715487319846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53.641547277312625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19.27847999999997</v>
      </c>
      <c r="D170" s="11">
        <f t="shared" si="140"/>
        <v>6.2956761738799853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39.48290777721818</v>
      </c>
      <c r="H170" s="67">
        <f t="shared" si="110"/>
        <v>301.20832200284093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-5.3205440053716299E-14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189.8770435341392</v>
      </c>
      <c r="T170" s="59">
        <f t="shared" si="142"/>
        <v>230.18380961122767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13.188902429212156</v>
      </c>
      <c r="AA170" s="21">
        <f>EXP(-LN(2)/25)*AA169+(1-EXP(-LN(2)/25))/(LN(2)/25)*Calculateur!V170*Calculateur!X170*VLOOKUP('Données projet'!$B$9,Paramètres!$A$1:$I$89,3,0)*0.475*44/12</f>
        <v>3.2051257820650161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16.394028211277174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-3.4106051316484809E-13</v>
      </c>
      <c r="AJ170" s="13">
        <f>AI170*VLOOKUP('Données projet'!$B$10,Paramètres!$A$1:$I$89,3,0)*VLOOKUP('Données projet'!$B$10,Paramètres!$A$1:$I$89,5,0)</f>
        <v>-1.5074874681886286E-13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207.77463758757142</v>
      </c>
      <c r="AO170" s="59">
        <f t="shared" si="144"/>
        <v>180.50802165484066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18.678286546836304</v>
      </c>
      <c r="AV170" s="21">
        <f>EXP(-LN(2)/25)*AV169+(1-EXP(-LN(2)/25))/(LN(2)/25)*Calculateur!AQ170*Calculateur!AS170*VLOOKUP('Données projet'!$B$10,Paramètres!$A$1:$I$89,3,0)*0.475*44/12</f>
        <v>4.9161104848463877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23.594397031682693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-2.2737367544323206E-13</v>
      </c>
      <c r="BE170" s="13">
        <f>BD170*VLOOKUP('Données projet'!$B$11,Paramètres!$A$1:$I$89,3,0)*VLOOKUP('Données projet'!$B$11,Paramètres!$A$1:$I$89,5,0)</f>
        <v>-1.3596945791505279E-13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393.01180019332998</v>
      </c>
      <c r="BJ170" s="59">
        <f t="shared" si="146"/>
        <v>283.82782416294748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42.343885922397178</v>
      </c>
      <c r="BQ170" s="21">
        <f>EXP(-LN(2)/25)*BQ169+(1-EXP(-LN(2)/25))/(LN(2)/25)*Calculateur!BL170*Calculateur!BN170*VLOOKUP('Données projet'!$B$11,Paramètres!$A$1:$I$89,3,0)*0.475*44/12</f>
        <v>10.164940122739843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52.50882604513702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-2.2737367544323206E-13</v>
      </c>
      <c r="BZ170" s="13">
        <f>BY170*VLOOKUP('Données projet'!$B$12,Paramètres!$A$1:$I$89,3,0)*VLOOKUP('Données projet'!$B$12,Paramètres!$A$1:$I$89,5,0)</f>
        <v>-1.3596945791505279E-13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393.01180019332998</v>
      </c>
      <c r="CE170" s="59">
        <f t="shared" si="148"/>
        <v>283.82782416294748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42.343885922397178</v>
      </c>
      <c r="CL170" s="21">
        <f>EXP(-LN(2)/25)*CL169+(1-EXP(-LN(2)/25))/(LN(2)/25)*Calculateur!CG170*Calculateur!CI170*VLOOKUP('Données projet'!$B$12,Paramètres!$A$1:$I$89,3,0)*0.475*44/12</f>
        <v>10.164940122739843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52.50882604513702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-2.2737367544323206E-13</v>
      </c>
      <c r="CU170" s="17">
        <f>CT170*VLOOKUP('Données projet'!$B$13,Paramètres!$A$1:$I$89,3,0)*VLOOKUP('Données projet'!$B$13,Paramètres!$A$1:$I$89,5,0)</f>
        <v>-1.3596945791505279E-13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393.01180019332998</v>
      </c>
      <c r="CZ170" s="59">
        <f t="shared" si="150"/>
        <v>283.82782416294748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42.343885922397178</v>
      </c>
      <c r="DG170" s="21">
        <f>EXP(-LN(2)/25)*DG169+(1-EXP(-LN(2)/25))/(LN(2)/25)*Calculateur!DB170*Calculateur!DD170*VLOOKUP('Données projet'!$B$13,Paramètres!$A$1:$I$89,3,0)*0.475*44/12</f>
        <v>10.164940122739843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52.50882604513702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-2.2737367544323206E-13</v>
      </c>
      <c r="DP170" s="17">
        <f>DO170*VLOOKUP('Données projet'!$B$14,Paramètres!$A$1:$I$89,3,0)*VLOOKUP('Données projet'!$B$14,Paramètres!$A$1:$I$89,5,0)</f>
        <v>-1.3596945791505279E-13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393.01180019332998</v>
      </c>
      <c r="DU170" s="59">
        <f t="shared" si="152"/>
        <v>283.82782416294748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42.343885922397178</v>
      </c>
      <c r="EB170" s="21">
        <f>EXP(-LN(2)/25)*EB169+(1-EXP(-LN(2)/25))/(LN(2)/25)*Calculateur!DW170*Calculateur!DY170*VLOOKUP('Données projet'!$B$14,Paramètres!$A$1:$I$89,3,0)*0.475*44/12</f>
        <v>10.164940122739843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52.50882604513702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19.393919999999969</v>
      </c>
      <c r="D171" s="11">
        <f t="shared" si="140"/>
        <v>6.328975126577312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39.712539844540373</v>
      </c>
      <c r="H171" s="67">
        <f t="shared" si="110"/>
        <v>301.46737567878881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-5.3205440053716299E-14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189.8770435341392</v>
      </c>
      <c r="T171" s="59">
        <f t="shared" si="142"/>
        <v>230.18380961122767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12.930276097011465</v>
      </c>
      <c r="AA171" s="21">
        <f>EXP(-LN(2)/25)*AA170+(1-EXP(-LN(2)/25))/(LN(2)/25)*Calculateur!V171*Calculateur!X171*VLOOKUP('Données projet'!$B$9,Paramètres!$A$1:$I$89,3,0)*0.475*44/12</f>
        <v>3.1174814490042086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16.047757546015674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-3.4106051316484809E-13</v>
      </c>
      <c r="AJ171" s="13">
        <f>AI171*VLOOKUP('Données projet'!$B$10,Paramètres!$A$1:$I$89,3,0)*VLOOKUP('Données projet'!$B$10,Paramètres!$A$1:$I$89,5,0)</f>
        <v>-1.5074874681886286E-13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207.77463758757142</v>
      </c>
      <c r="AO171" s="59">
        <f t="shared" si="144"/>
        <v>180.50802165484066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18.312016740282708</v>
      </c>
      <c r="AV171" s="21">
        <f>EXP(-LN(2)/25)*AV170+(1-EXP(-LN(2)/25))/(LN(2)/25)*Calculateur!AQ171*Calculateur!AS171*VLOOKUP('Données projet'!$B$10,Paramètres!$A$1:$I$89,3,0)*0.475*44/12</f>
        <v>4.7816791851112486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23.093695925393956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-2.2737367544323206E-13</v>
      </c>
      <c r="BE171" s="13">
        <f>BD171*VLOOKUP('Données projet'!$B$11,Paramètres!$A$1:$I$89,3,0)*VLOOKUP('Données projet'!$B$11,Paramètres!$A$1:$I$89,5,0)</f>
        <v>-1.3596945791505279E-13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393.01180019332998</v>
      </c>
      <c r="BJ171" s="59">
        <f t="shared" si="146"/>
        <v>283.82782416294748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41.513548146679156</v>
      </c>
      <c r="BQ171" s="21">
        <f>EXP(-LN(2)/25)*BQ170+(1-EXP(-LN(2)/25))/(LN(2)/25)*Calculateur!BL171*Calculateur!BN171*VLOOKUP('Données projet'!$B$11,Paramètres!$A$1:$I$89,3,0)*0.475*44/12</f>
        <v>9.8869793005325537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51.400527447211708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-2.2737367544323206E-13</v>
      </c>
      <c r="BZ171" s="13">
        <f>BY171*VLOOKUP('Données projet'!$B$12,Paramètres!$A$1:$I$89,3,0)*VLOOKUP('Données projet'!$B$12,Paramètres!$A$1:$I$89,5,0)</f>
        <v>-1.3596945791505279E-13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393.01180019332998</v>
      </c>
      <c r="CE171" s="59">
        <f t="shared" si="148"/>
        <v>283.82782416294748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41.513548146679156</v>
      </c>
      <c r="CL171" s="21">
        <f>EXP(-LN(2)/25)*CL170+(1-EXP(-LN(2)/25))/(LN(2)/25)*Calculateur!CG171*Calculateur!CI171*VLOOKUP('Données projet'!$B$12,Paramètres!$A$1:$I$89,3,0)*0.475*44/12</f>
        <v>9.8869793005325537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51.400527447211708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-2.2737367544323206E-13</v>
      </c>
      <c r="CU171" s="17">
        <f>CT171*VLOOKUP('Données projet'!$B$13,Paramètres!$A$1:$I$89,3,0)*VLOOKUP('Données projet'!$B$13,Paramètres!$A$1:$I$89,5,0)</f>
        <v>-1.3596945791505279E-13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393.01180019332998</v>
      </c>
      <c r="CZ171" s="59">
        <f t="shared" si="150"/>
        <v>283.82782416294748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41.513548146679156</v>
      </c>
      <c r="DG171" s="21">
        <f>EXP(-LN(2)/25)*DG170+(1-EXP(-LN(2)/25))/(LN(2)/25)*Calculateur!DB171*Calculateur!DD171*VLOOKUP('Données projet'!$B$13,Paramètres!$A$1:$I$89,3,0)*0.475*44/12</f>
        <v>9.8869793005325537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51.400527447211708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-2.2737367544323206E-13</v>
      </c>
      <c r="DP171" s="17">
        <f>DO171*VLOOKUP('Données projet'!$B$14,Paramètres!$A$1:$I$89,3,0)*VLOOKUP('Données projet'!$B$14,Paramètres!$A$1:$I$89,5,0)</f>
        <v>-1.3596945791505279E-13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393.01180019332998</v>
      </c>
      <c r="DU171" s="59">
        <f t="shared" si="152"/>
        <v>283.82782416294748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41.513548146679156</v>
      </c>
      <c r="EB171" s="21">
        <f>EXP(-LN(2)/25)*EB170+(1-EXP(-LN(2)/25))/(LN(2)/25)*Calculateur!DW171*Calculateur!DY171*VLOOKUP('Données projet'!$B$14,Paramètres!$A$1:$I$89,3,0)*0.475*44/12</f>
        <v>9.8869793005325537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51.400527447211708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19.509359999999969</v>
      </c>
      <c r="D172" s="11">
        <f t="shared" si="140"/>
        <v>6.3622510157040999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39.942136304946636</v>
      </c>
      <c r="H172" s="67">
        <f t="shared" si="110"/>
        <v>301.72638918568458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-5.3205440053716299E-14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189.8770435341392</v>
      </c>
      <c r="T172" s="59">
        <f t="shared" si="142"/>
        <v>230.18380961122767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12.676721269438744</v>
      </c>
      <c r="AA172" s="21">
        <f>EXP(-LN(2)/25)*AA171+(1-EXP(-LN(2)/25))/(LN(2)/25)*Calculateur!V172*Calculateur!X172*VLOOKUP('Données projet'!$B$9,Paramètres!$A$1:$I$89,3,0)*0.475*44/12</f>
        <v>3.032233754839964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15.708955024278708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-3.4106051316484809E-13</v>
      </c>
      <c r="AJ172" s="13">
        <f>AI172*VLOOKUP('Données projet'!$B$10,Paramètres!$A$1:$I$89,3,0)*VLOOKUP('Données projet'!$B$10,Paramètres!$A$1:$I$89,5,0)</f>
        <v>-1.5074874681886286E-13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207.77463758757142</v>
      </c>
      <c r="AO172" s="59">
        <f t="shared" si="144"/>
        <v>180.50802165484066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17.952929261233106</v>
      </c>
      <c r="AV172" s="21">
        <f>EXP(-LN(2)/25)*AV171+(1-EXP(-LN(2)/25))/(LN(2)/25)*Calculateur!AQ172*Calculateur!AS172*VLOOKUP('Données projet'!$B$10,Paramètres!$A$1:$I$89,3,0)*0.475*44/12</f>
        <v>4.6509239163368017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22.603853177569906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-2.2737367544323206E-13</v>
      </c>
      <c r="BE172" s="13">
        <f>BD172*VLOOKUP('Données projet'!$B$11,Paramètres!$A$1:$I$89,3,0)*VLOOKUP('Données projet'!$B$11,Paramètres!$A$1:$I$89,5,0)</f>
        <v>-1.3596945791505279E-13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393.01180019332998</v>
      </c>
      <c r="BJ172" s="59">
        <f t="shared" si="146"/>
        <v>283.82782416294748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40.699492788286932</v>
      </c>
      <c r="BQ172" s="21">
        <f>EXP(-LN(2)/25)*BQ171+(1-EXP(-LN(2)/25))/(LN(2)/25)*Calculateur!BL172*Calculateur!BN172*VLOOKUP('Données projet'!$B$11,Paramètres!$A$1:$I$89,3,0)*0.475*44/12</f>
        <v>9.6166193316258468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50.316112119912781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-2.2737367544323206E-13</v>
      </c>
      <c r="BZ172" s="13">
        <f>BY172*VLOOKUP('Données projet'!$B$12,Paramètres!$A$1:$I$89,3,0)*VLOOKUP('Données projet'!$B$12,Paramètres!$A$1:$I$89,5,0)</f>
        <v>-1.3596945791505279E-13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393.01180019332998</v>
      </c>
      <c r="CE172" s="59">
        <f t="shared" si="148"/>
        <v>283.82782416294748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40.699492788286932</v>
      </c>
      <c r="CL172" s="21">
        <f>EXP(-LN(2)/25)*CL171+(1-EXP(-LN(2)/25))/(LN(2)/25)*Calculateur!CG172*Calculateur!CI172*VLOOKUP('Données projet'!$B$12,Paramètres!$A$1:$I$89,3,0)*0.475*44/12</f>
        <v>9.6166193316258468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50.316112119912781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-2.2737367544323206E-13</v>
      </c>
      <c r="CU172" s="17">
        <f>CT172*VLOOKUP('Données projet'!$B$13,Paramètres!$A$1:$I$89,3,0)*VLOOKUP('Données projet'!$B$13,Paramètres!$A$1:$I$89,5,0)</f>
        <v>-1.3596945791505279E-13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393.01180019332998</v>
      </c>
      <c r="CZ172" s="59">
        <f t="shared" si="150"/>
        <v>283.82782416294748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40.699492788286932</v>
      </c>
      <c r="DG172" s="21">
        <f>EXP(-LN(2)/25)*DG171+(1-EXP(-LN(2)/25))/(LN(2)/25)*Calculateur!DB172*Calculateur!DD172*VLOOKUP('Données projet'!$B$13,Paramètres!$A$1:$I$89,3,0)*0.475*44/12</f>
        <v>9.6166193316258468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50.316112119912781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-2.2737367544323206E-13</v>
      </c>
      <c r="DP172" s="17">
        <f>DO172*VLOOKUP('Données projet'!$B$14,Paramètres!$A$1:$I$89,3,0)*VLOOKUP('Données projet'!$B$14,Paramètres!$A$1:$I$89,5,0)</f>
        <v>-1.3596945791505279E-13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393.01180019332998</v>
      </c>
      <c r="DU172" s="59">
        <f t="shared" si="152"/>
        <v>283.82782416294748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40.699492788286932</v>
      </c>
      <c r="EB172" s="21">
        <f>EXP(-LN(2)/25)*EB171+(1-EXP(-LN(2)/25))/(LN(2)/25)*Calculateur!DW172*Calculateur!DY172*VLOOKUP('Données projet'!$B$14,Paramètres!$A$1:$I$89,3,0)*0.475*44/12</f>
        <v>9.6166193316258468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50.316112119912781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19.624799999999968</v>
      </c>
      <c r="D173" s="11">
        <f t="shared" si="140"/>
        <v>6.3955039935657023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40.171697393575073</v>
      </c>
      <c r="H173" s="67">
        <f t="shared" si="110"/>
        <v>301.98536278879357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-5.3205440053716299E-14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189.8770435341392</v>
      </c>
      <c r="T173" s="59">
        <f t="shared" si="142"/>
        <v>230.18380961122767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12.42813849738155</v>
      </c>
      <c r="AA173" s="21">
        <f>EXP(-LN(2)/25)*AA172+(1-EXP(-LN(2)/25))/(LN(2)/25)*Calculateur!V173*Calculateur!X173*VLOOKUP('Données projet'!$B$9,Paramètres!$A$1:$I$89,3,0)*0.475*44/12</f>
        <v>2.9493171633556221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15.377455660737173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-3.4106051316484809E-13</v>
      </c>
      <c r="AJ173" s="13">
        <f>AI173*VLOOKUP('Données projet'!$B$10,Paramètres!$A$1:$I$89,3,0)*VLOOKUP('Données projet'!$B$10,Paramètres!$A$1:$I$89,5,0)</f>
        <v>-1.5074874681886286E-13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207.77463758757142</v>
      </c>
      <c r="AO173" s="59">
        <f t="shared" si="144"/>
        <v>180.50802165484066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17.600883268625932</v>
      </c>
      <c r="AV173" s="21">
        <f>EXP(-LN(2)/25)*AV172+(1-EXP(-LN(2)/25))/(LN(2)/25)*Calculateur!AQ173*Calculateur!AS173*VLOOKUP('Données projet'!$B$10,Paramètres!$A$1:$I$89,3,0)*0.475*44/12</f>
        <v>4.5237441572631125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22.124627425889045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-2.2737367544323206E-13</v>
      </c>
      <c r="BE173" s="13">
        <f>BD173*VLOOKUP('Données projet'!$B$11,Paramètres!$A$1:$I$89,3,0)*VLOOKUP('Données projet'!$B$11,Paramètres!$A$1:$I$89,5,0)</f>
        <v>-1.3596945791505279E-13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393.01180019332998</v>
      </c>
      <c r="BJ173" s="59">
        <f t="shared" si="146"/>
        <v>283.82782416294748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39.901400558948033</v>
      </c>
      <c r="BQ173" s="21">
        <f>EXP(-LN(2)/25)*BQ172+(1-EXP(-LN(2)/25))/(LN(2)/25)*Calculateur!BL173*Calculateur!BN173*VLOOKUP('Données projet'!$B$11,Paramètres!$A$1:$I$89,3,0)*0.475*44/12</f>
        <v>9.3536523702865058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49.255052929234537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-2.2737367544323206E-13</v>
      </c>
      <c r="BZ173" s="13">
        <f>BY173*VLOOKUP('Données projet'!$B$12,Paramètres!$A$1:$I$89,3,0)*VLOOKUP('Données projet'!$B$12,Paramètres!$A$1:$I$89,5,0)</f>
        <v>-1.3596945791505279E-13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393.01180019332998</v>
      </c>
      <c r="CE173" s="59">
        <f t="shared" si="148"/>
        <v>283.82782416294748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39.901400558948033</v>
      </c>
      <c r="CL173" s="21">
        <f>EXP(-LN(2)/25)*CL172+(1-EXP(-LN(2)/25))/(LN(2)/25)*Calculateur!CG173*Calculateur!CI173*VLOOKUP('Données projet'!$B$12,Paramètres!$A$1:$I$89,3,0)*0.475*44/12</f>
        <v>9.3536523702865058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49.255052929234537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-2.2737367544323206E-13</v>
      </c>
      <c r="CU173" s="17">
        <f>CT173*VLOOKUP('Données projet'!$B$13,Paramètres!$A$1:$I$89,3,0)*VLOOKUP('Données projet'!$B$13,Paramètres!$A$1:$I$89,5,0)</f>
        <v>-1.3596945791505279E-13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393.01180019332998</v>
      </c>
      <c r="CZ173" s="59">
        <f t="shared" si="150"/>
        <v>283.82782416294748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39.901400558948033</v>
      </c>
      <c r="DG173" s="21">
        <f>EXP(-LN(2)/25)*DG172+(1-EXP(-LN(2)/25))/(LN(2)/25)*Calculateur!DB173*Calculateur!DD173*VLOOKUP('Données projet'!$B$13,Paramètres!$A$1:$I$89,3,0)*0.475*44/12</f>
        <v>9.3536523702865058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49.255052929234537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-2.2737367544323206E-13</v>
      </c>
      <c r="DP173" s="17">
        <f>DO173*VLOOKUP('Données projet'!$B$14,Paramètres!$A$1:$I$89,3,0)*VLOOKUP('Données projet'!$B$14,Paramètres!$A$1:$I$89,5,0)</f>
        <v>-1.3596945791505279E-13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393.01180019332998</v>
      </c>
      <c r="DU173" s="59">
        <f t="shared" si="152"/>
        <v>283.82782416294748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39.901400558948033</v>
      </c>
      <c r="EB173" s="21">
        <f>EXP(-LN(2)/25)*EB172+(1-EXP(-LN(2)/25))/(LN(2)/25)*Calculateur!DW173*Calculateur!DY173*VLOOKUP('Données projet'!$B$14,Paramètres!$A$1:$I$89,3,0)*0.475*44/12</f>
        <v>9.3536523702865058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49.255052929234537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19.740239999999968</v>
      </c>
      <c r="D174" s="11">
        <f t="shared" si="140"/>
        <v>6.4287342105719896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40.401223342637415</v>
      </c>
      <c r="H174" s="67">
        <f t="shared" si="110"/>
        <v>302.24429675007951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-5.3205440053716299E-14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189.8770435341392</v>
      </c>
      <c r="T174" s="59">
        <f t="shared" si="142"/>
        <v>230.18380961122767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12.184430281863877</v>
      </c>
      <c r="AA174" s="21">
        <f>EXP(-LN(2)/25)*AA173+(1-EXP(-LN(2)/25))/(LN(2)/25)*Calculateur!V174*Calculateur!X174*VLOOKUP('Données projet'!$B$9,Paramètres!$A$1:$I$89,3,0)*0.475*44/12</f>
        <v>2.8686679304258136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15.05309821228969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-3.4106051316484809E-13</v>
      </c>
      <c r="AJ174" s="13">
        <f>AI174*VLOOKUP('Données projet'!$B$10,Paramètres!$A$1:$I$89,3,0)*VLOOKUP('Données projet'!$B$10,Paramètres!$A$1:$I$89,5,0)</f>
        <v>-1.5074874681886286E-13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207.77463758757142</v>
      </c>
      <c r="AO174" s="59">
        <f t="shared" si="144"/>
        <v>180.50802165484066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17.25574068320693</v>
      </c>
      <c r="AV174" s="21">
        <f>EXP(-LN(2)/25)*AV173+(1-EXP(-LN(2)/25))/(LN(2)/25)*Calculateur!AQ174*Calculateur!AS174*VLOOKUP('Données projet'!$B$10,Paramètres!$A$1:$I$89,3,0)*0.475*44/12</f>
        <v>4.4000421353893868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21.655782818596318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-2.2737367544323206E-13</v>
      </c>
      <c r="BE174" s="13">
        <f>BD174*VLOOKUP('Données projet'!$B$11,Paramètres!$A$1:$I$89,3,0)*VLOOKUP('Données projet'!$B$11,Paramètres!$A$1:$I$89,5,0)</f>
        <v>-1.3596945791505279E-13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393.01180019332998</v>
      </c>
      <c r="BJ174" s="59">
        <f t="shared" si="146"/>
        <v>283.82782416294748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39.11895843143828</v>
      </c>
      <c r="BQ174" s="21">
        <f>EXP(-LN(2)/25)*BQ173+(1-EXP(-LN(2)/25))/(LN(2)/25)*Calculateur!BL174*Calculateur!BN174*VLOOKUP('Données projet'!$B$11,Paramètres!$A$1:$I$89,3,0)*0.475*44/12</f>
        <v>9.097876254333821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48.216834685772099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-2.2737367544323206E-13</v>
      </c>
      <c r="BZ174" s="13">
        <f>BY174*VLOOKUP('Données projet'!$B$12,Paramètres!$A$1:$I$89,3,0)*VLOOKUP('Données projet'!$B$12,Paramètres!$A$1:$I$89,5,0)</f>
        <v>-1.3596945791505279E-13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393.01180019332998</v>
      </c>
      <c r="CE174" s="59">
        <f t="shared" si="148"/>
        <v>283.82782416294748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39.11895843143828</v>
      </c>
      <c r="CL174" s="21">
        <f>EXP(-LN(2)/25)*CL173+(1-EXP(-LN(2)/25))/(LN(2)/25)*Calculateur!CG174*Calculateur!CI174*VLOOKUP('Données projet'!$B$12,Paramètres!$A$1:$I$89,3,0)*0.475*44/12</f>
        <v>9.097876254333821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48.216834685772099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-2.2737367544323206E-13</v>
      </c>
      <c r="CU174" s="17">
        <f>CT174*VLOOKUP('Données projet'!$B$13,Paramètres!$A$1:$I$89,3,0)*VLOOKUP('Données projet'!$B$13,Paramètres!$A$1:$I$89,5,0)</f>
        <v>-1.3596945791505279E-13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393.01180019332998</v>
      </c>
      <c r="CZ174" s="59">
        <f t="shared" si="150"/>
        <v>283.82782416294748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39.11895843143828</v>
      </c>
      <c r="DG174" s="21">
        <f>EXP(-LN(2)/25)*DG173+(1-EXP(-LN(2)/25))/(LN(2)/25)*Calculateur!DB174*Calculateur!DD174*VLOOKUP('Données projet'!$B$13,Paramètres!$A$1:$I$89,3,0)*0.475*44/12</f>
        <v>9.097876254333821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48.216834685772099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-2.2737367544323206E-13</v>
      </c>
      <c r="DP174" s="17">
        <f>DO174*VLOOKUP('Données projet'!$B$14,Paramètres!$A$1:$I$89,3,0)*VLOOKUP('Données projet'!$B$14,Paramètres!$A$1:$I$89,5,0)</f>
        <v>-1.3596945791505279E-13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393.01180019332998</v>
      </c>
      <c r="DU174" s="59">
        <f t="shared" si="152"/>
        <v>283.82782416294748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39.11895843143828</v>
      </c>
      <c r="EB174" s="21">
        <f>EXP(-LN(2)/25)*EB173+(1-EXP(-LN(2)/25))/(LN(2)/25)*Calculateur!DW174*Calculateur!DY174*VLOOKUP('Données projet'!$B$14,Paramètres!$A$1:$I$89,3,0)*0.475*44/12</f>
        <v>9.097876254333821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48.216834685772099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19.855679999999968</v>
      </c>
      <c r="D175" s="11">
        <f t="shared" si="140"/>
        <v>6.4619418152718637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40.630714381472309</v>
      </c>
      <c r="H175" s="67">
        <f t="shared" si="110"/>
        <v>302.50319132826513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-5.3205440053716299E-14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189.8770435341392</v>
      </c>
      <c r="T175" s="59">
        <f t="shared" si="142"/>
        <v>230.18380961122767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11.945501035805172</v>
      </c>
      <c r="AA175" s="21">
        <f>EXP(-LN(2)/25)*AA174+(1-EXP(-LN(2)/25))/(LN(2)/25)*Calculateur!V175*Calculateur!X175*VLOOKUP('Données projet'!$B$9,Paramètres!$A$1:$I$89,3,0)*0.475*44/12</f>
        <v>2.7902240550116297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14.735725090816802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-3.4106051316484809E-13</v>
      </c>
      <c r="AJ175" s="13">
        <f>AI175*VLOOKUP('Données projet'!$B$10,Paramètres!$A$1:$I$89,3,0)*VLOOKUP('Données projet'!$B$10,Paramètres!$A$1:$I$89,5,0)</f>
        <v>-1.5074874681886286E-13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207.77463758757142</v>
      </c>
      <c r="AO175" s="59">
        <f t="shared" si="144"/>
        <v>180.50802165484066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16.917366133371807</v>
      </c>
      <c r="AV175" s="21">
        <f>EXP(-LN(2)/25)*AV174+(1-EXP(-LN(2)/25))/(LN(2)/25)*Calculateur!AQ175*Calculateur!AS175*VLOOKUP('Données projet'!$B$10,Paramètres!$A$1:$I$89,3,0)*0.475*44/12</f>
        <v>4.2797227518090049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21.197088885180811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-2.2737367544323206E-13</v>
      </c>
      <c r="BE175" s="13">
        <f>BD175*VLOOKUP('Données projet'!$B$11,Paramètres!$A$1:$I$89,3,0)*VLOOKUP('Données projet'!$B$11,Paramètres!$A$1:$I$89,5,0)</f>
        <v>-1.3596945791505279E-13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393.01180019332998</v>
      </c>
      <c r="BJ175" s="59">
        <f t="shared" si="146"/>
        <v>283.82782416294748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38.351859516806421</v>
      </c>
      <c r="BQ175" s="21">
        <f>EXP(-LN(2)/25)*BQ174+(1-EXP(-LN(2)/25))/(LN(2)/25)*Calculateur!BL175*Calculateur!BN175*VLOOKUP('Données projet'!$B$11,Paramètres!$A$1:$I$89,3,0)*0.475*44/12</f>
        <v>8.8490943497225434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47.200953866528963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-2.2737367544323206E-13</v>
      </c>
      <c r="BZ175" s="13">
        <f>BY175*VLOOKUP('Données projet'!$B$12,Paramètres!$A$1:$I$89,3,0)*VLOOKUP('Données projet'!$B$12,Paramètres!$A$1:$I$89,5,0)</f>
        <v>-1.3596945791505279E-13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393.01180019332998</v>
      </c>
      <c r="CE175" s="59">
        <f t="shared" si="148"/>
        <v>283.82782416294748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38.351859516806421</v>
      </c>
      <c r="CL175" s="21">
        <f>EXP(-LN(2)/25)*CL174+(1-EXP(-LN(2)/25))/(LN(2)/25)*Calculateur!CG175*Calculateur!CI175*VLOOKUP('Données projet'!$B$12,Paramètres!$A$1:$I$89,3,0)*0.475*44/12</f>
        <v>8.8490943497225434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47.200953866528963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-2.2737367544323206E-13</v>
      </c>
      <c r="CU175" s="17">
        <f>CT175*VLOOKUP('Données projet'!$B$13,Paramètres!$A$1:$I$89,3,0)*VLOOKUP('Données projet'!$B$13,Paramètres!$A$1:$I$89,5,0)</f>
        <v>-1.3596945791505279E-13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393.01180019332998</v>
      </c>
      <c r="CZ175" s="59">
        <f t="shared" si="150"/>
        <v>283.82782416294748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38.351859516806421</v>
      </c>
      <c r="DG175" s="21">
        <f>EXP(-LN(2)/25)*DG174+(1-EXP(-LN(2)/25))/(LN(2)/25)*Calculateur!DB175*Calculateur!DD175*VLOOKUP('Données projet'!$B$13,Paramètres!$A$1:$I$89,3,0)*0.475*44/12</f>
        <v>8.8490943497225434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47.200953866528963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-2.2737367544323206E-13</v>
      </c>
      <c r="DP175" s="17">
        <f>DO175*VLOOKUP('Données projet'!$B$14,Paramètres!$A$1:$I$89,3,0)*VLOOKUP('Données projet'!$B$14,Paramètres!$A$1:$I$89,5,0)</f>
        <v>-1.3596945791505279E-13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393.01180019332998</v>
      </c>
      <c r="DU175" s="59">
        <f t="shared" si="152"/>
        <v>283.82782416294748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38.351859516806421</v>
      </c>
      <c r="EB175" s="21">
        <f>EXP(-LN(2)/25)*EB174+(1-EXP(-LN(2)/25))/(LN(2)/25)*Calculateur!DW175*Calculateur!DY175*VLOOKUP('Données projet'!$B$14,Paramètres!$A$1:$I$89,3,0)*0.475*44/12</f>
        <v>8.8490943497225434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47.200953866528963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19.971119999999967</v>
      </c>
      <c r="D176" s="11">
        <f t="shared" si="140"/>
        <v>6.4951269543869818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40.860170736597404</v>
      </c>
      <c r="H176" s="67">
        <f t="shared" si="110"/>
        <v>302.76204677889064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-5.3205440053716299E-14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189.8770435341392</v>
      </c>
      <c r="T176" s="59">
        <f t="shared" si="142"/>
        <v>230.18380961122767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11.711257046529228</v>
      </c>
      <c r="AA176" s="21">
        <f>EXP(-LN(2)/25)*AA175+(1-EXP(-LN(2)/25))/(LN(2)/25)*Calculateur!V176*Calculateur!X176*VLOOKUP('Données projet'!$B$9,Paramètres!$A$1:$I$89,3,0)*0.475*44/12</f>
        <v>2.7139252314958306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14.425182278025058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-3.4106051316484809E-13</v>
      </c>
      <c r="AJ176" s="13">
        <f>AI176*VLOOKUP('Données projet'!$B$10,Paramètres!$A$1:$I$89,3,0)*VLOOKUP('Données projet'!$B$10,Paramètres!$A$1:$I$89,5,0)</f>
        <v>-1.5074874681886286E-13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207.77463758757142</v>
      </c>
      <c r="AO176" s="59">
        <f t="shared" si="144"/>
        <v>180.50802165484066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16.585626902070853</v>
      </c>
      <c r="AV176" s="21">
        <f>EXP(-LN(2)/25)*AV175+(1-EXP(-LN(2)/25))/(LN(2)/25)*Calculateur!AQ176*Calculateur!AS176*VLOOKUP('Données projet'!$B$10,Paramètres!$A$1:$I$89,3,0)*0.475*44/12</f>
        <v>4.1626935080999496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20.748320410170802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-2.2737367544323206E-13</v>
      </c>
      <c r="BE176" s="13">
        <f>BD176*VLOOKUP('Données projet'!$B$11,Paramètres!$A$1:$I$89,3,0)*VLOOKUP('Données projet'!$B$11,Paramètres!$A$1:$I$89,5,0)</f>
        <v>-1.3596945791505279E-13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393.01180019332998</v>
      </c>
      <c r="BJ176" s="59">
        <f t="shared" si="146"/>
        <v>283.82782416294748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37.599802944006349</v>
      </c>
      <c r="BQ176" s="21">
        <f>EXP(-LN(2)/25)*BQ175+(1-EXP(-LN(2)/25))/(LN(2)/25)*Calculateur!BL176*Calculateur!BN176*VLOOKUP('Données projet'!$B$11,Paramètres!$A$1:$I$89,3,0)*0.475*44/12</f>
        <v>8.6071153993757328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46.206918343382085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-2.2737367544323206E-13</v>
      </c>
      <c r="BZ176" s="13">
        <f>BY176*VLOOKUP('Données projet'!$B$12,Paramètres!$A$1:$I$89,3,0)*VLOOKUP('Données projet'!$B$12,Paramètres!$A$1:$I$89,5,0)</f>
        <v>-1.3596945791505279E-13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393.01180019332998</v>
      </c>
      <c r="CE176" s="59">
        <f t="shared" si="148"/>
        <v>283.82782416294748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37.599802944006349</v>
      </c>
      <c r="CL176" s="21">
        <f>EXP(-LN(2)/25)*CL175+(1-EXP(-LN(2)/25))/(LN(2)/25)*Calculateur!CG176*Calculateur!CI176*VLOOKUP('Données projet'!$B$12,Paramètres!$A$1:$I$89,3,0)*0.475*44/12</f>
        <v>8.6071153993757328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46.206918343382085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-2.2737367544323206E-13</v>
      </c>
      <c r="CU176" s="17">
        <f>CT176*VLOOKUP('Données projet'!$B$13,Paramètres!$A$1:$I$89,3,0)*VLOOKUP('Données projet'!$B$13,Paramètres!$A$1:$I$89,5,0)</f>
        <v>-1.3596945791505279E-13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393.01180019332998</v>
      </c>
      <c r="CZ176" s="59">
        <f t="shared" si="150"/>
        <v>283.82782416294748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37.599802944006349</v>
      </c>
      <c r="DG176" s="21">
        <f>EXP(-LN(2)/25)*DG175+(1-EXP(-LN(2)/25))/(LN(2)/25)*Calculateur!DB176*Calculateur!DD176*VLOOKUP('Données projet'!$B$13,Paramètres!$A$1:$I$89,3,0)*0.475*44/12</f>
        <v>8.6071153993757328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46.206918343382085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-2.2737367544323206E-13</v>
      </c>
      <c r="DP176" s="17">
        <f>DO176*VLOOKUP('Données projet'!$B$14,Paramètres!$A$1:$I$89,3,0)*VLOOKUP('Données projet'!$B$14,Paramètres!$A$1:$I$89,5,0)</f>
        <v>-1.3596945791505279E-13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393.01180019332998</v>
      </c>
      <c r="DU176" s="59">
        <f t="shared" si="152"/>
        <v>283.82782416294748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37.599802944006349</v>
      </c>
      <c r="EB176" s="21">
        <f>EXP(-LN(2)/25)*EB175+(1-EXP(-LN(2)/25))/(LN(2)/25)*Calculateur!DW176*Calculateur!DY176*VLOOKUP('Données projet'!$B$14,Paramètres!$A$1:$I$89,3,0)*0.475*44/12</f>
        <v>8.6071153993757328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46.206918343382085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20.086559999999967</v>
      </c>
      <c r="D177" s="11">
        <f t="shared" si="140"/>
        <v>6.5282897728446398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41.089592631760105</v>
      </c>
      <c r="H177" s="67">
        <f t="shared" si="110"/>
        <v>303.02086335437104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-5.3205440053716299E-14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189.8770435341392</v>
      </c>
      <c r="T177" s="59">
        <f t="shared" si="142"/>
        <v>230.18380961122767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11.48160643900826</v>
      </c>
      <c r="AA177" s="21">
        <f>EXP(-LN(2)/25)*AA176+(1-EXP(-LN(2)/25))/(LN(2)/25)*Calculateur!V177*Calculateur!X177*VLOOKUP('Données projet'!$B$9,Paramètres!$A$1:$I$89,3,0)*0.475*44/12</f>
        <v>2.6397128033214519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14.121319242329712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-3.4106051316484809E-13</v>
      </c>
      <c r="AJ177" s="13">
        <f>AI177*VLOOKUP('Données projet'!$B$10,Paramètres!$A$1:$I$89,3,0)*VLOOKUP('Données projet'!$B$10,Paramètres!$A$1:$I$89,5,0)</f>
        <v>-1.5074874681886286E-13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207.77463758757142</v>
      </c>
      <c r="AO177" s="59">
        <f t="shared" si="144"/>
        <v>180.50802165484066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16.260392874754761</v>
      </c>
      <c r="AV177" s="21">
        <f>EXP(-LN(2)/25)*AV176+(1-EXP(-LN(2)/25))/(LN(2)/25)*Calculateur!AQ177*Calculateur!AS177*VLOOKUP('Données projet'!$B$10,Paramètres!$A$1:$I$89,3,0)*0.475*44/12</f>
        <v>4.0488644352144192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20.30925730996918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-2.2737367544323206E-13</v>
      </c>
      <c r="BE177" s="13">
        <f>BD177*VLOOKUP('Données projet'!$B$11,Paramètres!$A$1:$I$89,3,0)*VLOOKUP('Données projet'!$B$11,Paramètres!$A$1:$I$89,5,0)</f>
        <v>-1.3596945791505279E-13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393.01180019332998</v>
      </c>
      <c r="BJ177" s="59">
        <f t="shared" si="146"/>
        <v>283.82782416294748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36.862493741889672</v>
      </c>
      <c r="BQ177" s="21">
        <f>EXP(-LN(2)/25)*BQ176+(1-EXP(-LN(2)/25))/(LN(2)/25)*Calculateur!BL177*Calculateur!BN177*VLOOKUP('Données projet'!$B$11,Paramètres!$A$1:$I$89,3,0)*0.475*44/12</f>
        <v>8.3717533761512755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45.234247118040948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-2.2737367544323206E-13</v>
      </c>
      <c r="BZ177" s="13">
        <f>BY177*VLOOKUP('Données projet'!$B$12,Paramètres!$A$1:$I$89,3,0)*VLOOKUP('Données projet'!$B$12,Paramètres!$A$1:$I$89,5,0)</f>
        <v>-1.3596945791505279E-13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393.01180019332998</v>
      </c>
      <c r="CE177" s="59">
        <f t="shared" si="148"/>
        <v>283.82782416294748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36.862493741889672</v>
      </c>
      <c r="CL177" s="21">
        <f>EXP(-LN(2)/25)*CL176+(1-EXP(-LN(2)/25))/(LN(2)/25)*Calculateur!CG177*Calculateur!CI177*VLOOKUP('Données projet'!$B$12,Paramètres!$A$1:$I$89,3,0)*0.475*44/12</f>
        <v>8.3717533761512755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45.234247118040948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-2.2737367544323206E-13</v>
      </c>
      <c r="CU177" s="17">
        <f>CT177*VLOOKUP('Données projet'!$B$13,Paramètres!$A$1:$I$89,3,0)*VLOOKUP('Données projet'!$B$13,Paramètres!$A$1:$I$89,5,0)</f>
        <v>-1.3596945791505279E-13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393.01180019332998</v>
      </c>
      <c r="CZ177" s="59">
        <f t="shared" si="150"/>
        <v>283.82782416294748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36.862493741889672</v>
      </c>
      <c r="DG177" s="21">
        <f>EXP(-LN(2)/25)*DG176+(1-EXP(-LN(2)/25))/(LN(2)/25)*Calculateur!DB177*Calculateur!DD177*VLOOKUP('Données projet'!$B$13,Paramètres!$A$1:$I$89,3,0)*0.475*44/12</f>
        <v>8.3717533761512755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45.234247118040948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-2.2737367544323206E-13</v>
      </c>
      <c r="DP177" s="17">
        <f>DO177*VLOOKUP('Données projet'!$B$14,Paramètres!$A$1:$I$89,3,0)*VLOOKUP('Données projet'!$B$14,Paramètres!$A$1:$I$89,5,0)</f>
        <v>-1.3596945791505279E-13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393.01180019332998</v>
      </c>
      <c r="DU177" s="59">
        <f t="shared" si="152"/>
        <v>283.82782416294748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36.862493741889672</v>
      </c>
      <c r="EB177" s="21">
        <f>EXP(-LN(2)/25)*EB176+(1-EXP(-LN(2)/25))/(LN(2)/25)*Calculateur!DW177*Calculateur!DY177*VLOOKUP('Données projet'!$B$14,Paramètres!$A$1:$I$89,3,0)*0.475*44/12</f>
        <v>8.3717533761512755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45.234247118040948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20.201999999999966</v>
      </c>
      <c r="D178" s="11">
        <f t="shared" si="140"/>
        <v>6.561430413809922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41.318980287987202</v>
      </c>
      <c r="H178" s="67">
        <f t="shared" si="110"/>
        <v>303.27964130405223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-5.3205440053716299E-14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189.8770435341392</v>
      </c>
      <c r="T178" s="59">
        <f t="shared" si="142"/>
        <v>230.18380961122767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11.256459139827738</v>
      </c>
      <c r="AA178" s="21">
        <f>EXP(-LN(2)/25)*AA177+(1-EXP(-LN(2)/25))/(LN(2)/25)*Calculateur!V178*Calculateur!X178*VLOOKUP('Données projet'!$B$9,Paramètres!$A$1:$I$89,3,0)*0.475*44/12</f>
        <v>2.5675297178981635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13.823988857725901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-3.4106051316484809E-13</v>
      </c>
      <c r="AJ178" s="13">
        <f>AI178*VLOOKUP('Données projet'!$B$10,Paramètres!$A$1:$I$89,3,0)*VLOOKUP('Données projet'!$B$10,Paramètres!$A$1:$I$89,5,0)</f>
        <v>-1.5074874681886286E-13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207.77463758757142</v>
      </c>
      <c r="AO178" s="59">
        <f t="shared" si="144"/>
        <v>180.50802165484066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15.941536488341166</v>
      </c>
      <c r="AV178" s="21">
        <f>EXP(-LN(2)/25)*AV177+(1-EXP(-LN(2)/25))/(LN(2)/25)*Calculateur!AQ178*Calculateur!AS178*VLOOKUP('Données projet'!$B$10,Paramètres!$A$1:$I$89,3,0)*0.475*44/12</f>
        <v>3.9381480243129539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19.879684512654119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-2.2737367544323206E-13</v>
      </c>
      <c r="BE178" s="13">
        <f>BD178*VLOOKUP('Données projet'!$B$11,Paramètres!$A$1:$I$89,3,0)*VLOOKUP('Données projet'!$B$11,Paramètres!$A$1:$I$89,5,0)</f>
        <v>-1.3596945791505279E-13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393.01180019332998</v>
      </c>
      <c r="BJ178" s="59">
        <f t="shared" si="146"/>
        <v>283.82782416294748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36.139642723512296</v>
      </c>
      <c r="BQ178" s="21">
        <f>EXP(-LN(2)/25)*BQ177+(1-EXP(-LN(2)/25))/(LN(2)/25)*Calculateur!BL178*Calculateur!BN178*VLOOKUP('Données projet'!$B$11,Paramètres!$A$1:$I$89,3,0)*0.475*44/12</f>
        <v>8.1428273398290418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44.282470063341336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-2.2737367544323206E-13</v>
      </c>
      <c r="BZ178" s="13">
        <f>BY178*VLOOKUP('Données projet'!$B$12,Paramètres!$A$1:$I$89,3,0)*VLOOKUP('Données projet'!$B$12,Paramètres!$A$1:$I$89,5,0)</f>
        <v>-1.3596945791505279E-13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393.01180019332998</v>
      </c>
      <c r="CE178" s="59">
        <f t="shared" si="148"/>
        <v>283.82782416294748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36.139642723512296</v>
      </c>
      <c r="CL178" s="21">
        <f>EXP(-LN(2)/25)*CL177+(1-EXP(-LN(2)/25))/(LN(2)/25)*Calculateur!CG178*Calculateur!CI178*VLOOKUP('Données projet'!$B$12,Paramètres!$A$1:$I$89,3,0)*0.475*44/12</f>
        <v>8.1428273398290418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44.282470063341336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-2.2737367544323206E-13</v>
      </c>
      <c r="CU178" s="17">
        <f>CT178*VLOOKUP('Données projet'!$B$13,Paramètres!$A$1:$I$89,3,0)*VLOOKUP('Données projet'!$B$13,Paramètres!$A$1:$I$89,5,0)</f>
        <v>-1.3596945791505279E-13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393.01180019332998</v>
      </c>
      <c r="CZ178" s="59">
        <f t="shared" si="150"/>
        <v>283.82782416294748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36.139642723512296</v>
      </c>
      <c r="DG178" s="21">
        <f>EXP(-LN(2)/25)*DG177+(1-EXP(-LN(2)/25))/(LN(2)/25)*Calculateur!DB178*Calculateur!DD178*VLOOKUP('Données projet'!$B$13,Paramètres!$A$1:$I$89,3,0)*0.475*44/12</f>
        <v>8.1428273398290418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44.282470063341336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-2.2737367544323206E-13</v>
      </c>
      <c r="DP178" s="17">
        <f>DO178*VLOOKUP('Données projet'!$B$14,Paramètres!$A$1:$I$89,3,0)*VLOOKUP('Données projet'!$B$14,Paramètres!$A$1:$I$89,5,0)</f>
        <v>-1.3596945791505279E-13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393.01180019332998</v>
      </c>
      <c r="DU178" s="59">
        <f t="shared" si="152"/>
        <v>283.82782416294748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36.139642723512296</v>
      </c>
      <c r="EB178" s="21">
        <f>EXP(-LN(2)/25)*EB177+(1-EXP(-LN(2)/25))/(LN(2)/25)*Calculateur!DW178*Calculateur!DY178*VLOOKUP('Données projet'!$B$14,Paramètres!$A$1:$I$89,3,0)*0.475*44/12</f>
        <v>8.1428273398290418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44.282470063341336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20.317439999999966</v>
      </c>
      <c r="D179" s="11">
        <f t="shared" si="140"/>
        <v>6.5945490187170535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41.548333923633301</v>
      </c>
      <c r="H179" s="67">
        <f t="shared" si="110"/>
        <v>303.5383808742655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-5.3205440053716299E-14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189.8770435341392</v>
      </c>
      <c r="T179" s="59">
        <f t="shared" si="142"/>
        <v>230.18380961122767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11.035726841857853</v>
      </c>
      <c r="AA179" s="21">
        <f>EXP(-LN(2)/25)*AA178+(1-EXP(-LN(2)/25))/(LN(2)/25)*Calculateur!V179*Calculateur!X179*VLOOKUP('Données projet'!$B$9,Paramètres!$A$1:$I$89,3,0)*0.475*44/12</f>
        <v>2.4973204827417184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13.533047324599572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-3.4106051316484809E-13</v>
      </c>
      <c r="AJ179" s="13">
        <f>AI179*VLOOKUP('Données projet'!$B$10,Paramètres!$A$1:$I$89,3,0)*VLOOKUP('Données projet'!$B$10,Paramètres!$A$1:$I$89,5,0)</f>
        <v>-1.5074874681886286E-13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207.77463758757142</v>
      </c>
      <c r="AO179" s="59">
        <f t="shared" si="144"/>
        <v>180.50802165484066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15.628932681181949</v>
      </c>
      <c r="AV179" s="21">
        <f>EXP(-LN(2)/25)*AV178+(1-EXP(-LN(2)/25))/(LN(2)/25)*Calculateur!AQ179*Calculateur!AS179*VLOOKUP('Données projet'!$B$10,Paramètres!$A$1:$I$89,3,0)*0.475*44/12</f>
        <v>3.8304591594899122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19.459391840671863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-2.2737367544323206E-13</v>
      </c>
      <c r="BE179" s="13">
        <f>BD179*VLOOKUP('Données projet'!$B$11,Paramètres!$A$1:$I$89,3,0)*VLOOKUP('Données projet'!$B$11,Paramètres!$A$1:$I$89,5,0)</f>
        <v>-1.3596945791505279E-13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393.01180019332998</v>
      </c>
      <c r="BJ179" s="59">
        <f t="shared" si="146"/>
        <v>283.82782416294748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35.430966372709712</v>
      </c>
      <c r="BQ179" s="21">
        <f>EXP(-LN(2)/25)*BQ178+(1-EXP(-LN(2)/25))/(LN(2)/25)*Calculateur!BL179*Calculateur!BN179*VLOOKUP('Données projet'!$B$11,Paramètres!$A$1:$I$89,3,0)*0.475*44/12</f>
        <v>7.9201612980087379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43.351127670718448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-2.2737367544323206E-13</v>
      </c>
      <c r="BZ179" s="13">
        <f>BY179*VLOOKUP('Données projet'!$B$12,Paramètres!$A$1:$I$89,3,0)*VLOOKUP('Données projet'!$B$12,Paramètres!$A$1:$I$89,5,0)</f>
        <v>-1.3596945791505279E-13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393.01180019332998</v>
      </c>
      <c r="CE179" s="59">
        <f t="shared" si="148"/>
        <v>283.82782416294748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35.430966372709712</v>
      </c>
      <c r="CL179" s="21">
        <f>EXP(-LN(2)/25)*CL178+(1-EXP(-LN(2)/25))/(LN(2)/25)*Calculateur!CG179*Calculateur!CI179*VLOOKUP('Données projet'!$B$12,Paramètres!$A$1:$I$89,3,0)*0.475*44/12</f>
        <v>7.9201612980087379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43.351127670718448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-2.2737367544323206E-13</v>
      </c>
      <c r="CU179" s="17">
        <f>CT179*VLOOKUP('Données projet'!$B$13,Paramètres!$A$1:$I$89,3,0)*VLOOKUP('Données projet'!$B$13,Paramètres!$A$1:$I$89,5,0)</f>
        <v>-1.3596945791505279E-13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393.01180019332998</v>
      </c>
      <c r="CZ179" s="59">
        <f t="shared" si="150"/>
        <v>283.82782416294748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35.430966372709712</v>
      </c>
      <c r="DG179" s="21">
        <f>EXP(-LN(2)/25)*DG178+(1-EXP(-LN(2)/25))/(LN(2)/25)*Calculateur!DB179*Calculateur!DD179*VLOOKUP('Données projet'!$B$13,Paramètres!$A$1:$I$89,3,0)*0.475*44/12</f>
        <v>7.9201612980087379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43.351127670718448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-2.2737367544323206E-13</v>
      </c>
      <c r="DP179" s="17">
        <f>DO179*VLOOKUP('Données projet'!$B$14,Paramètres!$A$1:$I$89,3,0)*VLOOKUP('Données projet'!$B$14,Paramètres!$A$1:$I$89,5,0)</f>
        <v>-1.3596945791505279E-13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393.01180019332998</v>
      </c>
      <c r="DU179" s="59">
        <f t="shared" si="152"/>
        <v>283.82782416294748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35.430966372709712</v>
      </c>
      <c r="EB179" s="21">
        <f>EXP(-LN(2)/25)*EB178+(1-EXP(-LN(2)/25))/(LN(2)/25)*Calculateur!DW179*Calculateur!DY179*VLOOKUP('Données projet'!$B$14,Paramètres!$A$1:$I$89,3,0)*0.475*44/12</f>
        <v>7.9201612980087379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43.351127670718448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20.432879999999965</v>
      </c>
      <c r="D180" s="11">
        <f t="shared" si="140"/>
        <v>6.6276457273000551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41.777653754428108</v>
      </c>
      <c r="H180" s="67">
        <f t="shared" si="110"/>
        <v>303.79708230838088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-5.3205440053716299E-14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189.8770435341392</v>
      </c>
      <c r="T180" s="59">
        <f t="shared" si="142"/>
        <v>230.18380961122767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10.819322969617751</v>
      </c>
      <c r="AA180" s="21">
        <f>EXP(-LN(2)/25)*AA179+(1-EXP(-LN(2)/25))/(LN(2)/25)*Calculateur!V180*Calculateur!X180*VLOOKUP('Données projet'!$B$9,Paramètres!$A$1:$I$89,3,0)*0.475*44/12</f>
        <v>2.4290311228127694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13.248354092430521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-3.4106051316484809E-13</v>
      </c>
      <c r="AJ180" s="13">
        <f>AI180*VLOOKUP('Données projet'!$B$10,Paramètres!$A$1:$I$89,3,0)*VLOOKUP('Données projet'!$B$10,Paramètres!$A$1:$I$89,5,0)</f>
        <v>-1.5074874681886286E-13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207.77463758757142</v>
      </c>
      <c r="AO180" s="59">
        <f t="shared" si="144"/>
        <v>180.50802165484066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15.32245884401163</v>
      </c>
      <c r="AV180" s="21">
        <f>EXP(-LN(2)/25)*AV179+(1-EXP(-LN(2)/25))/(LN(2)/25)*Calculateur!AQ180*Calculateur!AS180*VLOOKUP('Données projet'!$B$10,Paramètres!$A$1:$I$89,3,0)*0.475*44/12</f>
        <v>3.7257150523385678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19.048173896350196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-2.2737367544323206E-13</v>
      </c>
      <c r="BE180" s="13">
        <f>BD180*VLOOKUP('Données projet'!$B$11,Paramètres!$A$1:$I$89,3,0)*VLOOKUP('Données projet'!$B$11,Paramètres!$A$1:$I$89,5,0)</f>
        <v>-1.3596945791505279E-13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393.01180019332998</v>
      </c>
      <c r="BJ180" s="59">
        <f t="shared" si="146"/>
        <v>283.82782416294748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34.736186732896478</v>
      </c>
      <c r="BQ180" s="21">
        <f>EXP(-LN(2)/25)*BQ179+(1-EXP(-LN(2)/25))/(LN(2)/25)*Calculateur!BL180*Calculateur!BN180*VLOOKUP('Données projet'!$B$11,Paramètres!$A$1:$I$89,3,0)*0.475*44/12</f>
        <v>7.703584070811508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42.439770803707987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-2.2737367544323206E-13</v>
      </c>
      <c r="BZ180" s="13">
        <f>BY180*VLOOKUP('Données projet'!$B$12,Paramètres!$A$1:$I$89,3,0)*VLOOKUP('Données projet'!$B$12,Paramètres!$A$1:$I$89,5,0)</f>
        <v>-1.3596945791505279E-13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393.01180019332998</v>
      </c>
      <c r="CE180" s="59">
        <f t="shared" si="148"/>
        <v>283.82782416294748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34.736186732896478</v>
      </c>
      <c r="CL180" s="21">
        <f>EXP(-LN(2)/25)*CL179+(1-EXP(-LN(2)/25))/(LN(2)/25)*Calculateur!CG180*Calculateur!CI180*VLOOKUP('Données projet'!$B$12,Paramètres!$A$1:$I$89,3,0)*0.475*44/12</f>
        <v>7.703584070811508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42.439770803707987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-2.2737367544323206E-13</v>
      </c>
      <c r="CU180" s="17">
        <f>CT180*VLOOKUP('Données projet'!$B$13,Paramètres!$A$1:$I$89,3,0)*VLOOKUP('Données projet'!$B$13,Paramètres!$A$1:$I$89,5,0)</f>
        <v>-1.3596945791505279E-13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393.01180019332998</v>
      </c>
      <c r="CZ180" s="59">
        <f t="shared" si="150"/>
        <v>283.82782416294748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34.736186732896478</v>
      </c>
      <c r="DG180" s="21">
        <f>EXP(-LN(2)/25)*DG179+(1-EXP(-LN(2)/25))/(LN(2)/25)*Calculateur!DB180*Calculateur!DD180*VLOOKUP('Données projet'!$B$13,Paramètres!$A$1:$I$89,3,0)*0.475*44/12</f>
        <v>7.703584070811508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42.439770803707987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-2.2737367544323206E-13</v>
      </c>
      <c r="DP180" s="17">
        <f>DO180*VLOOKUP('Données projet'!$B$14,Paramètres!$A$1:$I$89,3,0)*VLOOKUP('Données projet'!$B$14,Paramètres!$A$1:$I$89,5,0)</f>
        <v>-1.3596945791505279E-13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393.01180019332998</v>
      </c>
      <c r="DU180" s="59">
        <f t="shared" si="152"/>
        <v>283.82782416294748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34.736186732896478</v>
      </c>
      <c r="EB180" s="21">
        <f>EXP(-LN(2)/25)*EB179+(1-EXP(-LN(2)/25))/(LN(2)/25)*Calculateur!DW180*Calculateur!DY180*VLOOKUP('Données projet'!$B$14,Paramètres!$A$1:$I$89,3,0)*0.475*44/12</f>
        <v>7.703584070811508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42.439770803707987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20.548319999999965</v>
      </c>
      <c r="D181" s="11">
        <f t="shared" si="140"/>
        <v>6.6607206776226624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42.006939993522657</v>
      </c>
      <c r="H181" s="67">
        <f t="shared" si="110"/>
        <v>304.05574584685945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-5.3205440053716299E-14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189.8770435341392</v>
      </c>
      <c r="T181" s="59">
        <f t="shared" si="142"/>
        <v>230.18380961122767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10.607162645318947</v>
      </c>
      <c r="AA181" s="21">
        <f>EXP(-LN(2)/25)*AA180+(1-EXP(-LN(2)/25))/(LN(2)/25)*Calculateur!V181*Calculateur!X181*VLOOKUP('Données projet'!$B$9,Paramètres!$A$1:$I$89,3,0)*0.475*44/12</f>
        <v>2.362609139022259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12.969771784341207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-3.4106051316484809E-13</v>
      </c>
      <c r="AJ181" s="13">
        <f>AI181*VLOOKUP('Données projet'!$B$10,Paramètres!$A$1:$I$89,3,0)*VLOOKUP('Données projet'!$B$10,Paramètres!$A$1:$I$89,5,0)</f>
        <v>-1.5074874681886286E-13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207.77463758757142</v>
      </c>
      <c r="AO181" s="59">
        <f t="shared" si="144"/>
        <v>180.50802165484066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15.021994771857637</v>
      </c>
      <c r="AV181" s="21">
        <f>EXP(-LN(2)/25)*AV180+(1-EXP(-LN(2)/25))/(LN(2)/25)*Calculateur!AQ181*Calculateur!AS181*VLOOKUP('Données projet'!$B$10,Paramètres!$A$1:$I$89,3,0)*0.475*44/12</f>
        <v>3.6238351783055305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18.645829950163169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-2.2737367544323206E-13</v>
      </c>
      <c r="BE181" s="13">
        <f>BD181*VLOOKUP('Données projet'!$B$11,Paramètres!$A$1:$I$89,3,0)*VLOOKUP('Données projet'!$B$11,Paramètres!$A$1:$I$89,5,0)</f>
        <v>-1.3596945791505279E-13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393.01180019332998</v>
      </c>
      <c r="BJ181" s="59">
        <f t="shared" si="146"/>
        <v>283.82782416294748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34.055031298046245</v>
      </c>
      <c r="BQ181" s="21">
        <f>EXP(-LN(2)/25)*BQ180+(1-EXP(-LN(2)/25))/(LN(2)/25)*Calculateur!BL181*Calculateur!BN181*VLOOKUP('Données projet'!$B$11,Paramètres!$A$1:$I$89,3,0)*0.475*44/12</f>
        <v>7.4929291592812879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41.547960457327534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-2.2737367544323206E-13</v>
      </c>
      <c r="BZ181" s="13">
        <f>BY181*VLOOKUP('Données projet'!$B$12,Paramètres!$A$1:$I$89,3,0)*VLOOKUP('Données projet'!$B$12,Paramètres!$A$1:$I$89,5,0)</f>
        <v>-1.3596945791505279E-13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393.01180019332998</v>
      </c>
      <c r="CE181" s="59">
        <f t="shared" si="148"/>
        <v>283.82782416294748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34.055031298046245</v>
      </c>
      <c r="CL181" s="21">
        <f>EXP(-LN(2)/25)*CL180+(1-EXP(-LN(2)/25))/(LN(2)/25)*Calculateur!CG181*Calculateur!CI181*VLOOKUP('Données projet'!$B$12,Paramètres!$A$1:$I$89,3,0)*0.475*44/12</f>
        <v>7.4929291592812879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41.547960457327534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-2.2737367544323206E-13</v>
      </c>
      <c r="CU181" s="17">
        <f>CT181*VLOOKUP('Données projet'!$B$13,Paramètres!$A$1:$I$89,3,0)*VLOOKUP('Données projet'!$B$13,Paramètres!$A$1:$I$89,5,0)</f>
        <v>-1.3596945791505279E-13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393.01180019332998</v>
      </c>
      <c r="CZ181" s="59">
        <f t="shared" si="150"/>
        <v>283.82782416294748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34.055031298046245</v>
      </c>
      <c r="DG181" s="21">
        <f>EXP(-LN(2)/25)*DG180+(1-EXP(-LN(2)/25))/(LN(2)/25)*Calculateur!DB181*Calculateur!DD181*VLOOKUP('Données projet'!$B$13,Paramètres!$A$1:$I$89,3,0)*0.475*44/12</f>
        <v>7.4929291592812879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41.547960457327534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-2.2737367544323206E-13</v>
      </c>
      <c r="DP181" s="17">
        <f>DO181*VLOOKUP('Données projet'!$B$14,Paramètres!$A$1:$I$89,3,0)*VLOOKUP('Données projet'!$B$14,Paramètres!$A$1:$I$89,5,0)</f>
        <v>-1.3596945791505279E-13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393.01180019332998</v>
      </c>
      <c r="DU181" s="59">
        <f t="shared" si="152"/>
        <v>283.82782416294748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34.055031298046245</v>
      </c>
      <c r="EB181" s="21">
        <f>EXP(-LN(2)/25)*EB180+(1-EXP(-LN(2)/25))/(LN(2)/25)*Calculateur!DW181*Calculateur!DY181*VLOOKUP('Données projet'!$B$14,Paramètres!$A$1:$I$89,3,0)*0.475*44/12</f>
        <v>7.4929291592812879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41.547960457327534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20.663759999999964</v>
      </c>
      <c r="D182" s="11">
        <f t="shared" si="140"/>
        <v>6.6937740061075583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42.236192851534426</v>
      </c>
      <c r="H182" s="67">
        <f t="shared" si="110"/>
        <v>304.31437172730398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-5.3205440053716299E-14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189.8770435341392</v>
      </c>
      <c r="T182" s="59">
        <f t="shared" si="142"/>
        <v>230.18380961122767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10.399162655574624</v>
      </c>
      <c r="AA182" s="21">
        <f>EXP(-LN(2)/25)*AA181+(1-EXP(-LN(2)/25))/(LN(2)/25)*Calculateur!V182*Calculateur!X182*VLOOKUP('Données projet'!$B$9,Paramètres!$A$1:$I$89,3,0)*0.475*44/12</f>
        <v>2.2980034678714807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12.697166123446106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-3.4106051316484809E-13</v>
      </c>
      <c r="AJ182" s="13">
        <f>AI182*VLOOKUP('Données projet'!$B$10,Paramètres!$A$1:$I$89,3,0)*VLOOKUP('Données projet'!$B$10,Paramètres!$A$1:$I$89,5,0)</f>
        <v>-1.5074874681886286E-13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207.77463758757142</v>
      </c>
      <c r="AO182" s="59">
        <f t="shared" si="144"/>
        <v>180.50802165484066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14.727422616893596</v>
      </c>
      <c r="AV182" s="21">
        <f>EXP(-LN(2)/25)*AV181+(1-EXP(-LN(2)/25))/(LN(2)/25)*Calculateur!AQ182*Calculateur!AS182*VLOOKUP('Données projet'!$B$10,Paramètres!$A$1:$I$89,3,0)*0.475*44/12</f>
        <v>3.5247412147855561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18.252163831679152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-2.2737367544323206E-13</v>
      </c>
      <c r="BE182" s="13">
        <f>BD182*VLOOKUP('Données projet'!$B$11,Paramètres!$A$1:$I$89,3,0)*VLOOKUP('Données projet'!$B$11,Paramètres!$A$1:$I$89,5,0)</f>
        <v>-1.3596945791505279E-13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393.01180019332998</v>
      </c>
      <c r="BJ182" s="59">
        <f t="shared" si="146"/>
        <v>283.82782416294748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33.387232905809633</v>
      </c>
      <c r="BQ182" s="21">
        <f>EXP(-LN(2)/25)*BQ181+(1-EXP(-LN(2)/25))/(LN(2)/25)*Calculateur!BL182*Calculateur!BN182*VLOOKUP('Données projet'!$B$11,Paramètres!$A$1:$I$89,3,0)*0.475*44/12</f>
        <v>7.2880346173847217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40.675267523194357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-2.2737367544323206E-13</v>
      </c>
      <c r="BZ182" s="13">
        <f>BY182*VLOOKUP('Données projet'!$B$12,Paramètres!$A$1:$I$89,3,0)*VLOOKUP('Données projet'!$B$12,Paramètres!$A$1:$I$89,5,0)</f>
        <v>-1.3596945791505279E-13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393.01180019332998</v>
      </c>
      <c r="CE182" s="59">
        <f t="shared" si="148"/>
        <v>283.82782416294748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33.387232905809633</v>
      </c>
      <c r="CL182" s="21">
        <f>EXP(-LN(2)/25)*CL181+(1-EXP(-LN(2)/25))/(LN(2)/25)*Calculateur!CG182*Calculateur!CI182*VLOOKUP('Données projet'!$B$12,Paramètres!$A$1:$I$89,3,0)*0.475*44/12</f>
        <v>7.2880346173847217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40.675267523194357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-2.2737367544323206E-13</v>
      </c>
      <c r="CU182" s="17">
        <f>CT182*VLOOKUP('Données projet'!$B$13,Paramètres!$A$1:$I$89,3,0)*VLOOKUP('Données projet'!$B$13,Paramètres!$A$1:$I$89,5,0)</f>
        <v>-1.3596945791505279E-13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393.01180019332998</v>
      </c>
      <c r="CZ182" s="59">
        <f t="shared" si="150"/>
        <v>283.82782416294748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33.387232905809633</v>
      </c>
      <c r="DG182" s="21">
        <f>EXP(-LN(2)/25)*DG181+(1-EXP(-LN(2)/25))/(LN(2)/25)*Calculateur!DB182*Calculateur!DD182*VLOOKUP('Données projet'!$B$13,Paramètres!$A$1:$I$89,3,0)*0.475*44/12</f>
        <v>7.2880346173847217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40.675267523194357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-2.2737367544323206E-13</v>
      </c>
      <c r="DP182" s="17">
        <f>DO182*VLOOKUP('Données projet'!$B$14,Paramètres!$A$1:$I$89,3,0)*VLOOKUP('Données projet'!$B$14,Paramètres!$A$1:$I$89,5,0)</f>
        <v>-1.3596945791505279E-13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393.01180019332998</v>
      </c>
      <c r="DU182" s="59">
        <f t="shared" si="152"/>
        <v>283.82782416294748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33.387232905809633</v>
      </c>
      <c r="EB182" s="21">
        <f>EXP(-LN(2)/25)*EB181+(1-EXP(-LN(2)/25))/(LN(2)/25)*Calculateur!DW182*Calculateur!DY182*VLOOKUP('Données projet'!$B$14,Paramètres!$A$1:$I$89,3,0)*0.475*44/12</f>
        <v>7.2880346173847217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40.675267523194357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20.779199999999964</v>
      </c>
      <c r="D183" s="11">
        <f t="shared" si="140"/>
        <v>6.7268058475649282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42.465412536591423</v>
      </c>
      <c r="H183" s="67">
        <f t="shared" si="110"/>
        <v>304.57296018450887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-5.3205440053716299E-14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189.8770435341392</v>
      </c>
      <c r="T183" s="59">
        <f t="shared" si="142"/>
        <v>230.18380961122767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10.19524141876172</v>
      </c>
      <c r="AA183" s="21">
        <f>EXP(-LN(2)/25)*AA182+(1-EXP(-LN(2)/25))/(LN(2)/25)*Calculateur!V183*Calculateur!X183*VLOOKUP('Données projet'!$B$9,Paramètres!$A$1:$I$89,3,0)*0.475*44/12</f>
        <v>2.235164442195785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12.430405860957505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-3.4106051316484809E-13</v>
      </c>
      <c r="AJ183" s="13">
        <f>AI183*VLOOKUP('Données projet'!$B$10,Paramètres!$A$1:$I$89,3,0)*VLOOKUP('Données projet'!$B$10,Paramètres!$A$1:$I$89,5,0)</f>
        <v>-1.5074874681886286E-13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207.77463758757142</v>
      </c>
      <c r="AO183" s="59">
        <f t="shared" si="144"/>
        <v>180.50802165484066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14.438626842217127</v>
      </c>
      <c r="AV183" s="21">
        <f>EXP(-LN(2)/25)*AV182+(1-EXP(-LN(2)/25))/(LN(2)/25)*Calculateur!AQ183*Calculateur!AS183*VLOOKUP('Données projet'!$B$10,Paramètres!$A$1:$I$89,3,0)*0.475*44/12</f>
        <v>3.4283569809091605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17.866983823126287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-2.2737367544323206E-13</v>
      </c>
      <c r="BE183" s="13">
        <f>BD183*VLOOKUP('Données projet'!$B$11,Paramètres!$A$1:$I$89,3,0)*VLOOKUP('Données projet'!$B$11,Paramètres!$A$1:$I$89,5,0)</f>
        <v>-1.3596945791505279E-13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393.01180019332998</v>
      </c>
      <c r="BJ183" s="59">
        <f t="shared" si="146"/>
        <v>283.82782416294748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32.732529632727982</v>
      </c>
      <c r="BQ183" s="21">
        <f>EXP(-LN(2)/25)*BQ182+(1-EXP(-LN(2)/25))/(LN(2)/25)*Calculateur!BL183*Calculateur!BN183*VLOOKUP('Données projet'!$B$11,Paramètres!$A$1:$I$89,3,0)*0.475*44/12</f>
        <v>7.0887429275112526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39.821272560239237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-2.2737367544323206E-13</v>
      </c>
      <c r="BZ183" s="13">
        <f>BY183*VLOOKUP('Données projet'!$B$12,Paramètres!$A$1:$I$89,3,0)*VLOOKUP('Données projet'!$B$12,Paramètres!$A$1:$I$89,5,0)</f>
        <v>-1.3596945791505279E-13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393.01180019332998</v>
      </c>
      <c r="CE183" s="59">
        <f t="shared" si="148"/>
        <v>283.82782416294748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32.732529632727982</v>
      </c>
      <c r="CL183" s="21">
        <f>EXP(-LN(2)/25)*CL182+(1-EXP(-LN(2)/25))/(LN(2)/25)*Calculateur!CG183*Calculateur!CI183*VLOOKUP('Données projet'!$B$12,Paramètres!$A$1:$I$89,3,0)*0.475*44/12</f>
        <v>7.0887429275112526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39.821272560239237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-2.2737367544323206E-13</v>
      </c>
      <c r="CU183" s="17">
        <f>CT183*VLOOKUP('Données projet'!$B$13,Paramètres!$A$1:$I$89,3,0)*VLOOKUP('Données projet'!$B$13,Paramètres!$A$1:$I$89,5,0)</f>
        <v>-1.3596945791505279E-13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393.01180019332998</v>
      </c>
      <c r="CZ183" s="59">
        <f t="shared" si="150"/>
        <v>283.82782416294748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32.732529632727982</v>
      </c>
      <c r="DG183" s="21">
        <f>EXP(-LN(2)/25)*DG182+(1-EXP(-LN(2)/25))/(LN(2)/25)*Calculateur!DB183*Calculateur!DD183*VLOOKUP('Données projet'!$B$13,Paramètres!$A$1:$I$89,3,0)*0.475*44/12</f>
        <v>7.0887429275112526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39.821272560239237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-2.2737367544323206E-13</v>
      </c>
      <c r="DP183" s="17">
        <f>DO183*VLOOKUP('Données projet'!$B$14,Paramètres!$A$1:$I$89,3,0)*VLOOKUP('Données projet'!$B$14,Paramètres!$A$1:$I$89,5,0)</f>
        <v>-1.3596945791505279E-13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393.01180019332998</v>
      </c>
      <c r="DU183" s="59">
        <f t="shared" si="152"/>
        <v>283.82782416294748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32.732529632727982</v>
      </c>
      <c r="EB183" s="21">
        <f>EXP(-LN(2)/25)*EB182+(1-EXP(-LN(2)/25))/(LN(2)/25)*Calculateur!DW183*Calculateur!DY183*VLOOKUP('Données projet'!$B$14,Paramètres!$A$1:$I$89,3,0)*0.475*44/12</f>
        <v>7.0887429275112526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39.821272560239237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20.894639999999963</v>
      </c>
      <c r="D184" s="11">
        <f t="shared" si="140"/>
        <v>6.7598163352203944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42.694599254375305</v>
      </c>
      <c r="H184" s="67">
        <f t="shared" si="110"/>
        <v>304.8315114505088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-5.3205440053716299E-14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189.8770435341392</v>
      </c>
      <c r="T184" s="59">
        <f t="shared" si="142"/>
        <v>230.18380961122767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9.9953189530230429</v>
      </c>
      <c r="AA184" s="21">
        <f>EXP(-LN(2)/25)*AA183+(1-EXP(-LN(2)/25))/(LN(2)/25)*Calculateur!V184*Calculateur!X184*VLOOKUP('Données projet'!$B$9,Paramètres!$A$1:$I$89,3,0)*0.475*44/12</f>
        <v>2.1740437529817518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12.169362706004794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-3.4106051316484809E-13</v>
      </c>
      <c r="AJ184" s="13">
        <f>AI184*VLOOKUP('Données projet'!$B$10,Paramètres!$A$1:$I$89,3,0)*VLOOKUP('Données projet'!$B$10,Paramètres!$A$1:$I$89,5,0)</f>
        <v>-1.5074874681886286E-13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207.77463758757142</v>
      </c>
      <c r="AO184" s="59">
        <f t="shared" si="144"/>
        <v>180.50802165484066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14.155494176534035</v>
      </c>
      <c r="AV184" s="21">
        <f>EXP(-LN(2)/25)*AV183+(1-EXP(-LN(2)/25))/(LN(2)/25)*Calculateur!AQ184*Calculateur!AS184*VLOOKUP('Données projet'!$B$10,Paramètres!$A$1:$I$89,3,0)*0.475*44/12</f>
        <v>3.3346083789767413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17.490102555510777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-2.2737367544323206E-13</v>
      </c>
      <c r="BE184" s="13">
        <f>BD184*VLOOKUP('Données projet'!$B$11,Paramètres!$A$1:$I$89,3,0)*VLOOKUP('Données projet'!$B$11,Paramètres!$A$1:$I$89,5,0)</f>
        <v>-1.3596945791505279E-13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393.01180019332998</v>
      </c>
      <c r="BJ184" s="59">
        <f t="shared" si="146"/>
        <v>283.82782416294748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32.090664691501892</v>
      </c>
      <c r="BQ184" s="21">
        <f>EXP(-LN(2)/25)*BQ183+(1-EXP(-LN(2)/25))/(LN(2)/25)*Calculateur!BL184*Calculateur!BN184*VLOOKUP('Données projet'!$B$11,Paramètres!$A$1:$I$89,3,0)*0.475*44/12</f>
        <v>6.8949008793776683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38.985565570879558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-2.2737367544323206E-13</v>
      </c>
      <c r="BZ184" s="13">
        <f>BY184*VLOOKUP('Données projet'!$B$12,Paramètres!$A$1:$I$89,3,0)*VLOOKUP('Données projet'!$B$12,Paramètres!$A$1:$I$89,5,0)</f>
        <v>-1.3596945791505279E-13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393.01180019332998</v>
      </c>
      <c r="CE184" s="59">
        <f t="shared" si="148"/>
        <v>283.82782416294748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32.090664691501892</v>
      </c>
      <c r="CL184" s="21">
        <f>EXP(-LN(2)/25)*CL183+(1-EXP(-LN(2)/25))/(LN(2)/25)*Calculateur!CG184*Calculateur!CI184*VLOOKUP('Données projet'!$B$12,Paramètres!$A$1:$I$89,3,0)*0.475*44/12</f>
        <v>6.8949008793776683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38.985565570879558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-2.2737367544323206E-13</v>
      </c>
      <c r="CU184" s="17">
        <f>CT184*VLOOKUP('Données projet'!$B$13,Paramètres!$A$1:$I$89,3,0)*VLOOKUP('Données projet'!$B$13,Paramètres!$A$1:$I$89,5,0)</f>
        <v>-1.3596945791505279E-13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393.01180019332998</v>
      </c>
      <c r="CZ184" s="59">
        <f t="shared" si="150"/>
        <v>283.82782416294748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32.090664691501892</v>
      </c>
      <c r="DG184" s="21">
        <f>EXP(-LN(2)/25)*DG183+(1-EXP(-LN(2)/25))/(LN(2)/25)*Calculateur!DB184*Calculateur!DD184*VLOOKUP('Données projet'!$B$13,Paramètres!$A$1:$I$89,3,0)*0.475*44/12</f>
        <v>6.8949008793776683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38.985565570879558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-2.2737367544323206E-13</v>
      </c>
      <c r="DP184" s="17">
        <f>DO184*VLOOKUP('Données projet'!$B$14,Paramètres!$A$1:$I$89,3,0)*VLOOKUP('Données projet'!$B$14,Paramètres!$A$1:$I$89,5,0)</f>
        <v>-1.3596945791505279E-13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393.01180019332998</v>
      </c>
      <c r="DU184" s="59">
        <f t="shared" si="152"/>
        <v>283.82782416294748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32.090664691501892</v>
      </c>
      <c r="EB184" s="21">
        <f>EXP(-LN(2)/25)*EB183+(1-EXP(-LN(2)/25))/(LN(2)/25)*Calculateur!DW184*Calculateur!DY184*VLOOKUP('Données projet'!$B$14,Paramètres!$A$1:$I$89,3,0)*0.475*44/12</f>
        <v>6.8949008793776683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38.985565570879558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21.010079999999963</v>
      </c>
      <c r="D185" s="11">
        <f t="shared" si="140"/>
        <v>6.7928056007422608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42.92375320816344</v>
      </c>
      <c r="H185" s="67">
        <f t="shared" si="110"/>
        <v>305.09002575462603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-5.3205440053716299E-14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189.8770435341392</v>
      </c>
      <c r="T185" s="59">
        <f t="shared" si="142"/>
        <v>230.18380961122767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9.799316844896838</v>
      </c>
      <c r="AA185" s="21">
        <f>EXP(-LN(2)/25)*AA184+(1-EXP(-LN(2)/25))/(LN(2)/25)*Calculateur!V185*Calculateur!X185*VLOOKUP('Données projet'!$B$9,Paramètres!$A$1:$I$89,3,0)*0.475*44/12</f>
        <v>2.1145944122284734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11.913911257125312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-3.4106051316484809E-13</v>
      </c>
      <c r="AJ185" s="13">
        <f>AI185*VLOOKUP('Données projet'!$B$10,Paramètres!$A$1:$I$89,3,0)*VLOOKUP('Données projet'!$B$10,Paramètres!$A$1:$I$89,5,0)</f>
        <v>-1.5074874681886286E-13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207.77463758757142</v>
      </c>
      <c r="AO185" s="59">
        <f t="shared" si="144"/>
        <v>180.50802165484066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13.877913569731113</v>
      </c>
      <c r="AV185" s="21">
        <f>EXP(-LN(2)/25)*AV184+(1-EXP(-LN(2)/25))/(LN(2)/25)*Calculateur!AQ185*Calculateur!AS185*VLOOKUP('Données projet'!$B$10,Paramètres!$A$1:$I$89,3,0)*0.475*44/12</f>
        <v>3.243423337494189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17.121336907225302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-2.2737367544323206E-13</v>
      </c>
      <c r="BE185" s="13">
        <f>BD185*VLOOKUP('Données projet'!$B$11,Paramètres!$A$1:$I$89,3,0)*VLOOKUP('Données projet'!$B$11,Paramètres!$A$1:$I$89,5,0)</f>
        <v>-1.3596945791505279E-13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393.01180019332998</v>
      </c>
      <c r="BJ185" s="59">
        <f t="shared" si="146"/>
        <v>283.82782416294748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31.461386330274291</v>
      </c>
      <c r="BQ185" s="21">
        <f>EXP(-LN(2)/25)*BQ184+(1-EXP(-LN(2)/25))/(LN(2)/25)*Calculateur!BL185*Calculateur!BN185*VLOOKUP('Données projet'!$B$11,Paramètres!$A$1:$I$89,3,0)*0.475*44/12</f>
        <v>6.7063594522440075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38.167745782518296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-2.2737367544323206E-13</v>
      </c>
      <c r="BZ185" s="13">
        <f>BY185*VLOOKUP('Données projet'!$B$12,Paramètres!$A$1:$I$89,3,0)*VLOOKUP('Données projet'!$B$12,Paramètres!$A$1:$I$89,5,0)</f>
        <v>-1.3596945791505279E-13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393.01180019332998</v>
      </c>
      <c r="CE185" s="59">
        <f t="shared" si="148"/>
        <v>283.82782416294748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31.461386330274291</v>
      </c>
      <c r="CL185" s="21">
        <f>EXP(-LN(2)/25)*CL184+(1-EXP(-LN(2)/25))/(LN(2)/25)*Calculateur!CG185*Calculateur!CI185*VLOOKUP('Données projet'!$B$12,Paramètres!$A$1:$I$89,3,0)*0.475*44/12</f>
        <v>6.7063594522440075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38.167745782518296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-2.2737367544323206E-13</v>
      </c>
      <c r="CU185" s="17">
        <f>CT185*VLOOKUP('Données projet'!$B$13,Paramètres!$A$1:$I$89,3,0)*VLOOKUP('Données projet'!$B$13,Paramètres!$A$1:$I$89,5,0)</f>
        <v>-1.3596945791505279E-13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393.01180019332998</v>
      </c>
      <c r="CZ185" s="59">
        <f t="shared" si="150"/>
        <v>283.82782416294748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31.461386330274291</v>
      </c>
      <c r="DG185" s="21">
        <f>EXP(-LN(2)/25)*DG184+(1-EXP(-LN(2)/25))/(LN(2)/25)*Calculateur!DB185*Calculateur!DD185*VLOOKUP('Données projet'!$B$13,Paramètres!$A$1:$I$89,3,0)*0.475*44/12</f>
        <v>6.7063594522440075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38.167745782518296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-2.2737367544323206E-13</v>
      </c>
      <c r="DP185" s="17">
        <f>DO185*VLOOKUP('Données projet'!$B$14,Paramètres!$A$1:$I$89,3,0)*VLOOKUP('Données projet'!$B$14,Paramètres!$A$1:$I$89,5,0)</f>
        <v>-1.3596945791505279E-13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393.01180019332998</v>
      </c>
      <c r="DU185" s="59">
        <f t="shared" si="152"/>
        <v>283.82782416294748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31.461386330274291</v>
      </c>
      <c r="EB185" s="21">
        <f>EXP(-LN(2)/25)*EB184+(1-EXP(-LN(2)/25))/(LN(2)/25)*Calculateur!DW185*Calculateur!DY185*VLOOKUP('Données projet'!$B$14,Paramètres!$A$1:$I$89,3,0)*0.475*44/12</f>
        <v>6.7063594522440075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38.167745782518296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21.125519999999963</v>
      </c>
      <c r="D186" s="11">
        <f t="shared" si="140"/>
        <v>6.8257737742681845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43.15287459887012</v>
      </c>
      <c r="H186" s="67">
        <f t="shared" si="110"/>
        <v>305.34850332351704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-5.3205440053716299E-14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189.8770435341392</v>
      </c>
      <c r="T186" s="59">
        <f t="shared" si="142"/>
        <v>230.18380961122767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9.6071582185615068</v>
      </c>
      <c r="AA186" s="21">
        <f>EXP(-LN(2)/25)*AA185+(1-EXP(-LN(2)/25))/(LN(2)/25)*Calculateur!V186*Calculateur!X186*VLOOKUP('Données projet'!$B$9,Paramètres!$A$1:$I$89,3,0)*0.475*44/12</f>
        <v>2.0567707168243987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11.663928935385906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-3.4106051316484809E-13</v>
      </c>
      <c r="AJ186" s="13">
        <f>AI186*VLOOKUP('Données projet'!$B$10,Paramètres!$A$1:$I$89,3,0)*VLOOKUP('Données projet'!$B$10,Paramètres!$A$1:$I$89,5,0)</f>
        <v>-1.5074874681886286E-13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207.77463758757142</v>
      </c>
      <c r="AO186" s="59">
        <f t="shared" si="144"/>
        <v>180.50802165484066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13.605776149320144</v>
      </c>
      <c r="AV186" s="21">
        <f>EXP(-LN(2)/25)*AV185+(1-EXP(-LN(2)/25))/(LN(2)/25)*Calculateur!AQ186*Calculateur!AS186*VLOOKUP('Données projet'!$B$10,Paramètres!$A$1:$I$89,3,0)*0.475*44/12</f>
        <v>3.15473175576619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16.760507905086335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-2.2737367544323206E-13</v>
      </c>
      <c r="BE186" s="13">
        <f>BD186*VLOOKUP('Données projet'!$B$11,Paramètres!$A$1:$I$89,3,0)*VLOOKUP('Données projet'!$B$11,Paramètres!$A$1:$I$89,5,0)</f>
        <v>-1.3596945791505279E-13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393.01180019332998</v>
      </c>
      <c r="BJ186" s="59">
        <f t="shared" si="146"/>
        <v>283.82782416294748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30.844447733888462</v>
      </c>
      <c r="BQ186" s="21">
        <f>EXP(-LN(2)/25)*BQ185+(1-EXP(-LN(2)/25))/(LN(2)/25)*Calculateur!BL186*Calculateur!BN186*VLOOKUP('Données projet'!$B$11,Paramètres!$A$1:$I$89,3,0)*0.475*44/12</f>
        <v>6.5229737003502795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37.367421434238743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-2.2737367544323206E-13</v>
      </c>
      <c r="BZ186" s="13">
        <f>BY186*VLOOKUP('Données projet'!$B$12,Paramètres!$A$1:$I$89,3,0)*VLOOKUP('Données projet'!$B$12,Paramètres!$A$1:$I$89,5,0)</f>
        <v>-1.3596945791505279E-13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393.01180019332998</v>
      </c>
      <c r="CE186" s="59">
        <f t="shared" si="148"/>
        <v>283.82782416294748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30.844447733888462</v>
      </c>
      <c r="CL186" s="21">
        <f>EXP(-LN(2)/25)*CL185+(1-EXP(-LN(2)/25))/(LN(2)/25)*Calculateur!CG186*Calculateur!CI186*VLOOKUP('Données projet'!$B$12,Paramètres!$A$1:$I$89,3,0)*0.475*44/12</f>
        <v>6.5229737003502795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37.367421434238743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-2.2737367544323206E-13</v>
      </c>
      <c r="CU186" s="17">
        <f>CT186*VLOOKUP('Données projet'!$B$13,Paramètres!$A$1:$I$89,3,0)*VLOOKUP('Données projet'!$B$13,Paramètres!$A$1:$I$89,5,0)</f>
        <v>-1.3596945791505279E-13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393.01180019332998</v>
      </c>
      <c r="CZ186" s="59">
        <f t="shared" si="150"/>
        <v>283.82782416294748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30.844447733888462</v>
      </c>
      <c r="DG186" s="21">
        <f>EXP(-LN(2)/25)*DG185+(1-EXP(-LN(2)/25))/(LN(2)/25)*Calculateur!DB186*Calculateur!DD186*VLOOKUP('Données projet'!$B$13,Paramètres!$A$1:$I$89,3,0)*0.475*44/12</f>
        <v>6.5229737003502795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37.367421434238743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-2.2737367544323206E-13</v>
      </c>
      <c r="DP186" s="17">
        <f>DO186*VLOOKUP('Données projet'!$B$14,Paramètres!$A$1:$I$89,3,0)*VLOOKUP('Données projet'!$B$14,Paramètres!$A$1:$I$89,5,0)</f>
        <v>-1.3596945791505279E-13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393.01180019332998</v>
      </c>
      <c r="DU186" s="59">
        <f t="shared" si="152"/>
        <v>283.82782416294748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30.844447733888462</v>
      </c>
      <c r="EB186" s="21">
        <f>EXP(-LN(2)/25)*EB185+(1-EXP(-LN(2)/25))/(LN(2)/25)*Calculateur!DW186*Calculateur!DY186*VLOOKUP('Données projet'!$B$14,Paramètres!$A$1:$I$89,3,0)*0.475*44/12</f>
        <v>6.5229737003502795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37.367421434238743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21.240959999999962</v>
      </c>
      <c r="D187" s="11">
        <f t="shared" si="140"/>
        <v>6.8587209844312413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43.381963625086776</v>
      </c>
      <c r="H187" s="67">
        <f t="shared" si="110"/>
        <v>305.60694438121772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-5.3205440053716299E-14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189.8770435341392</v>
      </c>
      <c r="T187" s="59">
        <f t="shared" si="142"/>
        <v>230.18380961122767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9.4187677056834236</v>
      </c>
      <c r="AA187" s="21">
        <f>EXP(-LN(2)/25)*AA186+(1-EXP(-LN(2)/25))/(LN(2)/25)*Calculateur!V187*Calculateur!X187*VLOOKUP('Données projet'!$B$9,Paramètres!$A$1:$I$89,3,0)*0.475*44/12</f>
        <v>2.0005282134119642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11.419295919095388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-3.4106051316484809E-13</v>
      </c>
      <c r="AJ187" s="13">
        <f>AI187*VLOOKUP('Données projet'!$B$10,Paramètres!$A$1:$I$89,3,0)*VLOOKUP('Données projet'!$B$10,Paramètres!$A$1:$I$89,5,0)</f>
        <v>-1.5074874681886286E-13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207.77463758757142</v>
      </c>
      <c r="AO187" s="59">
        <f t="shared" si="144"/>
        <v>180.50802165484066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13.338975177735998</v>
      </c>
      <c r="AV187" s="21">
        <f>EXP(-LN(2)/25)*AV186+(1-EXP(-LN(2)/25))/(LN(2)/25)*Calculateur!AQ187*Calculateur!AS187*VLOOKUP('Données projet'!$B$10,Paramètres!$A$1:$I$89,3,0)*0.475*44/12</f>
        <v>3.0684654500046307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16.407440627740627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-2.2737367544323206E-13</v>
      </c>
      <c r="BE187" s="13">
        <f>BD187*VLOOKUP('Données projet'!$B$11,Paramètres!$A$1:$I$89,3,0)*VLOOKUP('Données projet'!$B$11,Paramètres!$A$1:$I$89,5,0)</f>
        <v>-1.3596945791505279E-13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393.01180019332998</v>
      </c>
      <c r="BJ187" s="59">
        <f t="shared" si="146"/>
        <v>283.82782416294748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30.239606927082374</v>
      </c>
      <c r="BQ187" s="21">
        <f>EXP(-LN(2)/25)*BQ186+(1-EXP(-LN(2)/25))/(LN(2)/25)*Calculateur!BL187*Calculateur!BN187*VLOOKUP('Données projet'!$B$11,Paramètres!$A$1:$I$89,3,0)*0.475*44/12</f>
        <v>6.3446026414859222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36.584209568568298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-2.2737367544323206E-13</v>
      </c>
      <c r="BZ187" s="13">
        <f>BY187*VLOOKUP('Données projet'!$B$12,Paramètres!$A$1:$I$89,3,0)*VLOOKUP('Données projet'!$B$12,Paramètres!$A$1:$I$89,5,0)</f>
        <v>-1.3596945791505279E-13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393.01180019332998</v>
      </c>
      <c r="CE187" s="59">
        <f t="shared" si="148"/>
        <v>283.82782416294748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30.239606927082374</v>
      </c>
      <c r="CL187" s="21">
        <f>EXP(-LN(2)/25)*CL186+(1-EXP(-LN(2)/25))/(LN(2)/25)*Calculateur!CG187*Calculateur!CI187*VLOOKUP('Données projet'!$B$12,Paramètres!$A$1:$I$89,3,0)*0.475*44/12</f>
        <v>6.3446026414859222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36.584209568568298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-2.2737367544323206E-13</v>
      </c>
      <c r="CU187" s="17">
        <f>CT187*VLOOKUP('Données projet'!$B$13,Paramètres!$A$1:$I$89,3,0)*VLOOKUP('Données projet'!$B$13,Paramètres!$A$1:$I$89,5,0)</f>
        <v>-1.3596945791505279E-13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393.01180019332998</v>
      </c>
      <c r="CZ187" s="59">
        <f t="shared" si="150"/>
        <v>283.82782416294748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30.239606927082374</v>
      </c>
      <c r="DG187" s="21">
        <f>EXP(-LN(2)/25)*DG186+(1-EXP(-LN(2)/25))/(LN(2)/25)*Calculateur!DB187*Calculateur!DD187*VLOOKUP('Données projet'!$B$13,Paramètres!$A$1:$I$89,3,0)*0.475*44/12</f>
        <v>6.3446026414859222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36.584209568568298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-2.2737367544323206E-13</v>
      </c>
      <c r="DP187" s="17">
        <f>DO187*VLOOKUP('Données projet'!$B$14,Paramètres!$A$1:$I$89,3,0)*VLOOKUP('Données projet'!$B$14,Paramètres!$A$1:$I$89,5,0)</f>
        <v>-1.3596945791505279E-13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393.01180019332998</v>
      </c>
      <c r="DU187" s="59">
        <f t="shared" si="152"/>
        <v>283.82782416294748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30.239606927082374</v>
      </c>
      <c r="EB187" s="21">
        <f>EXP(-LN(2)/25)*EB186+(1-EXP(-LN(2)/25))/(LN(2)/25)*Calculateur!DW187*Calculateur!DY187*VLOOKUP('Données projet'!$B$14,Paramètres!$A$1:$I$89,3,0)*0.475*44/12</f>
        <v>6.3446026414859222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36.584209568568298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21.356399999999962</v>
      </c>
      <c r="D188" s="11">
        <f t="shared" si="140"/>
        <v>6.8916473583853843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43.611020483121244</v>
      </c>
      <c r="H188" s="67">
        <f t="shared" si="110"/>
        <v>305.86534914918781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-5.3205440053716299E-14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189.8770435341392</v>
      </c>
      <c r="T188" s="59">
        <f t="shared" si="142"/>
        <v>230.18380961122767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9.2340714158560129</v>
      </c>
      <c r="AA188" s="21">
        <f>EXP(-LN(2)/25)*AA187+(1-EXP(-LN(2)/25))/(LN(2)/25)*Calculateur!V188*Calculateur!X188*VLOOKUP('Données projet'!$B$9,Paramètres!$A$1:$I$89,3,0)*0.475*44/12</f>
        <v>1.9458236642130076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11.17989508006902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-3.4106051316484809E-13</v>
      </c>
      <c r="AJ188" s="13">
        <f>AI188*VLOOKUP('Données projet'!$B$10,Paramètres!$A$1:$I$89,3,0)*VLOOKUP('Données projet'!$B$10,Paramètres!$A$1:$I$89,5,0)</f>
        <v>-1.5074874681886286E-13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207.77463758757142</v>
      </c>
      <c r="AO188" s="59">
        <f t="shared" si="144"/>
        <v>180.50802165484066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13.077406010472092</v>
      </c>
      <c r="AV188" s="21">
        <f>EXP(-LN(2)/25)*AV187+(1-EXP(-LN(2)/25))/(LN(2)/25)*Calculateur!AQ188*Calculateur!AS188*VLOOKUP('Données projet'!$B$10,Paramètres!$A$1:$I$89,3,0)*0.475*44/12</f>
        <v>2.984558100910669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16.06196411138276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-2.2737367544323206E-13</v>
      </c>
      <c r="BE188" s="13">
        <f>BD188*VLOOKUP('Données projet'!$B$11,Paramètres!$A$1:$I$89,3,0)*VLOOKUP('Données projet'!$B$11,Paramètres!$A$1:$I$89,5,0)</f>
        <v>-1.3596945791505279E-13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393.01180019332998</v>
      </c>
      <c r="BJ188" s="59">
        <f t="shared" si="146"/>
        <v>283.82782416294748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29.646626679581285</v>
      </c>
      <c r="BQ188" s="21">
        <f>EXP(-LN(2)/25)*BQ187+(1-EXP(-LN(2)/25))/(LN(2)/25)*Calculateur!BL188*Calculateur!BN188*VLOOKUP('Données projet'!$B$11,Paramètres!$A$1:$I$89,3,0)*0.475*44/12</f>
        <v>6.1711091486063374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35.817735828187622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-2.2737367544323206E-13</v>
      </c>
      <c r="BZ188" s="13">
        <f>BY188*VLOOKUP('Données projet'!$B$12,Paramètres!$A$1:$I$89,3,0)*VLOOKUP('Données projet'!$B$12,Paramètres!$A$1:$I$89,5,0)</f>
        <v>-1.3596945791505279E-13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393.01180019332998</v>
      </c>
      <c r="CE188" s="59">
        <f t="shared" si="148"/>
        <v>283.82782416294748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29.646626679581285</v>
      </c>
      <c r="CL188" s="21">
        <f>EXP(-LN(2)/25)*CL187+(1-EXP(-LN(2)/25))/(LN(2)/25)*Calculateur!CG188*Calculateur!CI188*VLOOKUP('Données projet'!$B$12,Paramètres!$A$1:$I$89,3,0)*0.475*44/12</f>
        <v>6.1711091486063374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35.817735828187622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-2.2737367544323206E-13</v>
      </c>
      <c r="CU188" s="17">
        <f>CT188*VLOOKUP('Données projet'!$B$13,Paramètres!$A$1:$I$89,3,0)*VLOOKUP('Données projet'!$B$13,Paramètres!$A$1:$I$89,5,0)</f>
        <v>-1.3596945791505279E-13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393.01180019332998</v>
      </c>
      <c r="CZ188" s="59">
        <f t="shared" si="150"/>
        <v>283.82782416294748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29.646626679581285</v>
      </c>
      <c r="DG188" s="21">
        <f>EXP(-LN(2)/25)*DG187+(1-EXP(-LN(2)/25))/(LN(2)/25)*Calculateur!DB188*Calculateur!DD188*VLOOKUP('Données projet'!$B$13,Paramètres!$A$1:$I$89,3,0)*0.475*44/12</f>
        <v>6.1711091486063374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35.817735828187622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-2.2737367544323206E-13</v>
      </c>
      <c r="DP188" s="17">
        <f>DO188*VLOOKUP('Données projet'!$B$14,Paramètres!$A$1:$I$89,3,0)*VLOOKUP('Données projet'!$B$14,Paramètres!$A$1:$I$89,5,0)</f>
        <v>-1.3596945791505279E-13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393.01180019332998</v>
      </c>
      <c r="DU188" s="59">
        <f t="shared" si="152"/>
        <v>283.82782416294748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29.646626679581285</v>
      </c>
      <c r="EB188" s="21">
        <f>EXP(-LN(2)/25)*EB187+(1-EXP(-LN(2)/25))/(LN(2)/25)*Calculateur!DW188*Calculateur!DY188*VLOOKUP('Données projet'!$B$14,Paramètres!$A$1:$I$89,3,0)*0.475*44/12</f>
        <v>6.1711091486063374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35.817735828187622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21.471839999999961</v>
      </c>
      <c r="D189" s="11">
        <f t="shared" si="140"/>
        <v>6.9245530218303726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43.840045367036311</v>
      </c>
      <c r="H189" s="67">
        <f t="shared" si="110"/>
        <v>306.12371784635451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-5.3205440053716299E-14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189.8770435341392</v>
      </c>
      <c r="T189" s="59">
        <f t="shared" si="142"/>
        <v>230.18380961122767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9.0529969076185033</v>
      </c>
      <c r="AA189" s="21">
        <f>EXP(-LN(2)/25)*AA188+(1-EXP(-LN(2)/25))/(LN(2)/25)*Calculateur!V189*Calculateur!X189*VLOOKUP('Données projet'!$B$9,Paramètres!$A$1:$I$89,3,0)*0.475*44/12</f>
        <v>1.8926150137886837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10.945611921407187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-3.4106051316484809E-13</v>
      </c>
      <c r="AJ189" s="13">
        <f>AI189*VLOOKUP('Données projet'!$B$10,Paramètres!$A$1:$I$89,3,0)*VLOOKUP('Données projet'!$B$10,Paramètres!$A$1:$I$89,5,0)</f>
        <v>-1.5074874681886286E-13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207.77463758757142</v>
      </c>
      <c r="AO189" s="59">
        <f t="shared" si="144"/>
        <v>180.50802165484066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12.820966055036793</v>
      </c>
      <c r="AV189" s="21">
        <f>EXP(-LN(2)/25)*AV188+(1-EXP(-LN(2)/25))/(LN(2)/25)*Calculateur!AQ189*Calculateur!AS189*VLOOKUP('Données projet'!$B$10,Paramètres!$A$1:$I$89,3,0)*0.475*44/12</f>
        <v>2.9029452026901774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15.723911257726972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-2.2737367544323206E-13</v>
      </c>
      <c r="BE189" s="13">
        <f>BD189*VLOOKUP('Données projet'!$B$11,Paramètres!$A$1:$I$89,3,0)*VLOOKUP('Données projet'!$B$11,Paramètres!$A$1:$I$89,5,0)</f>
        <v>-1.3596945791505279E-13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393.01180019332998</v>
      </c>
      <c r="BJ189" s="59">
        <f t="shared" si="146"/>
        <v>283.82782416294748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29.065274413051455</v>
      </c>
      <c r="BQ189" s="21">
        <f>EXP(-LN(2)/25)*BQ188+(1-EXP(-LN(2)/25))/(LN(2)/25)*Calculateur!BL189*Calculateur!BN189*VLOOKUP('Données projet'!$B$11,Paramètres!$A$1:$I$89,3,0)*0.475*44/12</f>
        <v>6.0023598444131716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35.067634257464626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-2.2737367544323206E-13</v>
      </c>
      <c r="BZ189" s="13">
        <f>BY189*VLOOKUP('Données projet'!$B$12,Paramètres!$A$1:$I$89,3,0)*VLOOKUP('Données projet'!$B$12,Paramètres!$A$1:$I$89,5,0)</f>
        <v>-1.3596945791505279E-13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393.01180019332998</v>
      </c>
      <c r="CE189" s="59">
        <f t="shared" si="148"/>
        <v>283.82782416294748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29.065274413051455</v>
      </c>
      <c r="CL189" s="21">
        <f>EXP(-LN(2)/25)*CL188+(1-EXP(-LN(2)/25))/(LN(2)/25)*Calculateur!CG189*Calculateur!CI189*VLOOKUP('Données projet'!$B$12,Paramètres!$A$1:$I$89,3,0)*0.475*44/12</f>
        <v>6.0023598444131716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35.067634257464626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-2.2737367544323206E-13</v>
      </c>
      <c r="CU189" s="17">
        <f>CT189*VLOOKUP('Données projet'!$B$13,Paramètres!$A$1:$I$89,3,0)*VLOOKUP('Données projet'!$B$13,Paramètres!$A$1:$I$89,5,0)</f>
        <v>-1.3596945791505279E-13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393.01180019332998</v>
      </c>
      <c r="CZ189" s="59">
        <f t="shared" si="150"/>
        <v>283.82782416294748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29.065274413051455</v>
      </c>
      <c r="DG189" s="21">
        <f>EXP(-LN(2)/25)*DG188+(1-EXP(-LN(2)/25))/(LN(2)/25)*Calculateur!DB189*Calculateur!DD189*VLOOKUP('Données projet'!$B$13,Paramètres!$A$1:$I$89,3,0)*0.475*44/12</f>
        <v>6.0023598444131716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35.067634257464626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-2.2737367544323206E-13</v>
      </c>
      <c r="DP189" s="17">
        <f>DO189*VLOOKUP('Données projet'!$B$14,Paramètres!$A$1:$I$89,3,0)*VLOOKUP('Données projet'!$B$14,Paramètres!$A$1:$I$89,5,0)</f>
        <v>-1.3596945791505279E-13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393.01180019332998</v>
      </c>
      <c r="DU189" s="59">
        <f t="shared" si="152"/>
        <v>283.82782416294748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29.065274413051455</v>
      </c>
      <c r="EB189" s="21">
        <f>EXP(-LN(2)/25)*EB188+(1-EXP(-LN(2)/25))/(LN(2)/25)*Calculateur!DW189*Calculateur!DY189*VLOOKUP('Données projet'!$B$14,Paramètres!$A$1:$I$89,3,0)*0.475*44/12</f>
        <v>6.0023598444131716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35.067634257464626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21.587279999999961</v>
      </c>
      <c r="D190" s="11">
        <f t="shared" si="140"/>
        <v>6.957438099036108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44.069038468687268</v>
      </c>
      <c r="H190" s="67">
        <f t="shared" si="110"/>
        <v>306.38205068915448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-5.3205440053716299E-14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189.8770435341392</v>
      </c>
      <c r="T190" s="59">
        <f t="shared" si="142"/>
        <v>230.18380961122767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8.8754731600429881</v>
      </c>
      <c r="AA190" s="21">
        <f>EXP(-LN(2)/25)*AA189+(1-EXP(-LN(2)/25))/(LN(2)/25)*Calculateur!V190*Calculateur!X190*VLOOKUP('Données projet'!$B$9,Paramètres!$A$1:$I$89,3,0)*0.475*44/12</f>
        <v>1.8408613567083343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10.716334516751322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-3.4106051316484809E-13</v>
      </c>
      <c r="AJ190" s="13">
        <f>AI190*VLOOKUP('Données projet'!$B$10,Paramètres!$A$1:$I$89,3,0)*VLOOKUP('Données projet'!$B$10,Paramètres!$A$1:$I$89,5,0)</f>
        <v>-1.5074874681886286E-13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207.77463758757142</v>
      </c>
      <c r="AO190" s="59">
        <f t="shared" si="144"/>
        <v>180.50802165484066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12.569554730714653</v>
      </c>
      <c r="AV190" s="21">
        <f>EXP(-LN(2)/25)*AV189+(1-EXP(-LN(2)/25))/(LN(2)/25)*Calculateur!AQ190*Calculateur!AS190*VLOOKUP('Données projet'!$B$10,Paramètres!$A$1:$I$89,3,0)*0.475*44/12</f>
        <v>2.8235640134633613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15.393118744178015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-2.2737367544323206E-13</v>
      </c>
      <c r="BE190" s="13">
        <f>BD190*VLOOKUP('Données projet'!$B$11,Paramètres!$A$1:$I$89,3,0)*VLOOKUP('Données projet'!$B$11,Paramètres!$A$1:$I$89,5,0)</f>
        <v>-1.3596945791505279E-13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393.01180019332998</v>
      </c>
      <c r="BJ190" s="59">
        <f t="shared" si="146"/>
        <v>283.82782416294748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28.495322109878405</v>
      </c>
      <c r="BQ190" s="21">
        <f>EXP(-LN(2)/25)*BQ189+(1-EXP(-LN(2)/25))/(LN(2)/25)*Calculateur!BL190*Calculateur!BN190*VLOOKUP('Données projet'!$B$11,Paramètres!$A$1:$I$89,3,0)*0.475*44/12</f>
        <v>5.8382249988173074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34.333547108695711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-2.2737367544323206E-13</v>
      </c>
      <c r="BZ190" s="13">
        <f>BY190*VLOOKUP('Données projet'!$B$12,Paramètres!$A$1:$I$89,3,0)*VLOOKUP('Données projet'!$B$12,Paramètres!$A$1:$I$89,5,0)</f>
        <v>-1.3596945791505279E-13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393.01180019332998</v>
      </c>
      <c r="CE190" s="59">
        <f t="shared" si="148"/>
        <v>283.82782416294748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28.495322109878405</v>
      </c>
      <c r="CL190" s="21">
        <f>EXP(-LN(2)/25)*CL189+(1-EXP(-LN(2)/25))/(LN(2)/25)*Calculateur!CG190*Calculateur!CI190*VLOOKUP('Données projet'!$B$12,Paramètres!$A$1:$I$89,3,0)*0.475*44/12</f>
        <v>5.8382249988173074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34.333547108695711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-2.2737367544323206E-13</v>
      </c>
      <c r="CU190" s="17">
        <f>CT190*VLOOKUP('Données projet'!$B$13,Paramètres!$A$1:$I$89,3,0)*VLOOKUP('Données projet'!$B$13,Paramètres!$A$1:$I$89,5,0)</f>
        <v>-1.3596945791505279E-13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393.01180019332998</v>
      </c>
      <c r="CZ190" s="59">
        <f t="shared" si="150"/>
        <v>283.82782416294748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28.495322109878405</v>
      </c>
      <c r="DG190" s="21">
        <f>EXP(-LN(2)/25)*DG189+(1-EXP(-LN(2)/25))/(LN(2)/25)*Calculateur!DB190*Calculateur!DD190*VLOOKUP('Données projet'!$B$13,Paramètres!$A$1:$I$89,3,0)*0.475*44/12</f>
        <v>5.8382249988173074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34.333547108695711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-2.2737367544323206E-13</v>
      </c>
      <c r="DP190" s="17">
        <f>DO190*VLOOKUP('Données projet'!$B$14,Paramètres!$A$1:$I$89,3,0)*VLOOKUP('Données projet'!$B$14,Paramètres!$A$1:$I$89,5,0)</f>
        <v>-1.3596945791505279E-13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393.01180019332998</v>
      </c>
      <c r="DU190" s="59">
        <f t="shared" si="152"/>
        <v>283.82782416294748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28.495322109878405</v>
      </c>
      <c r="EB190" s="21">
        <f>EXP(-LN(2)/25)*EB189+(1-EXP(-LN(2)/25))/(LN(2)/25)*Calculateur!DW190*Calculateur!DY190*VLOOKUP('Données projet'!$B$14,Paramètres!$A$1:$I$89,3,0)*0.475*44/12</f>
        <v>5.8382249988173074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34.333547108695711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21.70271999999996</v>
      </c>
      <c r="D191" s="11">
        <f t="shared" si="140"/>
        <v>6.990302712866467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44.2979999777587</v>
      </c>
      <c r="H191" s="67">
        <f t="shared" si="110"/>
        <v>306.64034789157574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-5.3205440053716299E-14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189.8770435341392</v>
      </c>
      <c r="T191" s="59">
        <f t="shared" si="142"/>
        <v>230.18380961122767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8.7014305448786331</v>
      </c>
      <c r="AA191" s="21">
        <f>EXP(-LN(2)/25)*AA190+(1-EXP(-LN(2)/25))/(LN(2)/25)*Calculateur!V191*Calculateur!X191*VLOOKUP('Données projet'!$B$9,Paramètres!$A$1:$I$89,3,0)*0.475*44/12</f>
        <v>1.7905229061024535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10.491953450981086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-3.4106051316484809E-13</v>
      </c>
      <c r="AJ191" s="13">
        <f>AI191*VLOOKUP('Données projet'!$B$10,Paramètres!$A$1:$I$89,3,0)*VLOOKUP('Données projet'!$B$10,Paramètres!$A$1:$I$89,5,0)</f>
        <v>-1.5074874681886286E-13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207.77463758757142</v>
      </c>
      <c r="AO191" s="59">
        <f t="shared" si="144"/>
        <v>180.50802165484066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12.323073429116704</v>
      </c>
      <c r="AV191" s="21">
        <f>EXP(-LN(2)/25)*AV190+(1-EXP(-LN(2)/25))/(LN(2)/25)*Calculateur!AQ191*Calculateur!AS191*VLOOKUP('Données projet'!$B$10,Paramètres!$A$1:$I$89,3,0)*0.475*44/12</f>
        <v>2.7463535070304275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15.069426936147131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-2.2737367544323206E-13</v>
      </c>
      <c r="BE191" s="13">
        <f>BD191*VLOOKUP('Données projet'!$B$11,Paramètres!$A$1:$I$89,3,0)*VLOOKUP('Données projet'!$B$11,Paramètres!$A$1:$I$89,5,0)</f>
        <v>-1.3596945791505279E-13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393.01180019332998</v>
      </c>
      <c r="BJ191" s="59">
        <f t="shared" si="146"/>
        <v>283.82782416294748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27.936546223734002</v>
      </c>
      <c r="BQ191" s="21">
        <f>EXP(-LN(2)/25)*BQ190+(1-EXP(-LN(2)/25))/(LN(2)/25)*Calculateur!BL191*Calculateur!BN191*VLOOKUP('Données projet'!$B$11,Paramètres!$A$1:$I$89,3,0)*0.475*44/12</f>
        <v>5.6785784292057393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33.615124652939741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-2.2737367544323206E-13</v>
      </c>
      <c r="BZ191" s="13">
        <f>BY191*VLOOKUP('Données projet'!$B$12,Paramètres!$A$1:$I$89,3,0)*VLOOKUP('Données projet'!$B$12,Paramètres!$A$1:$I$89,5,0)</f>
        <v>-1.3596945791505279E-13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393.01180019332998</v>
      </c>
      <c r="CE191" s="59">
        <f t="shared" si="148"/>
        <v>283.82782416294748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27.936546223734002</v>
      </c>
      <c r="CL191" s="21">
        <f>EXP(-LN(2)/25)*CL190+(1-EXP(-LN(2)/25))/(LN(2)/25)*Calculateur!CG191*Calculateur!CI191*VLOOKUP('Données projet'!$B$12,Paramètres!$A$1:$I$89,3,0)*0.475*44/12</f>
        <v>5.6785784292057393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33.615124652939741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-2.2737367544323206E-13</v>
      </c>
      <c r="CU191" s="17">
        <f>CT191*VLOOKUP('Données projet'!$B$13,Paramètres!$A$1:$I$89,3,0)*VLOOKUP('Données projet'!$B$13,Paramètres!$A$1:$I$89,5,0)</f>
        <v>-1.3596945791505279E-13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393.01180019332998</v>
      </c>
      <c r="CZ191" s="59">
        <f t="shared" si="150"/>
        <v>283.82782416294748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27.936546223734002</v>
      </c>
      <c r="DG191" s="21">
        <f>EXP(-LN(2)/25)*DG190+(1-EXP(-LN(2)/25))/(LN(2)/25)*Calculateur!DB191*Calculateur!DD191*VLOOKUP('Données projet'!$B$13,Paramètres!$A$1:$I$89,3,0)*0.475*44/12</f>
        <v>5.6785784292057393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33.615124652939741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-2.2737367544323206E-13</v>
      </c>
      <c r="DP191" s="17">
        <f>DO191*VLOOKUP('Données projet'!$B$14,Paramètres!$A$1:$I$89,3,0)*VLOOKUP('Données projet'!$B$14,Paramètres!$A$1:$I$89,5,0)</f>
        <v>-1.3596945791505279E-13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393.01180019332998</v>
      </c>
      <c r="DU191" s="59">
        <f t="shared" si="152"/>
        <v>283.82782416294748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27.936546223734002</v>
      </c>
      <c r="EB191" s="21">
        <f>EXP(-LN(2)/25)*EB190+(1-EXP(-LN(2)/25))/(LN(2)/25)*Calculateur!DW191*Calculateur!DY191*VLOOKUP('Données projet'!$B$14,Paramètres!$A$1:$I$89,3,0)*0.475*44/12</f>
        <v>5.6785784292057393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33.615124652939741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21.81815999999996</v>
      </c>
      <c r="D192" s="11">
        <f t="shared" si="140"/>
        <v>7.0231469848026125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44.526930081800465</v>
      </c>
      <c r="H192" s="67">
        <f t="shared" si="110"/>
        <v>306.8986096651978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-5.3205440053716299E-14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189.8770435341392</v>
      </c>
      <c r="T192" s="59">
        <f t="shared" si="142"/>
        <v>230.18380961122767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8.5308007992421384</v>
      </c>
      <c r="AA192" s="21">
        <f>EXP(-LN(2)/25)*AA191+(1-EXP(-LN(2)/25))/(LN(2)/25)*Calculateur!V192*Calculateur!X192*VLOOKUP('Données projet'!$B$9,Paramètres!$A$1:$I$89,3,0)*0.475*44/12</f>
        <v>1.7415609630755746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10.272361762317713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-3.4106051316484809E-13</v>
      </c>
      <c r="AJ192" s="13">
        <f>AI192*VLOOKUP('Données projet'!$B$10,Paramètres!$A$1:$I$89,3,0)*VLOOKUP('Données projet'!$B$10,Paramètres!$A$1:$I$89,5,0)</f>
        <v>-1.5074874681886286E-13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207.77463758757142</v>
      </c>
      <c r="AO192" s="59">
        <f t="shared" si="144"/>
        <v>180.50802165484066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12.081425475504341</v>
      </c>
      <c r="AV192" s="21">
        <f>EXP(-LN(2)/25)*AV191+(1-EXP(-LN(2)/25))/(LN(2)/25)*Calculateur!AQ192*Calculateur!AS192*VLOOKUP('Données projet'!$B$10,Paramètres!$A$1:$I$89,3,0)*0.475*44/12</f>
        <v>2.6712543259562262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14.752679801460568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-2.2737367544323206E-13</v>
      </c>
      <c r="BE192" s="13">
        <f>BD192*VLOOKUP('Données projet'!$B$11,Paramètres!$A$1:$I$89,3,0)*VLOOKUP('Données projet'!$B$11,Paramètres!$A$1:$I$89,5,0)</f>
        <v>-1.3596945791505279E-13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393.01180019332998</v>
      </c>
      <c r="BJ192" s="59">
        <f t="shared" si="146"/>
        <v>283.82782416294748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27.388727591897254</v>
      </c>
      <c r="BQ192" s="21">
        <f>EXP(-LN(2)/25)*BQ191+(1-EXP(-LN(2)/25))/(LN(2)/25)*Calculateur!BL192*Calculateur!BN192*VLOOKUP('Données projet'!$B$11,Paramètres!$A$1:$I$89,3,0)*0.475*44/12</f>
        <v>5.523297403435647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32.912024995332899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-2.2737367544323206E-13</v>
      </c>
      <c r="BZ192" s="13">
        <f>BY192*VLOOKUP('Données projet'!$B$12,Paramètres!$A$1:$I$89,3,0)*VLOOKUP('Données projet'!$B$12,Paramètres!$A$1:$I$89,5,0)</f>
        <v>-1.3596945791505279E-13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393.01180019332998</v>
      </c>
      <c r="CE192" s="59">
        <f t="shared" si="148"/>
        <v>283.82782416294748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27.388727591897254</v>
      </c>
      <c r="CL192" s="21">
        <f>EXP(-LN(2)/25)*CL191+(1-EXP(-LN(2)/25))/(LN(2)/25)*Calculateur!CG192*Calculateur!CI192*VLOOKUP('Données projet'!$B$12,Paramètres!$A$1:$I$89,3,0)*0.475*44/12</f>
        <v>5.523297403435647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32.912024995332899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-2.2737367544323206E-13</v>
      </c>
      <c r="CU192" s="17">
        <f>CT192*VLOOKUP('Données projet'!$B$13,Paramètres!$A$1:$I$89,3,0)*VLOOKUP('Données projet'!$B$13,Paramètres!$A$1:$I$89,5,0)</f>
        <v>-1.3596945791505279E-13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393.01180019332998</v>
      </c>
      <c r="CZ192" s="59">
        <f t="shared" si="150"/>
        <v>283.82782416294748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27.388727591897254</v>
      </c>
      <c r="DG192" s="21">
        <f>EXP(-LN(2)/25)*DG191+(1-EXP(-LN(2)/25))/(LN(2)/25)*Calculateur!DB192*Calculateur!DD192*VLOOKUP('Données projet'!$B$13,Paramètres!$A$1:$I$89,3,0)*0.475*44/12</f>
        <v>5.523297403435647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32.912024995332899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-2.2737367544323206E-13</v>
      </c>
      <c r="DP192" s="17">
        <f>DO192*VLOOKUP('Données projet'!$B$14,Paramètres!$A$1:$I$89,3,0)*VLOOKUP('Données projet'!$B$14,Paramètres!$A$1:$I$89,5,0)</f>
        <v>-1.3596945791505279E-13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393.01180019332998</v>
      </c>
      <c r="DU192" s="59">
        <f t="shared" si="152"/>
        <v>283.82782416294748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27.388727591897254</v>
      </c>
      <c r="EB192" s="21">
        <f>EXP(-LN(2)/25)*EB191+(1-EXP(-LN(2)/25))/(LN(2)/25)*Calculateur!DW192*Calculateur!DY192*VLOOKUP('Données projet'!$B$14,Paramètres!$A$1:$I$89,3,0)*0.475*44/12</f>
        <v>5.523297403435647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32.912024995332899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21.933599999999959</v>
      </c>
      <c r="D193" s="11">
        <f t="shared" si="140"/>
        <v>7.0559710349657632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44.755828966262868</v>
      </c>
      <c r="H193" s="67">
        <f t="shared" si="110"/>
        <v>307.15683621923199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-5.3205440053716299E-14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189.8770435341392</v>
      </c>
      <c r="T193" s="59">
        <f t="shared" si="142"/>
        <v>230.18380961122767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8.363516998843707</v>
      </c>
      <c r="AA193" s="21">
        <f>EXP(-LN(2)/25)*AA192+(1-EXP(-LN(2)/25))/(LN(2)/25)*Calculateur!V193*Calculateur!X193*VLOOKUP('Données projet'!$B$9,Paramètres!$A$1:$I$89,3,0)*0.475*44/12</f>
        <v>1.6939378869555624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10.05745488579927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-3.4106051316484809E-13</v>
      </c>
      <c r="AJ193" s="13">
        <f>AI193*VLOOKUP('Données projet'!$B$10,Paramètres!$A$1:$I$89,3,0)*VLOOKUP('Données projet'!$B$10,Paramètres!$A$1:$I$89,5,0)</f>
        <v>-1.5074874681886286E-13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207.77463758757142</v>
      </c>
      <c r="AO193" s="59">
        <f t="shared" si="144"/>
        <v>180.50802165484066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11.844516090871618</v>
      </c>
      <c r="AV193" s="21">
        <f>EXP(-LN(2)/25)*AV192+(1-EXP(-LN(2)/25))/(LN(2)/25)*Calculateur!AQ193*Calculateur!AS193*VLOOKUP('Données projet'!$B$10,Paramètres!$A$1:$I$89,3,0)*0.475*44/12</f>
        <v>2.5982087359377934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14.442724826809412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-2.2737367544323206E-13</v>
      </c>
      <c r="BE193" s="13">
        <f>BD193*VLOOKUP('Données projet'!$B$11,Paramètres!$A$1:$I$89,3,0)*VLOOKUP('Données projet'!$B$11,Paramètres!$A$1:$I$89,5,0)</f>
        <v>-1.3596945791505279E-13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393.01180019332998</v>
      </c>
      <c r="BJ193" s="59">
        <f t="shared" si="146"/>
        <v>283.82782416294748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26.85165134929445</v>
      </c>
      <c r="BQ193" s="21">
        <f>EXP(-LN(2)/25)*BQ192+(1-EXP(-LN(2)/25))/(LN(2)/25)*Calculateur!BL193*Calculateur!BN193*VLOOKUP('Données projet'!$B$11,Paramètres!$A$1:$I$89,3,0)*0.475*44/12</f>
        <v>5.3722625454811128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32.223913894775563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-2.2737367544323206E-13</v>
      </c>
      <c r="BZ193" s="13">
        <f>BY193*VLOOKUP('Données projet'!$B$12,Paramètres!$A$1:$I$89,3,0)*VLOOKUP('Données projet'!$B$12,Paramètres!$A$1:$I$89,5,0)</f>
        <v>-1.3596945791505279E-13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393.01180019332998</v>
      </c>
      <c r="CE193" s="59">
        <f t="shared" si="148"/>
        <v>283.82782416294748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26.85165134929445</v>
      </c>
      <c r="CL193" s="21">
        <f>EXP(-LN(2)/25)*CL192+(1-EXP(-LN(2)/25))/(LN(2)/25)*Calculateur!CG193*Calculateur!CI193*VLOOKUP('Données projet'!$B$12,Paramètres!$A$1:$I$89,3,0)*0.475*44/12</f>
        <v>5.3722625454811128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32.223913894775563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-2.2737367544323206E-13</v>
      </c>
      <c r="CU193" s="17">
        <f>CT193*VLOOKUP('Données projet'!$B$13,Paramètres!$A$1:$I$89,3,0)*VLOOKUP('Données projet'!$B$13,Paramètres!$A$1:$I$89,5,0)</f>
        <v>-1.3596945791505279E-13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393.01180019332998</v>
      </c>
      <c r="CZ193" s="59">
        <f t="shared" si="150"/>
        <v>283.82782416294748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26.85165134929445</v>
      </c>
      <c r="DG193" s="21">
        <f>EXP(-LN(2)/25)*DG192+(1-EXP(-LN(2)/25))/(LN(2)/25)*Calculateur!DB193*Calculateur!DD193*VLOOKUP('Données projet'!$B$13,Paramètres!$A$1:$I$89,3,0)*0.475*44/12</f>
        <v>5.3722625454811128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32.223913894775563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-2.2737367544323206E-13</v>
      </c>
      <c r="DP193" s="17">
        <f>DO193*VLOOKUP('Données projet'!$B$14,Paramètres!$A$1:$I$89,3,0)*VLOOKUP('Données projet'!$B$14,Paramètres!$A$1:$I$89,5,0)</f>
        <v>-1.3596945791505279E-13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393.01180019332998</v>
      </c>
      <c r="DU193" s="59">
        <f t="shared" si="152"/>
        <v>283.82782416294748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26.85165134929445</v>
      </c>
      <c r="EB193" s="21">
        <f>EXP(-LN(2)/25)*EB192+(1-EXP(-LN(2)/25))/(LN(2)/25)*Calculateur!DW193*Calculateur!DY193*VLOOKUP('Données projet'!$B$14,Paramètres!$A$1:$I$89,3,0)*0.475*44/12</f>
        <v>5.3722625454811128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32.223913894775563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22.049039999999959</v>
      </c>
      <c r="D194" s="11">
        <f t="shared" si="140"/>
        <v>7.0887749821395145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44.984696814531127</v>
      </c>
      <c r="H194" s="67">
        <f t="shared" si="110"/>
        <v>307.41502776055961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-5.3205440053716299E-14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189.8770435341392</v>
      </c>
      <c r="T194" s="59">
        <f t="shared" si="142"/>
        <v>230.18380961122767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8.1995135317380452</v>
      </c>
      <c r="AA194" s="21">
        <f>EXP(-LN(2)/25)*AA193+(1-EXP(-LN(2)/25))/(LN(2)/25)*Calculateur!V194*Calculateur!X194*VLOOKUP('Données projet'!$B$9,Paramètres!$A$1:$I$89,3,0)*0.475*44/12</f>
        <v>1.6476170663564407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9.8471305980944859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-3.4106051316484809E-13</v>
      </c>
      <c r="AJ194" s="13">
        <f>AI194*VLOOKUP('Données projet'!$B$10,Paramètres!$A$1:$I$89,3,0)*VLOOKUP('Données projet'!$B$10,Paramètres!$A$1:$I$89,5,0)</f>
        <v>-1.5074874681886286E-13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207.77463758757142</v>
      </c>
      <c r="AO194" s="59">
        <f t="shared" si="144"/>
        <v>180.50802165484066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11.612252354771087</v>
      </c>
      <c r="AV194" s="21">
        <f>EXP(-LN(2)/25)*AV193+(1-EXP(-LN(2)/25))/(LN(2)/25)*Calculateur!AQ194*Calculateur!AS194*VLOOKUP('Données projet'!$B$10,Paramètres!$A$1:$I$89,3,0)*0.475*44/12</f>
        <v>2.5271605814197153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14.139412936190801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-2.2737367544323206E-13</v>
      </c>
      <c r="BE194" s="13">
        <f>BD194*VLOOKUP('Données projet'!$B$11,Paramètres!$A$1:$I$89,3,0)*VLOOKUP('Données projet'!$B$11,Paramètres!$A$1:$I$89,5,0)</f>
        <v>-1.3596945791505279E-13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393.01180019332998</v>
      </c>
      <c r="BJ194" s="59">
        <f t="shared" si="146"/>
        <v>283.82782416294748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26.325106844224926</v>
      </c>
      <c r="BQ194" s="21">
        <f>EXP(-LN(2)/25)*BQ193+(1-EXP(-LN(2)/25))/(LN(2)/25)*Calculateur!BL194*Calculateur!BN194*VLOOKUP('Données projet'!$B$11,Paramètres!$A$1:$I$89,3,0)*0.475*44/12</f>
        <v>5.2253577436599228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31.55046458788485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-2.2737367544323206E-13</v>
      </c>
      <c r="BZ194" s="13">
        <f>BY194*VLOOKUP('Données projet'!$B$12,Paramètres!$A$1:$I$89,3,0)*VLOOKUP('Données projet'!$B$12,Paramètres!$A$1:$I$89,5,0)</f>
        <v>-1.3596945791505279E-13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393.01180019332998</v>
      </c>
      <c r="CE194" s="59">
        <f t="shared" si="148"/>
        <v>283.82782416294748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26.325106844224926</v>
      </c>
      <c r="CL194" s="21">
        <f>EXP(-LN(2)/25)*CL193+(1-EXP(-LN(2)/25))/(LN(2)/25)*Calculateur!CG194*Calculateur!CI194*VLOOKUP('Données projet'!$B$12,Paramètres!$A$1:$I$89,3,0)*0.475*44/12</f>
        <v>5.2253577436599228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31.55046458788485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-2.2737367544323206E-13</v>
      </c>
      <c r="CU194" s="17">
        <f>CT194*VLOOKUP('Données projet'!$B$13,Paramètres!$A$1:$I$89,3,0)*VLOOKUP('Données projet'!$B$13,Paramètres!$A$1:$I$89,5,0)</f>
        <v>-1.3596945791505279E-13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393.01180019332998</v>
      </c>
      <c r="CZ194" s="59">
        <f t="shared" si="150"/>
        <v>283.82782416294748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26.325106844224926</v>
      </c>
      <c r="DG194" s="21">
        <f>EXP(-LN(2)/25)*DG193+(1-EXP(-LN(2)/25))/(LN(2)/25)*Calculateur!DB194*Calculateur!DD194*VLOOKUP('Données projet'!$B$13,Paramètres!$A$1:$I$89,3,0)*0.475*44/12</f>
        <v>5.2253577436599228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31.55046458788485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-2.2737367544323206E-13</v>
      </c>
      <c r="DP194" s="17">
        <f>DO194*VLOOKUP('Données projet'!$B$14,Paramètres!$A$1:$I$89,3,0)*VLOOKUP('Données projet'!$B$14,Paramètres!$A$1:$I$89,5,0)</f>
        <v>-1.3596945791505279E-13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393.01180019332998</v>
      </c>
      <c r="DU194" s="59">
        <f t="shared" si="152"/>
        <v>283.82782416294748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26.325106844224926</v>
      </c>
      <c r="EB194" s="21">
        <f>EXP(-LN(2)/25)*EB193+(1-EXP(-LN(2)/25))/(LN(2)/25)*Calculateur!DW194*Calculateur!DY194*VLOOKUP('Données projet'!$B$14,Paramètres!$A$1:$I$89,3,0)*0.475*44/12</f>
        <v>5.2253577436599228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31.55046458788485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22.164479999999958</v>
      </c>
      <c r="D195" s="11">
        <f t="shared" si="140"/>
        <v>7.1215589437916424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45.213533807958974</v>
      </c>
      <c r="H195" s="67">
        <f t="shared" si="110"/>
        <v>307.67318449377041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-5.3205440053716299E-14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189.8770435341392</v>
      </c>
      <c r="T195" s="59">
        <f t="shared" si="142"/>
        <v>230.18380961122767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8.0387260725900873</v>
      </c>
      <c r="AA195" s="21">
        <f>EXP(-LN(2)/25)*AA194+(1-EXP(-LN(2)/25))/(LN(2)/25)*Calculateur!V195*Calculateur!X195*VLOOKUP('Données projet'!$B$9,Paramètres!$A$1:$I$89,3,0)*0.475*44/12</f>
        <v>1.602562891032508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9.6412889636225962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-3.4106051316484809E-13</v>
      </c>
      <c r="AJ195" s="13">
        <f>AI195*VLOOKUP('Données projet'!$B$10,Paramètres!$A$1:$I$89,3,0)*VLOOKUP('Données projet'!$B$10,Paramètres!$A$1:$I$89,5,0)</f>
        <v>-1.5074874681886286E-13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207.77463758757142</v>
      </c>
      <c r="AO195" s="59">
        <f t="shared" si="144"/>
        <v>180.50802165484066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11.384543168868596</v>
      </c>
      <c r="AV195" s="21">
        <f>EXP(-LN(2)/25)*AV194+(1-EXP(-LN(2)/25))/(LN(2)/25)*Calculateur!AQ195*Calculateur!AS195*VLOOKUP('Données projet'!$B$10,Paramètres!$A$1:$I$89,3,0)*0.475*44/12</f>
        <v>2.4580552424231943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13.842598411291791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-2.2737367544323206E-13</v>
      </c>
      <c r="BE195" s="13">
        <f>BD195*VLOOKUP('Données projet'!$B$11,Paramètres!$A$1:$I$89,3,0)*VLOOKUP('Données projet'!$B$11,Paramètres!$A$1:$I$89,5,0)</f>
        <v>-1.3596945791505279E-13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393.01180019332998</v>
      </c>
      <c r="BJ195" s="59">
        <f t="shared" si="146"/>
        <v>283.82782416294748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25.808887555739378</v>
      </c>
      <c r="BQ195" s="21">
        <f>EXP(-LN(2)/25)*BQ194+(1-EXP(-LN(2)/25))/(LN(2)/25)*Calculateur!BL195*Calculateur!BN195*VLOOKUP('Données projet'!$B$11,Paramètres!$A$1:$I$89,3,0)*0.475*44/12</f>
        <v>5.0824700613699214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30.8913576171093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-2.2737367544323206E-13</v>
      </c>
      <c r="BZ195" s="13">
        <f>BY195*VLOOKUP('Données projet'!$B$12,Paramètres!$A$1:$I$89,3,0)*VLOOKUP('Données projet'!$B$12,Paramètres!$A$1:$I$89,5,0)</f>
        <v>-1.3596945791505279E-13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393.01180019332998</v>
      </c>
      <c r="CE195" s="59">
        <f t="shared" si="148"/>
        <v>283.82782416294748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25.808887555739378</v>
      </c>
      <c r="CL195" s="21">
        <f>EXP(-LN(2)/25)*CL194+(1-EXP(-LN(2)/25))/(LN(2)/25)*Calculateur!CG195*Calculateur!CI195*VLOOKUP('Données projet'!$B$12,Paramètres!$A$1:$I$89,3,0)*0.475*44/12</f>
        <v>5.0824700613699214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30.8913576171093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-2.2737367544323206E-13</v>
      </c>
      <c r="CU195" s="17">
        <f>CT195*VLOOKUP('Données projet'!$B$13,Paramètres!$A$1:$I$89,3,0)*VLOOKUP('Données projet'!$B$13,Paramètres!$A$1:$I$89,5,0)</f>
        <v>-1.3596945791505279E-13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393.01180019332998</v>
      </c>
      <c r="CZ195" s="59">
        <f t="shared" si="150"/>
        <v>283.82782416294748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25.808887555739378</v>
      </c>
      <c r="DG195" s="21">
        <f>EXP(-LN(2)/25)*DG194+(1-EXP(-LN(2)/25))/(LN(2)/25)*Calculateur!DB195*Calculateur!DD195*VLOOKUP('Données projet'!$B$13,Paramètres!$A$1:$I$89,3,0)*0.475*44/12</f>
        <v>5.0824700613699214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30.8913576171093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-2.2737367544323206E-13</v>
      </c>
      <c r="DP195" s="17">
        <f>DO195*VLOOKUP('Données projet'!$B$14,Paramètres!$A$1:$I$89,3,0)*VLOOKUP('Données projet'!$B$14,Paramètres!$A$1:$I$89,5,0)</f>
        <v>-1.3596945791505279E-13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393.01180019332998</v>
      </c>
      <c r="DU195" s="59">
        <f t="shared" si="152"/>
        <v>283.82782416294748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25.808887555739378</v>
      </c>
      <c r="EB195" s="21">
        <f>EXP(-LN(2)/25)*EB194+(1-EXP(-LN(2)/25))/(LN(2)/25)*Calculateur!DW195*Calculateur!DY195*VLOOKUP('Données projet'!$B$14,Paramètres!$A$1:$I$89,3,0)*0.475*44/12</f>
        <v>5.0824700613699214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30.8913576171093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22.279919999999958</v>
      </c>
      <c r="D196" s="11">
        <f t="shared" si="140"/>
        <v>7.1543230360954615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45.442340125901701</v>
      </c>
      <c r="H196" s="67">
        <f t="shared" ref="H196:H203" si="192">(B196+E196+F196)*44/12+(C196+D196)*0.475*44/12</f>
        <v>307.93130662119955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-5.3205440053716299E-14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189.8770435341392</v>
      </c>
      <c r="T196" s="59">
        <f t="shared" si="142"/>
        <v>230.18380961122767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7.8810915574453553</v>
      </c>
      <c r="AA196" s="21">
        <f>EXP(-LN(2)/25)*AA195+(1-EXP(-LN(2)/25))/(LN(2)/25)*Calculateur!V196*Calculateur!X196*VLOOKUP('Données projet'!$B$9,Paramètres!$A$1:$I$89,3,0)*0.475*44/12</f>
        <v>1.5587407245021043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9.43983228194746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-3.4106051316484809E-13</v>
      </c>
      <c r="AJ196" s="13">
        <f>AI196*VLOOKUP('Données projet'!$B$10,Paramètres!$A$1:$I$89,3,0)*VLOOKUP('Données projet'!$B$10,Paramètres!$A$1:$I$89,5,0)</f>
        <v>-1.5074874681886286E-13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207.77463758757142</v>
      </c>
      <c r="AO196" s="59">
        <f t="shared" si="144"/>
        <v>180.50802165484066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11.161299221212765</v>
      </c>
      <c r="AV196" s="21">
        <f>EXP(-LN(2)/25)*AV195+(1-EXP(-LN(2)/25))/(LN(2)/25)*Calculateur!AQ196*Calculateur!AS196*VLOOKUP('Données projet'!$B$10,Paramètres!$A$1:$I$89,3,0)*0.475*44/12</f>
        <v>2.3908395925556247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13.552138813768391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-2.2737367544323206E-13</v>
      </c>
      <c r="BE196" s="13">
        <f>BD196*VLOOKUP('Données projet'!$B$11,Paramètres!$A$1:$I$89,3,0)*VLOOKUP('Données projet'!$B$11,Paramètres!$A$1:$I$89,5,0)</f>
        <v>-1.3596945791505279E-13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393.01180019332998</v>
      </c>
      <c r="BJ196" s="59">
        <f t="shared" si="146"/>
        <v>283.82782416294748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25.302791012638359</v>
      </c>
      <c r="BQ196" s="21">
        <f>EXP(-LN(2)/25)*BQ195+(1-EXP(-LN(2)/25))/(LN(2)/25)*Calculateur!BL196*Calculateur!BN196*VLOOKUP('Données projet'!$B$11,Paramètres!$A$1:$I$89,3,0)*0.475*44/12</f>
        <v>4.9434896502662768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30.246280662904635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-2.2737367544323206E-13</v>
      </c>
      <c r="BZ196" s="13">
        <f>BY196*VLOOKUP('Données projet'!$B$12,Paramètres!$A$1:$I$89,3,0)*VLOOKUP('Données projet'!$B$12,Paramètres!$A$1:$I$89,5,0)</f>
        <v>-1.3596945791505279E-13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393.01180019332998</v>
      </c>
      <c r="CE196" s="59">
        <f t="shared" si="148"/>
        <v>283.82782416294748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25.302791012638359</v>
      </c>
      <c r="CL196" s="21">
        <f>EXP(-LN(2)/25)*CL195+(1-EXP(-LN(2)/25))/(LN(2)/25)*Calculateur!CG196*Calculateur!CI196*VLOOKUP('Données projet'!$B$12,Paramètres!$A$1:$I$89,3,0)*0.475*44/12</f>
        <v>4.9434896502662768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30.246280662904635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-2.2737367544323206E-13</v>
      </c>
      <c r="CU196" s="17">
        <f>CT196*VLOOKUP('Données projet'!$B$13,Paramètres!$A$1:$I$89,3,0)*VLOOKUP('Données projet'!$B$13,Paramètres!$A$1:$I$89,5,0)</f>
        <v>-1.3596945791505279E-13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393.01180019332998</v>
      </c>
      <c r="CZ196" s="59">
        <f t="shared" si="150"/>
        <v>283.82782416294748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25.302791012638359</v>
      </c>
      <c r="DG196" s="21">
        <f>EXP(-LN(2)/25)*DG195+(1-EXP(-LN(2)/25))/(LN(2)/25)*Calculateur!DB196*Calculateur!DD196*VLOOKUP('Données projet'!$B$13,Paramètres!$A$1:$I$89,3,0)*0.475*44/12</f>
        <v>4.9434896502662768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30.246280662904635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-2.2737367544323206E-13</v>
      </c>
      <c r="DP196" s="17">
        <f>DO196*VLOOKUP('Données projet'!$B$14,Paramètres!$A$1:$I$89,3,0)*VLOOKUP('Données projet'!$B$14,Paramètres!$A$1:$I$89,5,0)</f>
        <v>-1.3596945791505279E-13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393.01180019332998</v>
      </c>
      <c r="DU196" s="59">
        <f t="shared" si="152"/>
        <v>283.82782416294748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25.302791012638359</v>
      </c>
      <c r="EB196" s="21">
        <f>EXP(-LN(2)/25)*EB195+(1-EXP(-LN(2)/25))/(LN(2)/25)*Calculateur!DW196*Calculateur!DY196*VLOOKUP('Données projet'!$B$14,Paramètres!$A$1:$I$89,3,0)*0.475*44/12</f>
        <v>4.9434896502662768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30.246280662904635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22.395359999999958</v>
      </c>
      <c r="D197" s="11">
        <f t="shared" ref="D197:D203" si="202">IFERROR(EXP(-1.0587+0.8836*LN(C197)+0.284),0)</f>
        <v>7.1870673739507227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45.671115945748419</v>
      </c>
      <c r="H197" s="67">
        <f t="shared" si="192"/>
        <v>308.18939434296414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-5.3205440053716299E-14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189.8770435341392</v>
      </c>
      <c r="T197" s="59">
        <f t="shared" ref="T197:T203" si="204">$T$3</f>
        <v>230.18380961122767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7.7265481589950511</v>
      </c>
      <c r="AA197" s="21">
        <f>EXP(-LN(2)/25)*AA196+(1-EXP(-LN(2)/25))/(LN(2)/25)*Calculateur!V197*Calculateur!X197*VLOOKUP('Données projet'!$B$9,Paramètres!$A$1:$I$89,3,0)*0.475*44/12</f>
        <v>1.516116877419982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9.2426650364150333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-3.4106051316484809E-13</v>
      </c>
      <c r="AJ197" s="13">
        <f>AI197*VLOOKUP('Données projet'!$B$10,Paramètres!$A$1:$I$89,3,0)*VLOOKUP('Données projet'!$B$10,Paramètres!$A$1:$I$89,5,0)</f>
        <v>-1.5074874681886286E-13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207.77463758757142</v>
      </c>
      <c r="AO197" s="59">
        <f t="shared" ref="AO197:AO203" si="205">$AO$3</f>
        <v>180.50802165484066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10.942432951205101</v>
      </c>
      <c r="AV197" s="21">
        <f>EXP(-LN(2)/25)*AV196+(1-EXP(-LN(2)/25))/(LN(2)/25)*Calculateur!AQ197*Calculateur!AS197*VLOOKUP('Données projet'!$B$10,Paramètres!$A$1:$I$89,3,0)*0.475*44/12</f>
        <v>2.3254619581684013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13.267894909373503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-2.2737367544323206E-13</v>
      </c>
      <c r="BE197" s="13">
        <f>BD197*VLOOKUP('Données projet'!$B$11,Paramètres!$A$1:$I$89,3,0)*VLOOKUP('Données projet'!$B$11,Paramètres!$A$1:$I$89,5,0)</f>
        <v>-1.3596945791505279E-13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393.01180019332998</v>
      </c>
      <c r="BJ197" s="59">
        <f t="shared" ref="BJ197:BJ203" si="206">$BJ$3</f>
        <v>283.82782416294748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24.806618714059137</v>
      </c>
      <c r="BQ197" s="21">
        <f>EXP(-LN(2)/25)*BQ196+(1-EXP(-LN(2)/25))/(LN(2)/25)*Calculateur!BL197*Calculateur!BN197*VLOOKUP('Données projet'!$B$11,Paramètres!$A$1:$I$89,3,0)*0.475*44/12</f>
        <v>4.8083096658129234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29.614928379872062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-2.2737367544323206E-13</v>
      </c>
      <c r="BZ197" s="13">
        <f>BY197*VLOOKUP('Données projet'!$B$12,Paramètres!$A$1:$I$89,3,0)*VLOOKUP('Données projet'!$B$12,Paramètres!$A$1:$I$89,5,0)</f>
        <v>-1.3596945791505279E-13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393.01180019332998</v>
      </c>
      <c r="CE197" s="59">
        <f t="shared" ref="CE197:CE203" si="207">$CE$3</f>
        <v>283.82782416294748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24.806618714059137</v>
      </c>
      <c r="CL197" s="21">
        <f>EXP(-LN(2)/25)*CL196+(1-EXP(-LN(2)/25))/(LN(2)/25)*Calculateur!CG197*Calculateur!CI197*VLOOKUP('Données projet'!$B$12,Paramètres!$A$1:$I$89,3,0)*0.475*44/12</f>
        <v>4.8083096658129234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29.614928379872062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-2.2737367544323206E-13</v>
      </c>
      <c r="CU197" s="17">
        <f>CT197*VLOOKUP('Données projet'!$B$13,Paramètres!$A$1:$I$89,3,0)*VLOOKUP('Données projet'!$B$13,Paramètres!$A$1:$I$89,5,0)</f>
        <v>-1.3596945791505279E-13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393.01180019332998</v>
      </c>
      <c r="CZ197" s="59">
        <f t="shared" ref="CZ197:CZ203" si="208">$CZ$3</f>
        <v>283.82782416294748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24.806618714059137</v>
      </c>
      <c r="DG197" s="21">
        <f>EXP(-LN(2)/25)*DG196+(1-EXP(-LN(2)/25))/(LN(2)/25)*Calculateur!DB197*Calculateur!DD197*VLOOKUP('Données projet'!$B$13,Paramètres!$A$1:$I$89,3,0)*0.475*44/12</f>
        <v>4.8083096658129234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29.614928379872062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-2.2737367544323206E-13</v>
      </c>
      <c r="DP197" s="17">
        <f>DO197*VLOOKUP('Données projet'!$B$14,Paramètres!$A$1:$I$89,3,0)*VLOOKUP('Données projet'!$B$14,Paramètres!$A$1:$I$89,5,0)</f>
        <v>-1.3596945791505279E-13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393.01180019332998</v>
      </c>
      <c r="DU197" s="59">
        <f t="shared" ref="DU197:DU203" si="209">$DU$3</f>
        <v>283.82782416294748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24.806618714059137</v>
      </c>
      <c r="EB197" s="21">
        <f>EXP(-LN(2)/25)*EB196+(1-EXP(-LN(2)/25))/(LN(2)/25)*Calculateur!DW197*Calculateur!DY197*VLOOKUP('Données projet'!$B$14,Paramètres!$A$1:$I$89,3,0)*0.475*44/12</f>
        <v>4.8083096658129234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29.614928379872062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22.510799999999957</v>
      </c>
      <c r="D198" s="11">
        <f t="shared" si="202"/>
        <v>7.2197920710040622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45.899861442953579</v>
      </c>
      <c r="H198" s="67">
        <f t="shared" si="192"/>
        <v>308.44744785699868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-5.3205440053716299E-14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189.8770435341392</v>
      </c>
      <c r="T198" s="59">
        <f t="shared" si="204"/>
        <v>230.18380961122767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7.5750352623261916</v>
      </c>
      <c r="AA198" s="21">
        <f>EXP(-LN(2)/25)*AA197+(1-EXP(-LN(2)/25))/(LN(2)/25)*Calculateur!V198*Calculateur!X198*VLOOKUP('Données projet'!$B$9,Paramètres!$A$1:$I$89,3,0)*0.475*44/12</f>
        <v>1.4746585816778111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9.0496938440040022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-3.4106051316484809E-13</v>
      </c>
      <c r="AJ198" s="13">
        <f>AI198*VLOOKUP('Données projet'!$B$10,Paramètres!$A$1:$I$89,3,0)*VLOOKUP('Données projet'!$B$10,Paramètres!$A$1:$I$89,5,0)</f>
        <v>-1.5074874681886286E-13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207.77463758757142</v>
      </c>
      <c r="AO198" s="59">
        <f t="shared" si="205"/>
        <v>180.50802165484066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10.727858515257044</v>
      </c>
      <c r="AV198" s="21">
        <f>EXP(-LN(2)/25)*AV197+(1-EXP(-LN(2)/25))/(LN(2)/25)*Calculateur!AQ198*Calculateur!AS198*VLOOKUP('Données projet'!$B$10,Paramètres!$A$1:$I$89,3,0)*0.475*44/12</f>
        <v>2.2618720786315567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12.9897305938886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-2.2737367544323206E-13</v>
      </c>
      <c r="BE198" s="13">
        <f>BD198*VLOOKUP('Données projet'!$B$11,Paramètres!$A$1:$I$89,3,0)*VLOOKUP('Données projet'!$B$11,Paramètres!$A$1:$I$89,5,0)</f>
        <v>-1.3596945791505279E-13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393.01180019332998</v>
      </c>
      <c r="BJ198" s="59">
        <f t="shared" si="206"/>
        <v>283.82782416294748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24.320176051619836</v>
      </c>
      <c r="BQ198" s="21">
        <f>EXP(-LN(2)/25)*BQ197+(1-EXP(-LN(2)/25))/(LN(2)/25)*Calculateur!BL198*Calculateur!BN198*VLOOKUP('Données projet'!$B$11,Paramètres!$A$1:$I$89,3,0)*0.475*44/12</f>
        <v>4.6768261851432529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28.997002236763088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-2.2737367544323206E-13</v>
      </c>
      <c r="BZ198" s="13">
        <f>BY198*VLOOKUP('Données projet'!$B$12,Paramètres!$A$1:$I$89,3,0)*VLOOKUP('Données projet'!$B$12,Paramètres!$A$1:$I$89,5,0)</f>
        <v>-1.3596945791505279E-13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393.01180019332998</v>
      </c>
      <c r="CE198" s="59">
        <f t="shared" si="207"/>
        <v>283.82782416294748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24.320176051619836</v>
      </c>
      <c r="CL198" s="21">
        <f>EXP(-LN(2)/25)*CL197+(1-EXP(-LN(2)/25))/(LN(2)/25)*Calculateur!CG198*Calculateur!CI198*VLOOKUP('Données projet'!$B$12,Paramètres!$A$1:$I$89,3,0)*0.475*44/12</f>
        <v>4.6768261851432529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28.997002236763088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-2.2737367544323206E-13</v>
      </c>
      <c r="CU198" s="17">
        <f>CT198*VLOOKUP('Données projet'!$B$13,Paramètres!$A$1:$I$89,3,0)*VLOOKUP('Données projet'!$B$13,Paramètres!$A$1:$I$89,5,0)</f>
        <v>-1.3596945791505279E-13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393.01180019332998</v>
      </c>
      <c r="CZ198" s="59">
        <f t="shared" si="208"/>
        <v>283.82782416294748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24.320176051619836</v>
      </c>
      <c r="DG198" s="21">
        <f>EXP(-LN(2)/25)*DG197+(1-EXP(-LN(2)/25))/(LN(2)/25)*Calculateur!DB198*Calculateur!DD198*VLOOKUP('Données projet'!$B$13,Paramètres!$A$1:$I$89,3,0)*0.475*44/12</f>
        <v>4.6768261851432529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28.997002236763088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-2.2737367544323206E-13</v>
      </c>
      <c r="DP198" s="17">
        <f>DO198*VLOOKUP('Données projet'!$B$14,Paramètres!$A$1:$I$89,3,0)*VLOOKUP('Données projet'!$B$14,Paramètres!$A$1:$I$89,5,0)</f>
        <v>-1.3596945791505279E-13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393.01180019332998</v>
      </c>
      <c r="DU198" s="59">
        <f t="shared" si="209"/>
        <v>283.82782416294748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24.320176051619836</v>
      </c>
      <c r="EB198" s="21">
        <f>EXP(-LN(2)/25)*EB197+(1-EXP(-LN(2)/25))/(LN(2)/25)*Calculateur!DW198*Calculateur!DY198*VLOOKUP('Données projet'!$B$14,Paramètres!$A$1:$I$89,3,0)*0.475*44/12</f>
        <v>4.6768261851432529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28.997002236763088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22.626239999999957</v>
      </c>
      <c r="D199" s="11">
        <f t="shared" si="202"/>
        <v>7.2524972396690224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46.1285767910679</v>
      </c>
      <c r="H199" s="67">
        <f t="shared" si="192"/>
        <v>308.70546735909016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-5.3205440053716299E-14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189.8770435341392</v>
      </c>
      <c r="T199" s="59">
        <f t="shared" si="204"/>
        <v>230.18380961122767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7.4264934411472669</v>
      </c>
      <c r="AA199" s="21">
        <f>EXP(-LN(2)/25)*AA198+(1-EXP(-LN(2)/25))/(LN(2)/25)*Calculateur!V199*Calculateur!X199*VLOOKUP('Données projet'!$B$9,Paramètres!$A$1:$I$89,3,0)*0.475*44/12</f>
        <v>1.4343339652129068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8.8608274063601744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-3.4106051316484809E-13</v>
      </c>
      <c r="AJ199" s="13">
        <f>AI199*VLOOKUP('Données projet'!$B$10,Paramètres!$A$1:$I$89,3,0)*VLOOKUP('Données projet'!$B$10,Paramètres!$A$1:$I$89,5,0)</f>
        <v>-1.5074874681886286E-13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207.77463758757142</v>
      </c>
      <c r="AO199" s="59">
        <f t="shared" si="205"/>
        <v>180.50802165484066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10.517491753120446</v>
      </c>
      <c r="AV199" s="21">
        <f>EXP(-LN(2)/25)*AV198+(1-EXP(-LN(2)/25))/(LN(2)/25)*Calculateur!AQ199*Calculateur!AS199*VLOOKUP('Données projet'!$B$10,Paramètres!$A$1:$I$89,3,0)*0.475*44/12</f>
        <v>2.2000210676946939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12.71751282081514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-2.2737367544323206E-13</v>
      </c>
      <c r="BE199" s="13">
        <f>BD199*VLOOKUP('Données projet'!$B$11,Paramètres!$A$1:$I$89,3,0)*VLOOKUP('Données projet'!$B$11,Paramètres!$A$1:$I$89,5,0)</f>
        <v>-1.3596945791505279E-13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393.01180019332998</v>
      </c>
      <c r="BJ199" s="59">
        <f t="shared" si="206"/>
        <v>283.82782416294748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23.843272233090243</v>
      </c>
      <c r="BQ199" s="21">
        <f>EXP(-LN(2)/25)*BQ198+(1-EXP(-LN(2)/25))/(LN(2)/25)*Calculateur!BL199*Calculateur!BN199*VLOOKUP('Données projet'!$B$11,Paramètres!$A$1:$I$89,3,0)*0.475*44/12</f>
        <v>4.5489381271669105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28.392210360257153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-2.2737367544323206E-13</v>
      </c>
      <c r="BZ199" s="13">
        <f>BY199*VLOOKUP('Données projet'!$B$12,Paramètres!$A$1:$I$89,3,0)*VLOOKUP('Données projet'!$B$12,Paramètres!$A$1:$I$89,5,0)</f>
        <v>-1.3596945791505279E-13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393.01180019332998</v>
      </c>
      <c r="CE199" s="59">
        <f t="shared" si="207"/>
        <v>283.82782416294748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23.843272233090243</v>
      </c>
      <c r="CL199" s="21">
        <f>EXP(-LN(2)/25)*CL198+(1-EXP(-LN(2)/25))/(LN(2)/25)*Calculateur!CG199*Calculateur!CI199*VLOOKUP('Données projet'!$B$12,Paramètres!$A$1:$I$89,3,0)*0.475*44/12</f>
        <v>4.5489381271669105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28.392210360257153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-2.2737367544323206E-13</v>
      </c>
      <c r="CU199" s="17">
        <f>CT199*VLOOKUP('Données projet'!$B$13,Paramètres!$A$1:$I$89,3,0)*VLOOKUP('Données projet'!$B$13,Paramètres!$A$1:$I$89,5,0)</f>
        <v>-1.3596945791505279E-13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393.01180019332998</v>
      </c>
      <c r="CZ199" s="59">
        <f t="shared" si="208"/>
        <v>283.82782416294748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23.843272233090243</v>
      </c>
      <c r="DG199" s="21">
        <f>EXP(-LN(2)/25)*DG198+(1-EXP(-LN(2)/25))/(LN(2)/25)*Calculateur!DB199*Calculateur!DD199*VLOOKUP('Données projet'!$B$13,Paramètres!$A$1:$I$89,3,0)*0.475*44/12</f>
        <v>4.5489381271669105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28.392210360257153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-2.2737367544323206E-13</v>
      </c>
      <c r="DP199" s="17">
        <f>DO199*VLOOKUP('Données projet'!$B$14,Paramètres!$A$1:$I$89,3,0)*VLOOKUP('Données projet'!$B$14,Paramètres!$A$1:$I$89,5,0)</f>
        <v>-1.3596945791505279E-13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393.01180019332998</v>
      </c>
      <c r="DU199" s="59">
        <f t="shared" si="209"/>
        <v>283.82782416294748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23.843272233090243</v>
      </c>
      <c r="EB199" s="21">
        <f>EXP(-LN(2)/25)*EB198+(1-EXP(-LN(2)/25))/(LN(2)/25)*Calculateur!DW199*Calculateur!DY199*VLOOKUP('Données projet'!$B$14,Paramètres!$A$1:$I$89,3,0)*0.475*44/12</f>
        <v>4.5489381271669105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28.392210360257153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22.741679999999956</v>
      </c>
      <c r="D200" s="11">
        <f t="shared" si="202"/>
        <v>7.2851829911456516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46.357262161768659</v>
      </c>
      <c r="H200" s="67">
        <f t="shared" si="192"/>
        <v>308.96345304291196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-5.3205440053716299E-14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189.8770435341392</v>
      </c>
      <c r="T200" s="59">
        <f t="shared" si="204"/>
        <v>230.18380961122767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7.2808644344800957</v>
      </c>
      <c r="AA200" s="21">
        <f>EXP(-LN(2)/25)*AA199+(1-EXP(-LN(2)/25))/(LN(2)/25)*Calculateur!V200*Calculateur!X200*VLOOKUP('Données projet'!$B$9,Paramètres!$A$1:$I$89,3,0)*0.475*44/12</f>
        <v>1.3951120275058149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8.6759764619859112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-3.4106051316484809E-13</v>
      </c>
      <c r="AJ200" s="13">
        <f>AI200*VLOOKUP('Données projet'!$B$10,Paramètres!$A$1:$I$89,3,0)*VLOOKUP('Données projet'!$B$10,Paramètres!$A$1:$I$89,5,0)</f>
        <v>-1.5074874681886286E-13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207.77463758757142</v>
      </c>
      <c r="AO200" s="59">
        <f t="shared" si="205"/>
        <v>180.50802165484066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10.311250154878291</v>
      </c>
      <c r="AV200" s="21">
        <f>EXP(-LN(2)/25)*AV199+(1-EXP(-LN(2)/25))/(LN(2)/25)*Calculateur!AQ200*Calculateur!AS200*VLOOKUP('Données projet'!$B$10,Paramètres!$A$1:$I$89,3,0)*0.475*44/12</f>
        <v>2.1398613759045029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12.451111530782793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-2.2737367544323206E-13</v>
      </c>
      <c r="BE200" s="13">
        <f>BD200*VLOOKUP('Données projet'!$B$11,Paramètres!$A$1:$I$89,3,0)*VLOOKUP('Données projet'!$B$11,Paramètres!$A$1:$I$89,5,0)</f>
        <v>-1.3596945791505279E-13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393.01180019332998</v>
      </c>
      <c r="BJ200" s="59">
        <f t="shared" si="206"/>
        <v>283.82782416294748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23.375720207559407</v>
      </c>
      <c r="BQ200" s="21">
        <f>EXP(-LN(2)/25)*BQ199+(1-EXP(-LN(2)/25))/(LN(2)/25)*Calculateur!BL200*Calculateur!BN200*VLOOKUP('Données projet'!$B$11,Paramètres!$A$1:$I$89,3,0)*0.475*44/12</f>
        <v>4.4245471748612717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27.800267382420678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-2.2737367544323206E-13</v>
      </c>
      <c r="BZ200" s="13">
        <f>BY200*VLOOKUP('Données projet'!$B$12,Paramètres!$A$1:$I$89,3,0)*VLOOKUP('Données projet'!$B$12,Paramètres!$A$1:$I$89,5,0)</f>
        <v>-1.3596945791505279E-13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393.01180019332998</v>
      </c>
      <c r="CE200" s="59">
        <f t="shared" si="207"/>
        <v>283.82782416294748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23.375720207559407</v>
      </c>
      <c r="CL200" s="21">
        <f>EXP(-LN(2)/25)*CL199+(1-EXP(-LN(2)/25))/(LN(2)/25)*Calculateur!CG200*Calculateur!CI200*VLOOKUP('Données projet'!$B$12,Paramètres!$A$1:$I$89,3,0)*0.475*44/12</f>
        <v>4.4245471748612717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27.800267382420678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-2.2737367544323206E-13</v>
      </c>
      <c r="CU200" s="17">
        <f>CT200*VLOOKUP('Données projet'!$B$13,Paramètres!$A$1:$I$89,3,0)*VLOOKUP('Données projet'!$B$13,Paramètres!$A$1:$I$89,5,0)</f>
        <v>-1.3596945791505279E-13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393.01180019332998</v>
      </c>
      <c r="CZ200" s="59">
        <f t="shared" si="208"/>
        <v>283.82782416294748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23.375720207559407</v>
      </c>
      <c r="DG200" s="21">
        <f>EXP(-LN(2)/25)*DG199+(1-EXP(-LN(2)/25))/(LN(2)/25)*Calculateur!DB200*Calculateur!DD200*VLOOKUP('Données projet'!$B$13,Paramètres!$A$1:$I$89,3,0)*0.475*44/12</f>
        <v>4.4245471748612717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27.800267382420678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-2.2737367544323206E-13</v>
      </c>
      <c r="DP200" s="17">
        <f>DO200*VLOOKUP('Données projet'!$B$14,Paramètres!$A$1:$I$89,3,0)*VLOOKUP('Données projet'!$B$14,Paramètres!$A$1:$I$89,5,0)</f>
        <v>-1.3596945791505279E-13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393.01180019332998</v>
      </c>
      <c r="DU200" s="59">
        <f t="shared" si="209"/>
        <v>283.82782416294748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23.375720207559407</v>
      </c>
      <c r="EB200" s="21">
        <f>EXP(-LN(2)/25)*EB199+(1-EXP(-LN(2)/25))/(LN(2)/25)*Calculateur!DW200*Calculateur!DY200*VLOOKUP('Données projet'!$B$14,Paramètres!$A$1:$I$89,3,0)*0.475*44/12</f>
        <v>4.4245471748612717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27.800267382420678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22.857119999999956</v>
      </c>
      <c r="D201" s="11">
        <f t="shared" si="202"/>
        <v>7.3178494354396983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46.585917724889299</v>
      </c>
      <c r="H201" s="67">
        <f t="shared" si="192"/>
        <v>309.22140510005738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-5.3205440053716299E-14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189.8770435341392</v>
      </c>
      <c r="T201" s="59">
        <f t="shared" si="204"/>
        <v>230.18380961122767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7.1380911238087448</v>
      </c>
      <c r="AA201" s="21">
        <f>EXP(-LN(2)/25)*AA200+(1-EXP(-LN(2)/25))/(LN(2)/25)*Calculateur!V201*Calculateur!X201*VLOOKUP('Données projet'!$B$9,Paramètres!$A$1:$I$89,3,0)*0.475*44/12</f>
        <v>1.3569626157479153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8.4950537395566599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-3.4106051316484809E-13</v>
      </c>
      <c r="AJ201" s="13">
        <f>AI201*VLOOKUP('Données projet'!$B$10,Paramètres!$A$1:$I$89,3,0)*VLOOKUP('Données projet'!$B$10,Paramètres!$A$1:$I$89,5,0)</f>
        <v>-1.5074874681886286E-13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207.77463758757142</v>
      </c>
      <c r="AO201" s="59">
        <f t="shared" si="205"/>
        <v>180.50802165484066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10.109052828582712</v>
      </c>
      <c r="AV201" s="21">
        <f>EXP(-LN(2)/25)*AV200+(1-EXP(-LN(2)/25))/(LN(2)/25)*Calculateur!AQ201*Calculateur!AS201*VLOOKUP('Données projet'!$B$10,Paramètres!$A$1:$I$89,3,0)*0.475*44/12</f>
        <v>2.0813467540499753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12.190399582632686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-2.2737367544323206E-13</v>
      </c>
      <c r="BE201" s="13">
        <f>BD201*VLOOKUP('Données projet'!$B$11,Paramètres!$A$1:$I$89,3,0)*VLOOKUP('Données projet'!$B$11,Paramètres!$A$1:$I$89,5,0)</f>
        <v>-1.3596945791505279E-13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393.01180019332998</v>
      </c>
      <c r="BJ201" s="59">
        <f t="shared" si="206"/>
        <v>283.82782416294748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22.917336592070654</v>
      </c>
      <c r="BQ201" s="21">
        <f>EXP(-LN(2)/25)*BQ200+(1-EXP(-LN(2)/25))/(LN(2)/25)*Calculateur!BL201*Calculateur!BN201*VLOOKUP('Données projet'!$B$11,Paramètres!$A$1:$I$89,3,0)*0.475*44/12</f>
        <v>4.3035576996878664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27.220894291758519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-2.2737367544323206E-13</v>
      </c>
      <c r="BZ201" s="13">
        <f>BY201*VLOOKUP('Données projet'!$B$12,Paramètres!$A$1:$I$89,3,0)*VLOOKUP('Données projet'!$B$12,Paramètres!$A$1:$I$89,5,0)</f>
        <v>-1.3596945791505279E-13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393.01180019332998</v>
      </c>
      <c r="CE201" s="59">
        <f t="shared" si="207"/>
        <v>283.82782416294748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22.917336592070654</v>
      </c>
      <c r="CL201" s="21">
        <f>EXP(-LN(2)/25)*CL200+(1-EXP(-LN(2)/25))/(LN(2)/25)*Calculateur!CG201*Calculateur!CI201*VLOOKUP('Données projet'!$B$12,Paramètres!$A$1:$I$89,3,0)*0.475*44/12</f>
        <v>4.3035576996878664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27.220894291758519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-2.2737367544323206E-13</v>
      </c>
      <c r="CU201" s="17">
        <f>CT201*VLOOKUP('Données projet'!$B$13,Paramètres!$A$1:$I$89,3,0)*VLOOKUP('Données projet'!$B$13,Paramètres!$A$1:$I$89,5,0)</f>
        <v>-1.3596945791505279E-13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393.01180019332998</v>
      </c>
      <c r="CZ201" s="59">
        <f t="shared" si="208"/>
        <v>283.82782416294748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22.917336592070654</v>
      </c>
      <c r="DG201" s="21">
        <f>EXP(-LN(2)/25)*DG200+(1-EXP(-LN(2)/25))/(LN(2)/25)*Calculateur!DB201*Calculateur!DD201*VLOOKUP('Données projet'!$B$13,Paramètres!$A$1:$I$89,3,0)*0.475*44/12</f>
        <v>4.3035576996878664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27.220894291758519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-2.2737367544323206E-13</v>
      </c>
      <c r="DP201" s="17">
        <f>DO201*VLOOKUP('Données projet'!$B$14,Paramètres!$A$1:$I$89,3,0)*VLOOKUP('Données projet'!$B$14,Paramètres!$A$1:$I$89,5,0)</f>
        <v>-1.3596945791505279E-13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393.01180019332998</v>
      </c>
      <c r="DU201" s="59">
        <f t="shared" si="209"/>
        <v>283.82782416294748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22.917336592070654</v>
      </c>
      <c r="EB201" s="21">
        <f>EXP(-LN(2)/25)*EB200+(1-EXP(-LN(2)/25))/(LN(2)/25)*Calculateur!DW201*Calculateur!DY201*VLOOKUP('Données projet'!$B$14,Paramètres!$A$1:$I$89,3,0)*0.475*44/12</f>
        <v>4.3035576996878664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27.220894291758519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22.972559999999955</v>
      </c>
      <c r="D202" s="11">
        <f t="shared" si="202"/>
        <v>7.350496681381407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46.814543648448428</v>
      </c>
      <c r="H202" s="67">
        <f t="shared" si="192"/>
        <v>309.47932372007256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-5.3205440053716299E-14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189.8770435341392</v>
      </c>
      <c r="T202" s="59">
        <f t="shared" si="204"/>
        <v>230.18380961122767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6.9981175106765381</v>
      </c>
      <c r="AA202" s="21">
        <f>EXP(-LN(2)/25)*AA201+(1-EXP(-LN(2)/25))/(LN(2)/25)*Calculateur!V202*Calculateur!X202*VLOOKUP('Données projet'!$B$9,Paramètres!$A$1:$I$89,3,0)*0.475*44/12</f>
        <v>1.3198564016607259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8.3179739123372638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-3.4106051316484809E-13</v>
      </c>
      <c r="AJ202" s="13">
        <f>AI202*VLOOKUP('Données projet'!$B$10,Paramètres!$A$1:$I$89,3,0)*VLOOKUP('Données projet'!$B$10,Paramètres!$A$1:$I$89,5,0)</f>
        <v>-1.5074874681886286E-13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207.77463758757142</v>
      </c>
      <c r="AO202" s="59">
        <f t="shared" si="205"/>
        <v>180.50802165484066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9.9108204685275965</v>
      </c>
      <c r="AV202" s="21">
        <f>EXP(-LN(2)/25)*AV201+(1-EXP(-LN(2)/25))/(LN(2)/25)*Calculateur!AQ202*Calculateur!AS202*VLOOKUP('Données projet'!$B$10,Paramètres!$A$1:$I$89,3,0)*0.475*44/12</f>
        <v>2.02443221760721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11.935252686134806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-2.2737367544323206E-13</v>
      </c>
      <c r="BE202" s="13">
        <f>BD202*VLOOKUP('Données projet'!$B$11,Paramètres!$A$1:$I$89,3,0)*VLOOKUP('Données projet'!$B$11,Paramètres!$A$1:$I$89,5,0)</f>
        <v>-1.3596945791505279E-13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393.01180019332998</v>
      </c>
      <c r="BJ202" s="59">
        <f t="shared" si="206"/>
        <v>283.82782416294748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22.467941599695237</v>
      </c>
      <c r="BQ202" s="21">
        <f>EXP(-LN(2)/25)*BQ201+(1-EXP(-LN(2)/25))/(LN(2)/25)*Calculateur!BL202*Calculateur!BN202*VLOOKUP('Données projet'!$B$11,Paramètres!$A$1:$I$89,3,0)*0.475*44/12</f>
        <v>4.1858766880756377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26.653818287770875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-2.2737367544323206E-13</v>
      </c>
      <c r="BZ202" s="13">
        <f>BY202*VLOOKUP('Données projet'!$B$12,Paramètres!$A$1:$I$89,3,0)*VLOOKUP('Données projet'!$B$12,Paramètres!$A$1:$I$89,5,0)</f>
        <v>-1.3596945791505279E-13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393.01180019332998</v>
      </c>
      <c r="CE202" s="59">
        <f t="shared" si="207"/>
        <v>283.82782416294748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22.467941599695237</v>
      </c>
      <c r="CL202" s="21">
        <f>EXP(-LN(2)/25)*CL201+(1-EXP(-LN(2)/25))/(LN(2)/25)*Calculateur!CG202*Calculateur!CI202*VLOOKUP('Données projet'!$B$12,Paramètres!$A$1:$I$89,3,0)*0.475*44/12</f>
        <v>4.1858766880756377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26.653818287770875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-2.2737367544323206E-13</v>
      </c>
      <c r="CU202" s="17">
        <f>CT202*VLOOKUP('Données projet'!$B$13,Paramètres!$A$1:$I$89,3,0)*VLOOKUP('Données projet'!$B$13,Paramètres!$A$1:$I$89,5,0)</f>
        <v>-1.3596945791505279E-13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393.01180019332998</v>
      </c>
      <c r="CZ202" s="59">
        <f t="shared" si="208"/>
        <v>283.82782416294748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22.467941599695237</v>
      </c>
      <c r="DG202" s="21">
        <f>EXP(-LN(2)/25)*DG201+(1-EXP(-LN(2)/25))/(LN(2)/25)*Calculateur!DB202*Calculateur!DD202*VLOOKUP('Données projet'!$B$13,Paramètres!$A$1:$I$89,3,0)*0.475*44/12</f>
        <v>4.1858766880756377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26.653818287770875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-2.2737367544323206E-13</v>
      </c>
      <c r="DP202" s="17">
        <f>DO202*VLOOKUP('Données projet'!$B$14,Paramètres!$A$1:$I$89,3,0)*VLOOKUP('Données projet'!$B$14,Paramètres!$A$1:$I$89,5,0)</f>
        <v>-1.3596945791505279E-13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393.01180019332998</v>
      </c>
      <c r="DU202" s="59">
        <f t="shared" si="209"/>
        <v>283.82782416294748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22.467941599695237</v>
      </c>
      <c r="EB202" s="21">
        <f>EXP(-LN(2)/25)*EB201+(1-EXP(-LN(2)/25))/(LN(2)/25)*Calculateur!DW202*Calculateur!DY202*VLOOKUP('Données projet'!$B$14,Paramètres!$A$1:$I$89,3,0)*0.475*44/12</f>
        <v>4.1858766880756377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26.653818287770875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23.087999999999955</v>
      </c>
      <c r="D203" s="11">
        <f t="shared" si="202"/>
        <v>7.3831248366439164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47.043140098678258</v>
      </c>
      <c r="H203" s="67">
        <f t="shared" si="192"/>
        <v>309.73720909048808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-5.3205440053716299E-14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189.8770435341392</v>
      </c>
      <c r="T203" s="59">
        <f t="shared" si="204"/>
        <v>230.18380961122767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6.8608886947223802</v>
      </c>
      <c r="AA203" s="21">
        <f>EXP(-LN(2)/25)*AA202+(1-EXP(-LN(2)/25))/(LN(2)/25)*Calculateur!V203*Calculateur!X203*VLOOKUP('Données projet'!$B$9,Paramètres!$A$1:$I$89,3,0)*0.475*44/12</f>
        <v>1.2837648589490818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8.1446535536714624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-3.4106051316484809E-13</v>
      </c>
      <c r="AJ203" s="13">
        <f>AI203*VLOOKUP('Données projet'!$B$10,Paramètres!$A$1:$I$89,3,0)*VLOOKUP('Données projet'!$B$10,Paramètres!$A$1:$I$89,5,0)</f>
        <v>-1.5074874681886286E-13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207.77463758757142</v>
      </c>
      <c r="AO203" s="59">
        <f t="shared" si="205"/>
        <v>180.50802165484066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9.7164753241433619</v>
      </c>
      <c r="AV203" s="21">
        <f>EXP(-LN(2)/25)*AV202+(1-EXP(-LN(2)/25))/(LN(2)/25)*Calculateur!AQ203*Calculateur!AS203*VLOOKUP('Données projet'!$B$10,Paramètres!$A$1:$I$89,3,0)*0.475*44/12</f>
        <v>1.9690740121564774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11.685549336299839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-2.2737367544323206E-13</v>
      </c>
      <c r="BE203" s="13">
        <f>BD203*VLOOKUP('Données projet'!$B$11,Paramètres!$A$1:$I$89,3,0)*VLOOKUP('Données projet'!$B$11,Paramètres!$A$1:$I$89,5,0)</f>
        <v>-1.3596945791505279E-13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393.01180019332998</v>
      </c>
      <c r="BJ203" s="59">
        <f t="shared" si="206"/>
        <v>283.82782416294748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22.027358969016422</v>
      </c>
      <c r="BQ203" s="21">
        <f>EXP(-LN(2)/25)*BQ202+(1-EXP(-LN(2)/25))/(LN(2)/25)*Calculateur!BL203*Calculateur!BN203*VLOOKUP('Données projet'!$B$11,Paramètres!$A$1:$I$89,3,0)*0.475*44/12</f>
        <v>4.0714136699145209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26.098772638930942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-2.2737367544323206E-13</v>
      </c>
      <c r="BZ203" s="13">
        <f>BY203*VLOOKUP('Données projet'!$B$12,Paramètres!$A$1:$I$89,3,0)*VLOOKUP('Données projet'!$B$12,Paramètres!$A$1:$I$89,5,0)</f>
        <v>-1.3596945791505279E-13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393.01180019332998</v>
      </c>
      <c r="CE203" s="59">
        <f t="shared" si="207"/>
        <v>283.82782416294748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22.027358969016422</v>
      </c>
      <c r="CL203" s="21">
        <f>EXP(-LN(2)/25)*CL202+(1-EXP(-LN(2)/25))/(LN(2)/25)*Calculateur!CG203*Calculateur!CI203*VLOOKUP('Données projet'!$B$12,Paramètres!$A$1:$I$89,3,0)*0.475*44/12</f>
        <v>4.0714136699145209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26.098772638930942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-2.2737367544323206E-13</v>
      </c>
      <c r="CU203" s="17">
        <f>CT203*VLOOKUP('Données projet'!$B$13,Paramètres!$A$1:$I$89,3,0)*VLOOKUP('Données projet'!$B$13,Paramètres!$A$1:$I$89,5,0)</f>
        <v>-1.3596945791505279E-13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393.01180019332998</v>
      </c>
      <c r="CZ203" s="59">
        <f t="shared" si="208"/>
        <v>283.82782416294748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22.027358969016422</v>
      </c>
      <c r="DG203" s="21">
        <f>EXP(-LN(2)/25)*DG202+(1-EXP(-LN(2)/25))/(LN(2)/25)*Calculateur!DB203*Calculateur!DD203*VLOOKUP('Données projet'!$B$13,Paramètres!$A$1:$I$89,3,0)*0.475*44/12</f>
        <v>4.0714136699145209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26.098772638930942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-2.2737367544323206E-13</v>
      </c>
      <c r="DP203" s="17">
        <f>DO203*VLOOKUP('Données projet'!$B$14,Paramètres!$A$1:$I$89,3,0)*VLOOKUP('Données projet'!$B$14,Paramètres!$A$1:$I$89,5,0)</f>
        <v>-1.3596945791505279E-13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393.01180019332998</v>
      </c>
      <c r="DU203" s="59">
        <f t="shared" si="209"/>
        <v>283.82782416294748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22.027358969016422</v>
      </c>
      <c r="EB203" s="21">
        <f>EXP(-LN(2)/25)*EB202+(1-EXP(-LN(2)/25))/(LN(2)/25)*Calculateur!DW203*Calculateur!DY203*VLOOKUP('Données projet'!$B$14,Paramètres!$A$1:$I$89,3,0)*0.475*44/12</f>
        <v>4.0714136699145209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26.098772638930942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1.2880503926580862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1.241237783243907</v>
      </c>
      <c r="BA205" s="82">
        <f>EXP(LN('Données projet'!B88)/'Données projet'!A88)</f>
        <v>1.244502252163008</v>
      </c>
      <c r="BV205" s="82">
        <f>EXP(LN('Données projet'!B114)/'Données projet'!A114)</f>
        <v>1.244502252163008</v>
      </c>
      <c r="CQ205" s="82">
        <f>EXP(LN('Données projet'!B140)/'Données projet'!A140)</f>
        <v>1.244502252163008</v>
      </c>
      <c r="DL205" s="82">
        <f>EXP(LN('Données projet'!B166)/'Données projet'!A166)</f>
        <v>1.244502252163008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Cèdre de l'Atlas</v>
      </c>
      <c r="B6" s="146">
        <f>'Données projet'!D9</f>
        <v>4.4004000000000003</v>
      </c>
      <c r="C6" s="147">
        <f ca="1">IF(OR('Données projet'!B9="",'Données projet'!C9="",'Données projet'!C9=0%),0,Calculateur!S3)</f>
        <v>189.8770435341392</v>
      </c>
      <c r="D6" s="147">
        <f>IF(OR('Données projet'!B9="",'Données projet'!C9="",'Données projet'!C9=0%),0,Calculateur!T3)</f>
        <v>230.18380961122767</v>
      </c>
      <c r="E6" s="147">
        <f ca="1">MIN(C6,D6)</f>
        <v>189.8770435341392</v>
      </c>
      <c r="F6" s="147">
        <f ca="1">E6*B6</f>
        <v>835.53494236762617</v>
      </c>
      <c r="G6" s="147">
        <f ca="1">F6*(100%-'Données projet'!$C$24)*(100%-'Données projet'!$C$25)*(100%-'Données projet'!$C$26)*(100%-'Données projet'!$C$27)</f>
        <v>714.38237572432035</v>
      </c>
      <c r="H6" s="148">
        <f>IF(OR('Données projet'!B9="",'Données projet'!C9="",'Données projet'!C9=0%),0,AVERAGE(Calculateur!$AC$3:$AC$33)*B6)</f>
        <v>28.01451486106393</v>
      </c>
      <c r="I6" s="149">
        <f>H6*(100%-'Données projet'!$C$24)*(100%-'Données projet'!$C$25)*(100%-'Données projet'!$C$26)*(100%-'Données projet'!$C$27)</f>
        <v>23.95241020620966</v>
      </c>
      <c r="J6" s="150">
        <f>IF(OR('Données projet'!B9="",'Données projet'!C9="",'Données projet'!C9=0%),0,SUM(Calculateur!$V$3:$V$33)*VLOOKUP('Données projet'!$B$9,Paramètres!$A$1:$I$89,9,0)*B6)</f>
        <v>196.73858369999999</v>
      </c>
      <c r="K6" s="151">
        <f>J6*(100%-'Données projet'!$C$24)*(100%-'Données projet'!$C$25)*(100%-'Données projet'!$C$26)*(100%-'Données projet'!$C$27)</f>
        <v>168.21148906349998</v>
      </c>
      <c r="L6" s="152">
        <f ca="1">G6+I6+K6</f>
        <v>906.54627499403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Séquoia toujours vert</v>
      </c>
      <c r="B7" s="154">
        <f>'Données projet'!D10</f>
        <v>1.1580000000000001</v>
      </c>
      <c r="C7" s="147">
        <f ca="1">IF(OR('Données projet'!B10="",'Données projet'!C10="",'Données projet'!C10=0%),0,Calculateur!AN3)</f>
        <v>207.77463758757142</v>
      </c>
      <c r="D7" s="147">
        <f>IF(OR('Données projet'!B10="",'Données projet'!C10="",'Données projet'!C10=0%),0,Calculateur!AO3)</f>
        <v>180.50802165484066</v>
      </c>
      <c r="E7" s="147">
        <f t="shared" ref="E7:E15" ca="1" si="0">MIN(C7,D7)</f>
        <v>180.50802165484066</v>
      </c>
      <c r="F7" s="147">
        <f t="shared" ref="F7:F15" ca="1" si="1">E7*B7</f>
        <v>209.0282890763055</v>
      </c>
      <c r="G7" s="147">
        <f ca="1">F7*(100%-'Données projet'!$C$24)*(100%-'Données projet'!$C$25)*(100%-'Données projet'!$C$26)*(100%-'Données projet'!$C$27)</f>
        <v>178.7191871602412</v>
      </c>
      <c r="H7" s="155">
        <f>IF(OR('Données projet'!B10="",'Données projet'!C10="",'Données projet'!C10=0%),0,AVERAGE(Calculateur!$AX$3:$AX$33)*B7)</f>
        <v>5.8022193244139206</v>
      </c>
      <c r="I7" s="149">
        <f>H7*(100%-'Données projet'!$C$24)*(100%-'Données projet'!$C$25)*(100%-'Données projet'!$C$26)*(100%-'Données projet'!$C$27)</f>
        <v>4.9608975223739025</v>
      </c>
      <c r="J7" s="150">
        <f>IF(OR('Données projet'!B10="",'Données projet'!C10="",'Données projet'!C10=0%),0,SUM(Calculateur!$AQ$3:$AQ$33)*VLOOKUP('Données projet'!$B$10,Paramètres!$A$1:$I$89,9,0)*B7)</f>
        <v>46.497567488400009</v>
      </c>
      <c r="K7" s="151">
        <f>J7*(100%-'Données projet'!$C$24)*(100%-'Données projet'!$C$25)*(100%-'Données projet'!$C$26)*(100%-'Données projet'!$C$27)</f>
        <v>39.755420202582009</v>
      </c>
      <c r="L7" s="152">
        <f t="shared" ref="L7:L15" ca="1" si="2">G7+I7+K7</f>
        <v>223.4355048851971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Pin laricio</v>
      </c>
      <c r="B8" s="154">
        <f>'Données projet'!D11</f>
        <v>5.79E-2</v>
      </c>
      <c r="C8" s="147">
        <f ca="1">IF(OR('Données projet'!B11="",'Données projet'!C11="",'Données projet'!C11=0%),0,Calculateur!BI3)</f>
        <v>393.01180019332998</v>
      </c>
      <c r="D8" s="147">
        <f>IF(OR('Données projet'!B11="",'Données projet'!C11="",'Données projet'!C11=0%),0,Calculateur!BJ3)</f>
        <v>283.82782416294748</v>
      </c>
      <c r="E8" s="147">
        <f t="shared" ca="1" si="0"/>
        <v>283.82782416294748</v>
      </c>
      <c r="F8" s="147">
        <f t="shared" ca="1" si="1"/>
        <v>16.43363101903466</v>
      </c>
      <c r="G8" s="147">
        <f ca="1">F8*(100%-'Données projet'!$C$24)*(100%-'Données projet'!$C$25)*(100%-'Données projet'!$C$26)*(100%-'Données projet'!$C$27)</f>
        <v>14.050754521274634</v>
      </c>
      <c r="H8" s="155">
        <f>IF(OR('Données projet'!B11="",'Données projet'!C11="",'Données projet'!C11=0%),0,AVERAGE(Calculateur!$BS$3:$BS$33)*B8)</f>
        <v>0.15271873721031248</v>
      </c>
      <c r="I8" s="149">
        <f>H8*(100%-'Données projet'!$C$24)*(100%-'Données projet'!$C$25)*(100%-'Données projet'!$C$26)*(100%-'Données projet'!$C$27)</f>
        <v>0.13057452031481717</v>
      </c>
      <c r="J8" s="150">
        <f>IF(OR('Données projet'!B11="",'Données projet'!C11="",'Données projet'!C11=0%),0,SUM(Calculateur!$BL$3:$BL$33)*VLOOKUP('Données projet'!$B$11,Paramètres!$A$1:$I$89,9,0)*B8)</f>
        <v>1.668099</v>
      </c>
      <c r="K8" s="151">
        <f>J8*(100%-'Données projet'!$C$24)*(100%-'Données projet'!$C$25)*(100%-'Données projet'!$C$26)*(100%-'Données projet'!$C$27)</f>
        <v>1.4262246449999998</v>
      </c>
      <c r="L8" s="152">
        <f t="shared" ca="1" si="2"/>
        <v>15.60755368658945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Pin de Salzmann</v>
      </c>
      <c r="B9" s="154">
        <f>'Données projet'!D12</f>
        <v>5.79E-2</v>
      </c>
      <c r="C9" s="147">
        <f ca="1">IF(OR('Données projet'!B12="",'Données projet'!C12="",'Données projet'!C12=0%),0,Calculateur!CD3)</f>
        <v>393.01180019332998</v>
      </c>
      <c r="D9" s="147">
        <f>IF(OR('Données projet'!B12="",'Données projet'!C12="",'Données projet'!C12=0%),0,Calculateur!CE3)</f>
        <v>283.82782416294748</v>
      </c>
      <c r="E9" s="147">
        <f t="shared" ca="1" si="0"/>
        <v>283.82782416294748</v>
      </c>
      <c r="F9" s="147">
        <f t="shared" ca="1" si="1"/>
        <v>16.43363101903466</v>
      </c>
      <c r="G9" s="147">
        <f ca="1">F9*(100%-'Données projet'!$C$24)*(100%-'Données projet'!$C$25)*(100%-'Données projet'!$C$26)*(100%-'Données projet'!$C$27)</f>
        <v>14.050754521274634</v>
      </c>
      <c r="H9" s="155">
        <f>IF(OR('Données projet'!B12="",'Données projet'!C12="",'Données projet'!C12=0%),0,AVERAGE(Calculateur!$CN$3:$CN$33)*B9)</f>
        <v>0.15271873721031248</v>
      </c>
      <c r="I9" s="149">
        <f>H9*(100%-'Données projet'!$C$24)*(100%-'Données projet'!$C$25)*(100%-'Données projet'!$C$26)*(100%-'Données projet'!$C$27)</f>
        <v>0.13057452031481717</v>
      </c>
      <c r="J9" s="150">
        <f>IF(OR('Données projet'!B12="",'Données projet'!C12="",'Données projet'!C12=0%),0,SUM(Calculateur!$CG$3:$CG$33)*VLOOKUP('Données projet'!$B$12,Paramètres!$A$1:$I$89,9,0)*B9)</f>
        <v>1.668099</v>
      </c>
      <c r="K9" s="151">
        <f>J9*(100%-'Données projet'!$C$24)*(100%-'Données projet'!$C$25)*(100%-'Données projet'!$C$26)*(100%-'Données projet'!$C$27)</f>
        <v>1.4262246449999998</v>
      </c>
      <c r="L9" s="152">
        <f t="shared" ca="1" si="2"/>
        <v>15.60755368658945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Pin taeda</v>
      </c>
      <c r="B10" s="154">
        <f>'Données projet'!D13</f>
        <v>5.79E-2</v>
      </c>
      <c r="C10" s="147">
        <f ca="1">IF(OR('Données projet'!B13="",'Données projet'!C13="",'Données projet'!C13=0%),0,Calculateur!CY3)</f>
        <v>393.01180019332998</v>
      </c>
      <c r="D10" s="147">
        <f>IF(OR('Données projet'!B13="",'Données projet'!C13="",'Données projet'!C13=0%),0,Calculateur!CZ3)</f>
        <v>283.82782416294748</v>
      </c>
      <c r="E10" s="147">
        <f t="shared" ca="1" si="0"/>
        <v>283.82782416294748</v>
      </c>
      <c r="F10" s="147">
        <f t="shared" ca="1" si="1"/>
        <v>16.43363101903466</v>
      </c>
      <c r="G10" s="147">
        <f ca="1">F10*(100%-'Données projet'!$C$24)*(100%-'Données projet'!$C$25)*(100%-'Données projet'!$C$26)*(100%-'Données projet'!$C$27)</f>
        <v>14.050754521274634</v>
      </c>
      <c r="H10" s="155">
        <f>IF(OR('Données projet'!B13="",'Données projet'!C13="",'Données projet'!C13=0%),0,AVERAGE(Calculateur!$DI$3:$DI$33)*B10)</f>
        <v>0.15271873721031248</v>
      </c>
      <c r="I10" s="149">
        <f>H10*(100%-'Données projet'!$C$24)*(100%-'Données projet'!$C$25)*(100%-'Données projet'!$C$26)*(100%-'Données projet'!$C$27)</f>
        <v>0.13057452031481717</v>
      </c>
      <c r="J10" s="150">
        <f>IF(OR('Données projet'!B13="",'Données projet'!C13="",'Données projet'!C13=0%),0,SUM(Calculateur!$DB$3:$DB$33)*VLOOKUP('Données projet'!$B$13,Paramètres!$A$1:$I$89,9,0)*B10)</f>
        <v>1.668099</v>
      </c>
      <c r="K10" s="151">
        <f>J10*(100%-'Données projet'!$C$24)*(100%-'Données projet'!$C$25)*(100%-'Données projet'!$C$26)*(100%-'Données projet'!$C$27)</f>
        <v>1.4262246449999998</v>
      </c>
      <c r="L10" s="152">
        <f t="shared" ca="1" si="2"/>
        <v>15.60755368658945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>Pin laricio</v>
      </c>
      <c r="B11" s="154">
        <f>'Données projet'!D14</f>
        <v>5.79E-2</v>
      </c>
      <c r="C11" s="147">
        <f ca="1">IF(OR('Données projet'!B14="",'Données projet'!C14="",'Données projet'!C14=0%),0,Calculateur!DT3)</f>
        <v>393.01180019332998</v>
      </c>
      <c r="D11" s="147">
        <f>IF(OR('Données projet'!B14="",'Données projet'!C14="",'Données projet'!C14=0%),0,Calculateur!DU3)</f>
        <v>283.82782416294748</v>
      </c>
      <c r="E11" s="147">
        <f t="shared" ca="1" si="0"/>
        <v>283.82782416294748</v>
      </c>
      <c r="F11" s="147">
        <f t="shared" ca="1" si="1"/>
        <v>16.43363101903466</v>
      </c>
      <c r="G11" s="147">
        <f ca="1">F11*(100%-'Données projet'!$C$24)*(100%-'Données projet'!$C$25)*(100%-'Données projet'!$C$26)*(100%-'Données projet'!$C$27)</f>
        <v>14.050754521274634</v>
      </c>
      <c r="H11" s="155">
        <f>IF(OR('Données projet'!B14="",'Données projet'!C14="",'Données projet'!C14=0%),0,AVERAGE(Calculateur!$ED$3:$ED$33)*B11)</f>
        <v>0.15271873721031248</v>
      </c>
      <c r="I11" s="149">
        <f>H11*(100%-'Données projet'!$C$24)*(100%-'Données projet'!$C$25)*(100%-'Données projet'!$C$26)*(100%-'Données projet'!$C$27)</f>
        <v>0.13057452031481717</v>
      </c>
      <c r="J11" s="150">
        <f>IF(OR('Données projet'!B14="",'Données projet'!C14="",'Données projet'!C14=0%),0,SUM(Calculateur!$DW$3:$DW$33)*VLOOKUP('Données projet'!$B$14,Paramètres!$A$1:$I$89,9,0)*B11)</f>
        <v>1.668099</v>
      </c>
      <c r="K11" s="151">
        <f>J11*(100%-'Données projet'!$C$24)*(100%-'Données projet'!$C$25)*(100%-'Données projet'!$C$26)*(100%-'Données projet'!$C$27)</f>
        <v>1.4262246449999998</v>
      </c>
      <c r="L11" s="152">
        <f t="shared" ca="1" si="2"/>
        <v>15.60755368658945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1110.2977555200705</v>
      </c>
      <c r="G16" s="166">
        <f t="shared" ca="1" si="3"/>
        <v>949.30458096965992</v>
      </c>
      <c r="H16" s="167">
        <f t="shared" si="3"/>
        <v>34.427609134319106</v>
      </c>
      <c r="I16" s="167">
        <f t="shared" si="3"/>
        <v>29.435605809842826</v>
      </c>
      <c r="J16" s="168">
        <f t="shared" si="3"/>
        <v>249.90854718840006</v>
      </c>
      <c r="K16" s="168">
        <f t="shared" si="3"/>
        <v>213.67180784608195</v>
      </c>
      <c r="L16" s="169">
        <f t="shared" ca="1" si="3"/>
        <v>1192.4119946255848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Cèdre de l'Atlas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Séquoia toujours vert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Pin laricio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Pin de Salzmann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Pin taeda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>Pin laricio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73" zoomScale="80" zoomScaleNormal="80" workbookViewId="0">
      <selection activeCell="C178" sqref="C178:C18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Cèdre de l'Atlas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-3147.196487607478</v>
      </c>
      <c r="U10" s="178">
        <f>'Données projet'!D9</f>
        <v>4.4004000000000003</v>
      </c>
      <c r="V10" s="177">
        <f>U10*T10</f>
        <v>-13848.923424067947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Séquoia toujours vert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-3848.0903119167524</v>
      </c>
      <c r="U11" s="178">
        <f>'Données projet'!D10</f>
        <v>1.1580000000000001</v>
      </c>
      <c r="V11" s="177">
        <f t="shared" ref="V11" si="0">U11*T11</f>
        <v>-4456.0885811995995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Pin laricio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-2680.5936097890208</v>
      </c>
      <c r="U12" s="178">
        <f>'Données projet'!D11</f>
        <v>5.79E-2</v>
      </c>
      <c r="V12" s="177">
        <f t="shared" ref="V12:V19" si="1">U12*T12</f>
        <v>-155.20637000678431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Pin de Salzmann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853.92866195242163</v>
      </c>
      <c r="U13" s="178">
        <f>'Données projet'!D12</f>
        <v>5.79E-2</v>
      </c>
      <c r="V13" s="177">
        <f t="shared" si="1"/>
        <v>49.442469527045212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Cèdre de l'Atlas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Pin taeda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-2021.2680448981068</v>
      </c>
      <c r="U14" s="178">
        <f>'Données projet'!D13</f>
        <v>5.79E-2</v>
      </c>
      <c r="V14" s="177">
        <f t="shared" si="1"/>
        <v>-117.03141979960039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Pin laricio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-2680.5936097890208</v>
      </c>
      <c r="U15" s="178">
        <f>'Données projet'!D14</f>
        <v>5.79E-2</v>
      </c>
      <c r="V15" s="177">
        <f t="shared" si="1"/>
        <v>-155.20637000678431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60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600</v>
      </c>
      <c r="F17" s="230"/>
      <c r="G17" s="289"/>
      <c r="I17" s="1" t="s">
        <v>326</v>
      </c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12.00000000000002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>
        <f>5700-3000+666</f>
        <v>3366</v>
      </c>
      <c r="F18" s="230"/>
      <c r="G18" s="289"/>
      <c r="I18" s="1" t="s">
        <v>325</v>
      </c>
      <c r="J18" s="202"/>
      <c r="K18" s="208"/>
      <c r="L18" s="259" t="s">
        <v>255</v>
      </c>
      <c r="M18" s="261"/>
      <c r="N18" s="192">
        <v>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>
        <v>720</v>
      </c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60.000000000000099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>
        <v>270</v>
      </c>
      <c r="F20" s="230"/>
      <c r="G20" s="289"/>
      <c r="H20" s="190">
        <v>1</v>
      </c>
      <c r="I20" s="191">
        <v>18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>
        <v>450</v>
      </c>
      <c r="F21" s="230"/>
      <c r="H21" s="190">
        <v>2</v>
      </c>
      <c r="I21" s="191">
        <v>18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>
        <v>0</v>
      </c>
      <c r="F22" s="230"/>
      <c r="H22" s="190">
        <v>3</v>
      </c>
      <c r="I22" s="191">
        <v>18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20</v>
      </c>
      <c r="B23" s="181">
        <f>'Données projet'!D36</f>
        <v>55.3</v>
      </c>
      <c r="C23" s="193">
        <v>5</v>
      </c>
      <c r="D23" s="182">
        <f>B23*C23</f>
        <v>276.5</v>
      </c>
      <c r="E23" s="193"/>
      <c r="F23" s="230"/>
      <c r="H23" s="190">
        <v>4</v>
      </c>
      <c r="I23" s="191">
        <v>18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-20613.723188179709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30</v>
      </c>
      <c r="B24" s="181">
        <f>'Données projet'!D37</f>
        <v>48.674999999999997</v>
      </c>
      <c r="C24" s="193">
        <v>5</v>
      </c>
      <c r="D24" s="182">
        <f t="shared" ref="D24:D42" si="2">B24*C24</f>
        <v>243.375</v>
      </c>
      <c r="E24" s="193"/>
      <c r="F24" s="233"/>
      <c r="H24" s="190">
        <v>5</v>
      </c>
      <c r="I24" s="191">
        <v>18</v>
      </c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4.9531602953458131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40</v>
      </c>
      <c r="B25" s="181">
        <f>'Données projet'!D38</f>
        <v>49.204999999999998</v>
      </c>
      <c r="C25" s="193">
        <v>32.5</v>
      </c>
      <c r="D25" s="182">
        <f t="shared" si="2"/>
        <v>1599.1624999999999</v>
      </c>
      <c r="E25" s="193"/>
      <c r="F25" s="233"/>
      <c r="H25" s="190">
        <v>6</v>
      </c>
      <c r="I25" s="191">
        <v>18</v>
      </c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303">
        <f ca="1">T23-T24</f>
        <v>-20618.676348475055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50</v>
      </c>
      <c r="B26" s="181">
        <f>'Données projet'!D39</f>
        <v>62.364000000000004</v>
      </c>
      <c r="C26" s="193">
        <v>43.5</v>
      </c>
      <c r="D26" s="182">
        <f t="shared" si="2"/>
        <v>2712.8340000000003</v>
      </c>
      <c r="E26" s="193"/>
      <c r="F26" s="233"/>
      <c r="G26" s="229"/>
      <c r="H26" s="190">
        <v>7</v>
      </c>
      <c r="I26" s="191">
        <v>18</v>
      </c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60</v>
      </c>
      <c r="B27" s="181">
        <f>'Données projet'!D40</f>
        <v>384.45600000000002</v>
      </c>
      <c r="C27" s="193">
        <v>43.5</v>
      </c>
      <c r="D27" s="182">
        <f t="shared" si="2"/>
        <v>16723.835999999999</v>
      </c>
      <c r="E27" s="193"/>
      <c r="F27" s="233"/>
      <c r="G27" s="229"/>
      <c r="H27" s="190">
        <v>8</v>
      </c>
      <c r="I27" s="191">
        <v>18</v>
      </c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>
        <v>9</v>
      </c>
      <c r="I28" s="191">
        <v>18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>
        <v>10</v>
      </c>
      <c r="I29" s="191">
        <v>18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>
        <v>11</v>
      </c>
      <c r="I30" s="191">
        <v>18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12</v>
      </c>
      <c r="I31" s="191">
        <v>18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13</v>
      </c>
      <c r="I32" s="191">
        <v>18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14</v>
      </c>
      <c r="I33" s="191">
        <v>18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15</v>
      </c>
      <c r="I34" s="191">
        <v>18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16</v>
      </c>
      <c r="I35" s="191">
        <v>18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17</v>
      </c>
      <c r="I36" s="191">
        <v>18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18</v>
      </c>
      <c r="I37" s="191">
        <v>18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19</v>
      </c>
      <c r="I38" s="191">
        <v>18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20</v>
      </c>
      <c r="I39" s="191">
        <v>18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21</v>
      </c>
      <c r="I40" s="191">
        <v>18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22</v>
      </c>
      <c r="I41" s="191">
        <v>18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23</v>
      </c>
      <c r="I42" s="191">
        <v>18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>
        <v>24</v>
      </c>
      <c r="I43" s="191">
        <v>18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>
        <v>25</v>
      </c>
      <c r="I44" s="191">
        <v>18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Séquoia toujours vert</v>
      </c>
      <c r="C45" s="4"/>
      <c r="D45" s="4"/>
      <c r="E45" s="4"/>
      <c r="F45" s="230"/>
      <c r="G45" s="203"/>
      <c r="H45" s="190">
        <v>26</v>
      </c>
      <c r="I45" s="191">
        <v>18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>
        <v>27</v>
      </c>
      <c r="I46" s="191">
        <v>18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28</v>
      </c>
      <c r="I47" s="191">
        <v>18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600</v>
      </c>
      <c r="F48" s="231"/>
      <c r="G48" s="203"/>
      <c r="H48" s="190">
        <v>29</v>
      </c>
      <c r="I48" s="191">
        <v>18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>
        <v>3000</v>
      </c>
      <c r="F49" s="231"/>
      <c r="G49" s="204"/>
      <c r="H49" s="190">
        <v>30</v>
      </c>
      <c r="I49" s="191">
        <v>18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>
        <v>720</v>
      </c>
      <c r="F50" s="231"/>
      <c r="G50" s="23"/>
      <c r="H50" s="190">
        <v>31</v>
      </c>
      <c r="I50" s="191">
        <v>18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>
        <v>270</v>
      </c>
      <c r="F51" s="231"/>
      <c r="G51" s="23"/>
      <c r="H51" s="190">
        <v>32</v>
      </c>
      <c r="I51" s="191">
        <v>18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>
        <v>450</v>
      </c>
      <c r="F52" s="231"/>
      <c r="G52" s="23"/>
      <c r="H52" s="190">
        <v>33</v>
      </c>
      <c r="I52" s="191">
        <v>18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34</v>
      </c>
      <c r="I53" s="191">
        <v>18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20</v>
      </c>
      <c r="B54" s="181">
        <f>'Données projet'!D62</f>
        <v>27.761580000000002</v>
      </c>
      <c r="C54" s="191">
        <v>5.0000004698391898</v>
      </c>
      <c r="D54" s="179">
        <f>B54*C54</f>
        <v>138.80791304347827</v>
      </c>
      <c r="E54" s="193"/>
      <c r="F54" s="232"/>
      <c r="G54" s="205"/>
      <c r="H54" s="190">
        <v>35</v>
      </c>
      <c r="I54" s="191">
        <v>18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25</v>
      </c>
      <c r="B55" s="181">
        <f>'Données projet'!D63</f>
        <v>32.809139999999999</v>
      </c>
      <c r="C55" s="191">
        <v>5.0000011926687131</v>
      </c>
      <c r="D55" s="179">
        <f t="shared" ref="D55:D73" si="4">B55*C55</f>
        <v>164.04573913043478</v>
      </c>
      <c r="E55" s="193"/>
      <c r="F55" s="232"/>
      <c r="G55" s="205"/>
      <c r="H55" s="190">
        <v>36</v>
      </c>
      <c r="I55" s="191">
        <v>18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30</v>
      </c>
      <c r="B56" s="181">
        <f>'Données projet'!D64</f>
        <v>32.809139999999999</v>
      </c>
      <c r="C56" s="191">
        <v>5.0000011926687131</v>
      </c>
      <c r="D56" s="179">
        <f t="shared" si="4"/>
        <v>164.04573913043478</v>
      </c>
      <c r="E56" s="193"/>
      <c r="F56" s="232"/>
      <c r="G56" s="205"/>
      <c r="H56" s="190">
        <v>37</v>
      </c>
      <c r="I56" s="191">
        <v>18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35</v>
      </c>
      <c r="B57" s="181">
        <f>'Données projet'!D65</f>
        <v>32.809139999999999</v>
      </c>
      <c r="C57" s="191">
        <v>5.0000011926687131</v>
      </c>
      <c r="D57" s="179">
        <f t="shared" si="4"/>
        <v>164.04573913043478</v>
      </c>
      <c r="E57" s="193"/>
      <c r="F57" s="232"/>
      <c r="G57" s="205"/>
      <c r="H57" s="190">
        <v>38</v>
      </c>
      <c r="I57" s="191">
        <v>18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40</v>
      </c>
      <c r="B58" s="181">
        <f>'Données projet'!D66</f>
        <v>32.809139999999999</v>
      </c>
      <c r="C58" s="191">
        <v>22.500000066259375</v>
      </c>
      <c r="D58" s="179">
        <f t="shared" si="4"/>
        <v>738.20565217391311</v>
      </c>
      <c r="E58" s="193"/>
      <c r="F58" s="232"/>
      <c r="G58" s="205"/>
      <c r="H58" s="190">
        <v>39</v>
      </c>
      <c r="I58" s="191">
        <v>18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45</v>
      </c>
      <c r="B59" s="181">
        <f>'Données projet'!D67</f>
        <v>27.220770000000002</v>
      </c>
      <c r="C59" s="191">
        <v>22.499999241308238</v>
      </c>
      <c r="D59" s="179">
        <f t="shared" si="4"/>
        <v>612.46730434782614</v>
      </c>
      <c r="E59" s="193"/>
      <c r="F59" s="232"/>
      <c r="G59" s="205"/>
      <c r="H59" s="190">
        <v>40</v>
      </c>
      <c r="I59" s="191">
        <v>18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50</v>
      </c>
      <c r="B60" s="181">
        <f>'Données projet'!D68</f>
        <v>23.254830000000002</v>
      </c>
      <c r="C60" s="191">
        <v>29.499999710205131</v>
      </c>
      <c r="D60" s="179">
        <f t="shared" si="4"/>
        <v>686.01747826086967</v>
      </c>
      <c r="E60" s="193"/>
      <c r="F60" s="232"/>
      <c r="G60" s="206"/>
      <c r="H60" s="190">
        <v>41</v>
      </c>
      <c r="I60" s="191">
        <v>18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55</v>
      </c>
      <c r="B61" s="181">
        <f>'Données projet'!D69</f>
        <v>20.190240000000003</v>
      </c>
      <c r="C61" s="191">
        <v>29.500000344548734</v>
      </c>
      <c r="D61" s="179">
        <f t="shared" si="4"/>
        <v>595.61208695652169</v>
      </c>
      <c r="E61" s="193"/>
      <c r="F61" s="232"/>
      <c r="G61" s="206"/>
      <c r="H61" s="190">
        <v>42</v>
      </c>
      <c r="I61" s="191">
        <v>18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60</v>
      </c>
      <c r="B62" s="181">
        <f>'Données projet'!D70</f>
        <v>17.486190000000001</v>
      </c>
      <c r="C62" s="191">
        <v>29.500000211346908</v>
      </c>
      <c r="D62" s="179">
        <f t="shared" si="4"/>
        <v>515.84260869565219</v>
      </c>
      <c r="E62" s="193"/>
      <c r="F62" s="232"/>
      <c r="G62" s="206"/>
      <c r="H62" s="190">
        <v>43</v>
      </c>
      <c r="I62" s="191">
        <v>18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65</v>
      </c>
      <c r="B63" s="181">
        <f>'Données projet'!D71</f>
        <v>15.503220000000001</v>
      </c>
      <c r="C63" s="191">
        <v>29.499997840560809</v>
      </c>
      <c r="D63" s="179">
        <f t="shared" si="4"/>
        <v>457.34495652173916</v>
      </c>
      <c r="E63" s="193"/>
      <c r="F63" s="232"/>
      <c r="G63" s="206"/>
      <c r="H63" s="190">
        <v>44</v>
      </c>
      <c r="I63" s="191">
        <v>18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70</v>
      </c>
      <c r="B64" s="181">
        <f>'Données projet'!D72</f>
        <v>13.520250000000001</v>
      </c>
      <c r="C64" s="191">
        <v>29.50000120592059</v>
      </c>
      <c r="D64" s="179">
        <f t="shared" si="4"/>
        <v>398.84739130434787</v>
      </c>
      <c r="E64" s="193"/>
      <c r="F64" s="232"/>
      <c r="G64" s="206"/>
      <c r="H64" s="190">
        <v>45</v>
      </c>
      <c r="I64" s="191">
        <v>18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75</v>
      </c>
      <c r="B65" s="181">
        <f>'Données projet'!D73</f>
        <v>11.717550000000001</v>
      </c>
      <c r="C65" s="191">
        <v>29.50000120592059</v>
      </c>
      <c r="D65" s="179">
        <f t="shared" si="4"/>
        <v>345.66773913043482</v>
      </c>
      <c r="E65" s="193"/>
      <c r="F65" s="232"/>
      <c r="G65" s="206"/>
      <c r="H65" s="190">
        <v>46</v>
      </c>
      <c r="I65" s="191">
        <v>18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80</v>
      </c>
      <c r="B66" s="181">
        <f>'Données projet'!D74</f>
        <v>372.97863000000001</v>
      </c>
      <c r="C66" s="191">
        <v>29.499999946960475</v>
      </c>
      <c r="D66" s="179">
        <f t="shared" si="4"/>
        <v>11002.86956521739</v>
      </c>
      <c r="E66" s="193"/>
      <c r="F66" s="232"/>
      <c r="G66" s="206"/>
      <c r="H66" s="190">
        <v>47</v>
      </c>
      <c r="I66" s="191">
        <v>18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>
        <v>48</v>
      </c>
      <c r="I67" s="191">
        <v>18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>
        <v>49</v>
      </c>
      <c r="I68" s="191">
        <v>18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>
        <v>50</v>
      </c>
      <c r="I69" s="191">
        <v>18</v>
      </c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>
        <v>51</v>
      </c>
      <c r="I70" s="191">
        <v>18</v>
      </c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>
        <v>52</v>
      </c>
      <c r="I71" s="191">
        <v>18</v>
      </c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53</v>
      </c>
      <c r="I72" s="191">
        <v>18</v>
      </c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54</v>
      </c>
      <c r="I73" s="191">
        <v>18</v>
      </c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>
        <v>55</v>
      </c>
      <c r="I74" s="191">
        <v>18</v>
      </c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>
        <v>56</v>
      </c>
      <c r="I75" s="191">
        <v>18</v>
      </c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Pin laricio</v>
      </c>
      <c r="C76" s="4"/>
      <c r="D76" s="4"/>
      <c r="E76" s="4"/>
      <c r="F76" s="230"/>
      <c r="G76" s="206"/>
      <c r="H76" s="190">
        <v>57</v>
      </c>
      <c r="I76" s="191">
        <v>18</v>
      </c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>
        <v>58</v>
      </c>
      <c r="I77" s="191">
        <v>18</v>
      </c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59</v>
      </c>
      <c r="I78" s="191">
        <v>18</v>
      </c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600</v>
      </c>
      <c r="F79" s="231"/>
      <c r="G79" s="206"/>
      <c r="H79" s="190">
        <v>60</v>
      </c>
      <c r="I79" s="191">
        <v>18</v>
      </c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>
        <f>1918+400+45</f>
        <v>2363</v>
      </c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>
        <v>720</v>
      </c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>
        <v>270</v>
      </c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>
        <v>450</v>
      </c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22</v>
      </c>
      <c r="B85" s="181">
        <f>'Données projet'!D88</f>
        <v>16</v>
      </c>
      <c r="C85" s="191">
        <v>8.5</v>
      </c>
      <c r="D85" s="179">
        <f>B85*C85</f>
        <v>136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25</v>
      </c>
      <c r="B86" s="181">
        <f>'Données projet'!D89</f>
        <v>17</v>
      </c>
      <c r="C86" s="191">
        <v>8.5</v>
      </c>
      <c r="D86" s="179">
        <f t="shared" ref="D86:D104" si="6">B86*C86</f>
        <v>144.5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30</v>
      </c>
      <c r="B87" s="181">
        <f>'Données projet'!D90</f>
        <v>34</v>
      </c>
      <c r="C87" s="191">
        <v>15.500000000000002</v>
      </c>
      <c r="D87" s="179">
        <f t="shared" si="6"/>
        <v>527.00000000000011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35</v>
      </c>
      <c r="B88" s="181">
        <f>'Données projet'!D91</f>
        <v>41</v>
      </c>
      <c r="C88" s="191">
        <v>15.500000000000002</v>
      </c>
      <c r="D88" s="179">
        <f t="shared" si="6"/>
        <v>635.50000000000011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40</v>
      </c>
      <c r="B89" s="181">
        <f>'Données projet'!D92</f>
        <v>41</v>
      </c>
      <c r="C89" s="191">
        <v>15.500000000000002</v>
      </c>
      <c r="D89" s="179">
        <f t="shared" si="6"/>
        <v>635.50000000000011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45</v>
      </c>
      <c r="B90" s="181">
        <f>'Données projet'!D93</f>
        <v>53</v>
      </c>
      <c r="C90" s="191">
        <v>15.5</v>
      </c>
      <c r="D90" s="179">
        <f t="shared" si="6"/>
        <v>821.5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50</v>
      </c>
      <c r="B91" s="181">
        <f>'Données projet'!D94</f>
        <v>53</v>
      </c>
      <c r="C91" s="191">
        <v>29.5</v>
      </c>
      <c r="D91" s="179">
        <f t="shared" si="6"/>
        <v>1563.5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58</v>
      </c>
      <c r="B92" s="181">
        <f>'Données projet'!D95</f>
        <v>78</v>
      </c>
      <c r="C92" s="191">
        <v>29.5</v>
      </c>
      <c r="D92" s="179">
        <f t="shared" si="6"/>
        <v>2301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66</v>
      </c>
      <c r="B93" s="181">
        <f>'Données projet'!D96</f>
        <v>65</v>
      </c>
      <c r="C93" s="191">
        <v>29.5</v>
      </c>
      <c r="D93" s="179">
        <f t="shared" si="6"/>
        <v>1917.5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74</v>
      </c>
      <c r="B94" s="181">
        <f>'Données projet'!D97</f>
        <v>37</v>
      </c>
      <c r="C94" s="191">
        <v>29.499999999999996</v>
      </c>
      <c r="D94" s="179">
        <f t="shared" si="6"/>
        <v>1091.4999999999998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82</v>
      </c>
      <c r="B95" s="181">
        <f>'Données projet'!D98</f>
        <v>26</v>
      </c>
      <c r="C95" s="191">
        <v>29.5</v>
      </c>
      <c r="D95" s="179">
        <f t="shared" si="6"/>
        <v>767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90</v>
      </c>
      <c r="B96" s="181">
        <f>'Données projet'!D99</f>
        <v>596.20000000000005</v>
      </c>
      <c r="C96" s="191">
        <v>29.499999999999993</v>
      </c>
      <c r="D96" s="179">
        <f t="shared" si="6"/>
        <v>17587.899999999998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Pin de Salzmann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600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>
        <f>1918+400+45</f>
        <v>2363</v>
      </c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>
        <v>720</v>
      </c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>
        <v>270</v>
      </c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>
        <v>450</v>
      </c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22</v>
      </c>
      <c r="B116" s="181">
        <f>'Données projet'!D114</f>
        <v>16</v>
      </c>
      <c r="C116" s="191">
        <v>8.5</v>
      </c>
      <c r="D116" s="179">
        <f>B116*C116</f>
        <v>136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25</v>
      </c>
      <c r="B117" s="181">
        <f>'Données projet'!D115</f>
        <v>17</v>
      </c>
      <c r="C117" s="191">
        <v>8.5</v>
      </c>
      <c r="D117" s="179">
        <f t="shared" ref="D117:D135" si="8">B117*C117</f>
        <v>144.5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30</v>
      </c>
      <c r="B118" s="181">
        <f>'Données projet'!D116</f>
        <v>34</v>
      </c>
      <c r="C118" s="191">
        <v>15.500000000000002</v>
      </c>
      <c r="D118" s="179">
        <f t="shared" si="8"/>
        <v>527.00000000000011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35</v>
      </c>
      <c r="B119" s="181">
        <f>'Données projet'!D117</f>
        <v>41</v>
      </c>
      <c r="C119" s="191">
        <v>15.500000000000002</v>
      </c>
      <c r="D119" s="179">
        <f t="shared" si="8"/>
        <v>635.50000000000011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40</v>
      </c>
      <c r="B120" s="181">
        <f>'Données projet'!D118</f>
        <v>41</v>
      </c>
      <c r="C120" s="191">
        <v>15.500000000000002</v>
      </c>
      <c r="D120" s="179">
        <f t="shared" si="8"/>
        <v>635.50000000000011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45</v>
      </c>
      <c r="B121" s="181">
        <f>'Données projet'!D119</f>
        <v>53</v>
      </c>
      <c r="C121" s="191">
        <v>15.5</v>
      </c>
      <c r="D121" s="179">
        <f t="shared" si="8"/>
        <v>821.5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50</v>
      </c>
      <c r="B122" s="181">
        <f>'Données projet'!D120</f>
        <v>53</v>
      </c>
      <c r="C122" s="191">
        <v>29.5</v>
      </c>
      <c r="D122" s="179">
        <f t="shared" si="8"/>
        <v>1563.5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58</v>
      </c>
      <c r="B123" s="181">
        <f>'Données projet'!D121</f>
        <v>78</v>
      </c>
      <c r="C123" s="191">
        <v>29.5</v>
      </c>
      <c r="D123" s="179">
        <f t="shared" si="8"/>
        <v>2301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66</v>
      </c>
      <c r="B124" s="181">
        <f>'Données projet'!D122</f>
        <v>65</v>
      </c>
      <c r="C124" s="191">
        <v>29.5</v>
      </c>
      <c r="D124" s="179">
        <f t="shared" si="8"/>
        <v>1917.5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74</v>
      </c>
      <c r="B125" s="181">
        <f>'Données projet'!D123</f>
        <v>37</v>
      </c>
      <c r="C125" s="191">
        <v>29.499999999999996</v>
      </c>
      <c r="D125" s="179">
        <f t="shared" si="8"/>
        <v>1091.4999999999998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82</v>
      </c>
      <c r="B126" s="181">
        <f>'Données projet'!D124</f>
        <v>26</v>
      </c>
      <c r="C126" s="191">
        <v>29.5</v>
      </c>
      <c r="D126" s="179">
        <f t="shared" si="8"/>
        <v>767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90</v>
      </c>
      <c r="B127" s="181">
        <f>'Données projet'!D125</f>
        <v>596.20000000000005</v>
      </c>
      <c r="C127" s="191">
        <v>29.499999999999993</v>
      </c>
      <c r="D127" s="179">
        <f t="shared" si="8"/>
        <v>17587.899999999998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Pin taeda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600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>
        <f>1918+400+45</f>
        <v>2363</v>
      </c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>
        <v>720</v>
      </c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>
        <v>270</v>
      </c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>
        <v>450</v>
      </c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22</v>
      </c>
      <c r="B147" s="175">
        <f>'Données projet'!D140</f>
        <v>16</v>
      </c>
      <c r="C147" s="191">
        <v>8.5</v>
      </c>
      <c r="D147" s="182">
        <f>B147*C147</f>
        <v>136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25</v>
      </c>
      <c r="B148" s="175">
        <f>'Données projet'!D141</f>
        <v>17</v>
      </c>
      <c r="C148" s="191">
        <v>8.5</v>
      </c>
      <c r="D148" s="182">
        <f t="shared" ref="D148:D166" si="10">B148*C148</f>
        <v>144.5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30</v>
      </c>
      <c r="B149" s="175">
        <f>'Données projet'!D142</f>
        <v>34</v>
      </c>
      <c r="C149" s="191">
        <v>15.500000000000002</v>
      </c>
      <c r="D149" s="182">
        <f t="shared" si="10"/>
        <v>527.00000000000011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35</v>
      </c>
      <c r="B150" s="175">
        <f>'Données projet'!D143</f>
        <v>41</v>
      </c>
      <c r="C150" s="191">
        <v>15.500000000000002</v>
      </c>
      <c r="D150" s="182">
        <f t="shared" si="10"/>
        <v>635.50000000000011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40</v>
      </c>
      <c r="B151" s="175">
        <f>'Données projet'!D144</f>
        <v>41</v>
      </c>
      <c r="C151" s="191">
        <v>15.500000000000002</v>
      </c>
      <c r="D151" s="182">
        <f t="shared" si="10"/>
        <v>635.50000000000011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45</v>
      </c>
      <c r="B152" s="175">
        <f>'Données projet'!D145</f>
        <v>53</v>
      </c>
      <c r="C152" s="191">
        <v>15.5</v>
      </c>
      <c r="D152" s="182">
        <f t="shared" si="10"/>
        <v>821.5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50</v>
      </c>
      <c r="B153" s="175">
        <f>'Données projet'!D146</f>
        <v>53</v>
      </c>
      <c r="C153" s="191">
        <v>29.5</v>
      </c>
      <c r="D153" s="182">
        <f t="shared" si="10"/>
        <v>1563.5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58</v>
      </c>
      <c r="B154" s="175">
        <f>'Données projet'!D147</f>
        <v>78</v>
      </c>
      <c r="C154" s="191">
        <v>29.5</v>
      </c>
      <c r="D154" s="182">
        <f t="shared" si="10"/>
        <v>2301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66</v>
      </c>
      <c r="B155" s="175">
        <f>'Données projet'!D148</f>
        <v>65</v>
      </c>
      <c r="C155" s="191">
        <v>29.5</v>
      </c>
      <c r="D155" s="182">
        <f t="shared" si="10"/>
        <v>1917.5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74</v>
      </c>
      <c r="B156" s="175">
        <f>'Données projet'!D149</f>
        <v>37</v>
      </c>
      <c r="C156" s="191">
        <v>29.499999999999996</v>
      </c>
      <c r="D156" s="182">
        <f t="shared" si="10"/>
        <v>1091.4999999999998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82</v>
      </c>
      <c r="B157" s="175">
        <f>'Données projet'!D150</f>
        <v>26</v>
      </c>
      <c r="C157" s="191">
        <v>29.5</v>
      </c>
      <c r="D157" s="182">
        <f t="shared" si="10"/>
        <v>767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90</v>
      </c>
      <c r="B158" s="175">
        <f>'Données projet'!D151</f>
        <v>596.20000000000005</v>
      </c>
      <c r="C158" s="191">
        <v>29.499999999999993</v>
      </c>
      <c r="D158" s="182">
        <f t="shared" si="10"/>
        <v>17587.899999999998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>Pin laricio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v>600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>
        <f>1918+400+45</f>
        <v>2363</v>
      </c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>
        <v>720</v>
      </c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>
        <v>270</v>
      </c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>
        <v>450</v>
      </c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22</v>
      </c>
      <c r="B178" s="181">
        <f>'Données projet'!D166</f>
        <v>16</v>
      </c>
      <c r="C178" s="193">
        <v>8.5</v>
      </c>
      <c r="D178" s="179">
        <f>B178*C178</f>
        <v>136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25</v>
      </c>
      <c r="B179" s="181">
        <f>'Données projet'!D167</f>
        <v>17</v>
      </c>
      <c r="C179" s="193">
        <v>8.5</v>
      </c>
      <c r="D179" s="179">
        <f t="shared" ref="D179:D197" si="11">B179*C179</f>
        <v>144.5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30</v>
      </c>
      <c r="B180" s="181">
        <f>'Données projet'!D168</f>
        <v>34</v>
      </c>
      <c r="C180" s="193">
        <v>15.500000000000002</v>
      </c>
      <c r="D180" s="179">
        <f t="shared" si="11"/>
        <v>527.00000000000011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35</v>
      </c>
      <c r="B181" s="181">
        <f>'Données projet'!D169</f>
        <v>41</v>
      </c>
      <c r="C181" s="193">
        <v>15.500000000000002</v>
      </c>
      <c r="D181" s="179">
        <f t="shared" si="11"/>
        <v>635.50000000000011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40</v>
      </c>
      <c r="B182" s="181">
        <f>'Données projet'!D170</f>
        <v>41</v>
      </c>
      <c r="C182" s="193">
        <v>15.500000000000002</v>
      </c>
      <c r="D182" s="179">
        <f t="shared" si="11"/>
        <v>635.50000000000011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45</v>
      </c>
      <c r="B183" s="181">
        <f>'Données projet'!D171</f>
        <v>53</v>
      </c>
      <c r="C183" s="193">
        <v>15.5</v>
      </c>
      <c r="D183" s="179">
        <f t="shared" si="11"/>
        <v>821.5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50</v>
      </c>
      <c r="B184" s="181">
        <f>'Données projet'!D172</f>
        <v>53</v>
      </c>
      <c r="C184" s="193">
        <v>29.5</v>
      </c>
      <c r="D184" s="179">
        <f t="shared" si="11"/>
        <v>1563.5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58</v>
      </c>
      <c r="B185" s="181">
        <f>'Données projet'!D173</f>
        <v>78</v>
      </c>
      <c r="C185" s="193">
        <v>29.5</v>
      </c>
      <c r="D185" s="179">
        <f t="shared" si="11"/>
        <v>2301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66</v>
      </c>
      <c r="B186" s="181">
        <f>'Données projet'!D174</f>
        <v>65</v>
      </c>
      <c r="C186" s="193">
        <v>29.5</v>
      </c>
      <c r="D186" s="179">
        <f t="shared" si="11"/>
        <v>1917.5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74</v>
      </c>
      <c r="B187" s="181">
        <f>'Données projet'!D175</f>
        <v>37</v>
      </c>
      <c r="C187" s="193">
        <v>29.499999999999996</v>
      </c>
      <c r="D187" s="179">
        <f t="shared" si="11"/>
        <v>1091.4999999999998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82</v>
      </c>
      <c r="B188" s="181">
        <f>'Données projet'!D176</f>
        <v>26</v>
      </c>
      <c r="C188" s="193">
        <v>29.5</v>
      </c>
      <c r="D188" s="179">
        <f t="shared" si="11"/>
        <v>767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90</v>
      </c>
      <c r="B189" s="181">
        <f>'Données projet'!D177</f>
        <v>596.20000000000005</v>
      </c>
      <c r="C189" s="193">
        <v>29.499999999999993</v>
      </c>
      <c r="D189" s="179">
        <f t="shared" si="11"/>
        <v>17587.899999999998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30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D577F764384C9CF62BBF77A2DD5E" ma:contentTypeVersion="16" ma:contentTypeDescription="Crée un document." ma:contentTypeScope="" ma:versionID="1b463674f62235156ff3623f477fff23">
  <xsd:schema xmlns:xsd="http://www.w3.org/2001/XMLSchema" xmlns:xs="http://www.w3.org/2001/XMLSchema" xmlns:p="http://schemas.microsoft.com/office/2006/metadata/properties" xmlns:ns2="4a0a9159-faee-4929-bc18-6e0874945fe3" xmlns:ns3="37d24cdf-bbc6-4946-8747-982d14624cd4" targetNamespace="http://schemas.microsoft.com/office/2006/metadata/properties" ma:root="true" ma:fieldsID="e5faca9408bca2fcda289e2ffaf76f9f" ns2:_="" ns3:_="">
    <xsd:import namespace="4a0a9159-faee-4929-bc18-6e0874945fe3"/>
    <xsd:import namespace="37d24cdf-bbc6-4946-8747-982d14624c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9159-faee-4929-bc18-6e0874945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9e1dfad2-4076-4263-af11-b79681bea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24cdf-bbc6-4946-8747-982d14624c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9e3389e-b7fc-4128-8a2b-a49d0477bdc5}" ma:internalName="TaxCatchAll" ma:showField="CatchAllData" ma:web="37d24cdf-bbc6-4946-8747-982d14624c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d24cdf-bbc6-4946-8747-982d14624cd4" xsi:nil="true"/>
    <lcf76f155ced4ddcb4097134ff3c332f xmlns="4a0a9159-faee-4929-bc18-6e0874945fe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4E50F50-9BDF-42E6-9433-C3E4366226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a9159-faee-4929-bc18-6e0874945fe3"/>
    <ds:schemaRef ds:uri="37d24cdf-bbc6-4946-8747-982d14624c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E27AED-16A6-4CF6-90FC-252DCE755E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8F28AA-24C9-4D1A-B276-45CFB6B287CF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dcmitype/"/>
    <ds:schemaRef ds:uri="37d24cdf-bbc6-4946-8747-982d14624cd4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4a0a9159-faee-4929-bc18-6e0874945fe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romain montagne</cp:lastModifiedBy>
  <dcterms:created xsi:type="dcterms:W3CDTF">2021-02-01T08:22:39Z</dcterms:created>
  <dcterms:modified xsi:type="dcterms:W3CDTF">2022-10-28T14:47:59Z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0x0101009032D577F764384C9CF62BBF77A2DD5E</vt:lpwstr>
  </property>
  <property fmtid="{D5CDD505-2E9C-101B-9397-08002B2CF9AE}" pid="3" name="MediaServiceImageTags">
    <vt:lpwstr/>
  </property>
</Properties>
</file>