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Contrats NIF - Propriétaires/2FONT-122 - B. Fricard - La Fontaine/Administration/LBC/Dossier-Octobre 2022/Annexes/"/>
    </mc:Choice>
  </mc:AlternateContent>
  <xr:revisionPtr revIDLastSave="192" documentId="11_832EBC973FF36A9F0A417D33E5FDCA6337D90D96" xr6:coauthVersionLast="47" xr6:coauthVersionMax="47" xr10:uidLastSave="{8E859EA6-6AD7-490D-B119-19421EB0AA49}"/>
  <bookViews>
    <workbookView xWindow="1560" yWindow="1728" windowWidth="17280" windowHeight="8964" tabRatio="727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1" i="6" l="1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Q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A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HH20" i="2"/>
  <c r="EC20" i="2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A38" i="2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EX43" i="2"/>
  <c r="EA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HG57" i="2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FS113" i="2"/>
  <c r="EX113" i="2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C122" i="2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X130" i="2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H146" i="2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B154" i="2"/>
  <c r="EX154" i="2"/>
  <c r="AA154" i="2"/>
  <c r="EV154" i="2"/>
  <c r="EC154" i="2"/>
  <c r="EA154" i="2"/>
  <c r="FS154" i="2"/>
  <c r="HI154" i="2"/>
  <c r="HJ154" i="2" s="1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EY154" i="2"/>
  <c r="ED154" i="2"/>
  <c r="DI154" i="2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H156" i="2" l="1"/>
  <c r="FS156" i="2"/>
  <c r="HG156" i="2"/>
  <c r="EY155" i="2"/>
  <c r="EX156" i="2"/>
  <c r="EB156" i="2"/>
  <c r="DH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HH157" i="2"/>
  <c r="EX157" i="2"/>
  <c r="EA157" i="2"/>
  <c r="EC157" i="2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W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D158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Y159" i="2"/>
  <c r="FS160" i="2"/>
  <c r="EC160" i="2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G161" i="2" l="1"/>
  <c r="HH161" i="2"/>
  <c r="EX161" i="2"/>
  <c r="ED160" i="2"/>
  <c r="EA161" i="2"/>
  <c r="EB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W162" i="2"/>
  <c r="ED161" i="2"/>
  <c r="EC162" i="2"/>
  <c r="DI161" i="2"/>
  <c r="HG162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HG163" i="2"/>
  <c r="HH163" i="2"/>
  <c r="ED162" i="2"/>
  <c r="EB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HG164" i="2"/>
  <c r="HH164" i="2"/>
  <c r="FR164" i="2"/>
  <c r="FS164" i="2"/>
  <c r="EX164" i="2"/>
  <c r="ED163" i="2"/>
  <c r="DI163" i="2"/>
  <c r="DH164" i="2"/>
  <c r="EA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X165" i="2"/>
  <c r="EB165" i="2"/>
  <c r="HG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HH167" i="2"/>
  <c r="HJ166" i="2"/>
  <c r="HI167" i="2"/>
  <c r="EX167" i="2"/>
  <c r="EC167" i="2"/>
  <c r="EA167" i="2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W168" i="2"/>
  <c r="EB168" i="2"/>
  <c r="HI168" i="2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W172" i="2"/>
  <c r="EA172" i="2"/>
  <c r="HI172" i="2"/>
  <c r="HG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W173" i="2"/>
  <c r="EX173" i="2"/>
  <c r="HJ172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EA178" i="2"/>
  <c r="ED177" i="2"/>
  <c r="EB178" i="2"/>
  <c r="HH178" i="2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B179" i="2"/>
  <c r="EV179" i="2"/>
  <c r="DF179" i="2"/>
  <c r="HG179" i="2"/>
  <c r="HI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HH185" i="2"/>
  <c r="HI185" i="2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FR186" i="2"/>
  <c r="EW186" i="2"/>
  <c r="HH186" i="2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HH187" i="2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V189" i="2" l="1"/>
  <c r="EY188" i="2"/>
  <c r="EB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EV190" i="2"/>
  <c r="EY189" i="2"/>
  <c r="ED189" i="2"/>
  <c r="EB190" i="2"/>
  <c r="EW190" i="2"/>
  <c r="HG190" i="2"/>
  <c r="HI190" i="2"/>
  <c r="EX190" i="2"/>
  <c r="EC190" i="2"/>
  <c r="ED190" i="2" s="1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HI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Y191" i="2"/>
  <c r="EC192" i="2"/>
  <c r="EV192" i="2"/>
  <c r="HH192" i="2"/>
  <c r="EB192" i="2"/>
  <c r="ED192" i="2" s="1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HI193" i="2"/>
  <c r="FQ193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HG195" i="2" l="1"/>
  <c r="EY194" i="2"/>
  <c r="DH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Y195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C197" i="2"/>
  <c r="HG197" i="2"/>
  <c r="EW197" i="2"/>
  <c r="EA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Y198" i="2"/>
  <c r="HG199" i="2"/>
  <c r="EW199" i="2"/>
  <c r="FS199" i="2"/>
  <c r="EA199" i="2"/>
  <c r="HH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EY200" i="2" l="1"/>
  <c r="HJ200" i="2"/>
  <c r="EA201" i="2"/>
  <c r="EB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HH202" i="2"/>
  <c r="EW202" i="2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62" i="2" a="1"/>
  <c r="AH62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DN187" i="2" a="1"/>
  <c r="DN187" i="2" s="1"/>
  <c r="HJ202" i="2"/>
  <c r="AX200" i="2"/>
  <c r="GT68" i="2" l="1" a="1"/>
  <c r="GT68" i="2" s="1"/>
  <c r="HH203" i="2"/>
  <c r="FR203" i="2"/>
  <c r="EY202" i="2"/>
  <c r="EI195" i="2" a="1"/>
  <c r="EI195" i="2" s="1"/>
  <c r="EI128" i="2" a="1"/>
  <c r="EI128" i="2" s="1"/>
  <c r="EI109" i="2" a="1"/>
  <c r="EI109" i="2" s="1"/>
  <c r="EI145" i="2" a="1"/>
  <c r="EI145" i="2" s="1"/>
  <c r="EI38" i="2" a="1"/>
  <c r="EI38" i="2" s="1"/>
  <c r="EI29" i="2" a="1"/>
  <c r="EI29" i="2" s="1"/>
  <c r="EI37" i="2" a="1"/>
  <c r="EI37" i="2" s="1"/>
  <c r="EI67" i="2" a="1"/>
  <c r="EI67" i="2" s="1"/>
  <c r="EI71" i="2" a="1"/>
  <c r="EI71" i="2" s="1"/>
  <c r="EI106" i="2" a="1"/>
  <c r="EI106" i="2" s="1"/>
  <c r="EI20" i="2" a="1"/>
  <c r="EI20" i="2" s="1"/>
  <c r="EI170" i="2" a="1"/>
  <c r="EI170" i="2" s="1"/>
  <c r="EI57" i="2" a="1"/>
  <c r="EI57" i="2" s="1"/>
  <c r="EI178" i="2" a="1"/>
  <c r="EI178" i="2" s="1"/>
  <c r="EI198" i="2" a="1"/>
  <c r="EI198" i="2" s="1"/>
  <c r="EI35" i="2" a="1"/>
  <c r="EI35" i="2" s="1"/>
  <c r="EI16" i="2" a="1"/>
  <c r="EI16" i="2" s="1"/>
  <c r="EI34" i="2" a="1"/>
  <c r="EI34" i="2" s="1"/>
  <c r="EI36" i="2" a="1"/>
  <c r="EI36" i="2" s="1"/>
  <c r="EI162" i="2" a="1"/>
  <c r="EI162" i="2" s="1"/>
  <c r="EI153" i="2" a="1"/>
  <c r="EI153" i="2" s="1"/>
  <c r="EI139" i="2" a="1"/>
  <c r="EI139" i="2" s="1"/>
  <c r="EI113" i="2" a="1"/>
  <c r="EI113" i="2" s="1"/>
  <c r="EI165" i="2" a="1"/>
  <c r="EI165" i="2" s="1"/>
  <c r="EI87" i="2" a="1"/>
  <c r="EI87" i="2" s="1"/>
  <c r="EI142" i="2" a="1"/>
  <c r="EI142" i="2" s="1"/>
  <c r="EI150" i="2" a="1"/>
  <c r="EI150" i="2" s="1"/>
  <c r="EI166" i="2" a="1"/>
  <c r="EI166" i="2" s="1"/>
  <c r="CS24" i="2" a="1"/>
  <c r="CS24" i="2" s="1"/>
  <c r="CS38" i="2" a="1"/>
  <c r="CS38" i="2" s="1"/>
  <c r="CS56" i="2" a="1"/>
  <c r="CS56" i="2" s="1"/>
  <c r="CS116" i="2" a="1"/>
  <c r="CS116" i="2" s="1"/>
  <c r="CS72" i="2" a="1"/>
  <c r="CS72" i="2" s="1"/>
  <c r="CS66" i="2" a="1"/>
  <c r="CS66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I203" i="2" s="1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CN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GE114" i="2" l="1"/>
  <c r="GE11" i="2"/>
  <c r="GE129" i="2"/>
  <c r="GE78" i="2"/>
  <c r="GE49" i="2"/>
  <c r="GE133" i="2"/>
  <c r="GE44" i="2"/>
  <c r="GE170" i="2"/>
  <c r="GE36" i="2"/>
  <c r="GE97" i="2"/>
  <c r="GE35" i="2"/>
  <c r="GE161" i="2"/>
  <c r="GE50" i="2"/>
  <c r="GE95" i="2"/>
  <c r="GE115" i="2"/>
  <c r="GE54" i="2"/>
  <c r="GE15" i="2"/>
  <c r="GE106" i="2"/>
  <c r="GE21" i="2"/>
  <c r="GE24" i="2"/>
  <c r="GE61" i="2"/>
  <c r="GE146" i="2"/>
  <c r="GE185" i="2"/>
  <c r="GE121" i="2"/>
  <c r="GE177" i="2"/>
  <c r="GE52" i="2"/>
  <c r="GE51" i="2"/>
  <c r="GE132" i="2"/>
  <c r="GE159" i="2"/>
  <c r="GE137" i="2"/>
  <c r="GE101" i="2"/>
  <c r="GE58" i="2"/>
  <c r="GE179" i="2"/>
  <c r="GE64" i="2"/>
  <c r="GE186" i="2"/>
  <c r="GE70" i="2"/>
  <c r="GE142" i="2"/>
  <c r="GE135" i="2"/>
  <c r="GE10" i="2"/>
  <c r="GE169" i="2"/>
  <c r="GE191" i="2"/>
  <c r="GE188" i="2"/>
  <c r="GE91" i="2"/>
  <c r="GE43" i="2"/>
  <c r="GE143" i="2"/>
  <c r="GE195" i="2"/>
  <c r="GE42" i="2"/>
  <c r="GE59" i="2"/>
  <c r="GE17" i="2"/>
  <c r="GE134" i="2"/>
  <c r="GE174" i="2"/>
  <c r="GE53" i="2"/>
  <c r="GE93" i="2"/>
  <c r="GE94" i="2"/>
  <c r="GE125" i="2"/>
  <c r="GE117" i="2"/>
  <c r="GE77" i="2"/>
  <c r="GE100" i="2"/>
  <c r="GE162" i="2"/>
  <c r="GE89" i="2"/>
  <c r="GE178" i="2"/>
  <c r="GE47" i="2"/>
  <c r="GE25" i="2"/>
  <c r="GE157" i="2"/>
  <c r="GE189" i="2"/>
  <c r="GE62" i="2"/>
  <c r="GE120" i="2"/>
  <c r="GE140" i="2"/>
  <c r="GE63" i="2"/>
  <c r="GE158" i="2"/>
  <c r="GE193" i="2"/>
  <c r="GE104" i="2"/>
  <c r="GE155" i="2"/>
  <c r="GE46" i="2"/>
  <c r="GE136" i="2"/>
  <c r="GE74" i="2"/>
  <c r="GE156" i="2"/>
  <c r="GE105" i="2"/>
  <c r="GE85" i="2"/>
  <c r="GE154" i="2"/>
  <c r="GE84" i="2"/>
  <c r="GE148" i="2"/>
  <c r="GE199" i="2"/>
  <c r="GE141" i="2"/>
  <c r="GE192" i="2"/>
  <c r="GE110" i="2"/>
  <c r="GE33" i="2"/>
  <c r="GE8" i="2"/>
  <c r="GE29" i="2"/>
  <c r="GE60" i="2"/>
  <c r="GE28" i="2"/>
  <c r="GE200" i="2"/>
  <c r="GE12" i="2"/>
  <c r="GE65" i="2"/>
  <c r="GE7" i="2"/>
  <c r="GE127" i="2"/>
  <c r="GE102" i="2"/>
  <c r="GE203" i="2"/>
  <c r="GE40" i="2"/>
  <c r="GE184" i="2"/>
  <c r="GE34" i="2"/>
  <c r="GE166" i="2"/>
  <c r="GE22" i="2"/>
  <c r="GE37" i="2"/>
  <c r="GE71" i="2"/>
  <c r="GE145" i="2"/>
  <c r="GE123" i="2"/>
  <c r="GE175" i="2"/>
  <c r="GE30" i="2"/>
  <c r="GE19" i="2"/>
  <c r="GE90" i="2"/>
  <c r="GE82" i="2"/>
  <c r="GE73" i="2"/>
  <c r="GE4" i="2"/>
  <c r="GE66" i="2"/>
  <c r="GE126" i="2"/>
  <c r="GE153" i="2"/>
  <c r="GE119" i="2"/>
  <c r="GE9" i="2"/>
  <c r="GE109" i="2"/>
  <c r="GE176" i="2"/>
  <c r="GE187" i="2"/>
  <c r="GE168" i="2"/>
  <c r="GE165" i="2"/>
  <c r="GE113" i="2"/>
  <c r="GE6" i="2"/>
  <c r="GE69" i="2"/>
  <c r="GE183" i="2"/>
  <c r="GE182" i="2"/>
  <c r="GE48" i="2"/>
  <c r="GE122" i="2"/>
  <c r="GE107" i="2"/>
  <c r="GE68" i="2"/>
  <c r="GE172" i="2"/>
  <c r="GE198" i="2"/>
  <c r="GE75" i="2"/>
  <c r="GE41" i="2"/>
  <c r="GE20" i="2"/>
  <c r="GE14" i="2"/>
  <c r="GE13" i="2"/>
  <c r="GE139" i="2"/>
  <c r="GE138" i="2"/>
  <c r="GE57" i="2"/>
  <c r="GE45" i="2"/>
  <c r="GE88" i="2"/>
  <c r="GE5" i="2"/>
  <c r="GE181" i="2"/>
  <c r="GE83" i="2"/>
  <c r="GE27" i="2"/>
  <c r="GE86" i="2"/>
  <c r="GE31" i="2"/>
  <c r="GE151" i="2"/>
  <c r="GE194" i="2"/>
  <c r="GE112" i="2"/>
  <c r="GE81" i="2"/>
  <c r="GE202" i="2"/>
  <c r="GE108" i="2"/>
  <c r="GE197" i="2"/>
  <c r="GE87" i="2"/>
  <c r="GE164" i="2"/>
  <c r="GE150" i="2"/>
  <c r="GE171" i="2"/>
  <c r="GE149" i="2"/>
  <c r="GE103" i="2"/>
  <c r="GE72" i="2"/>
  <c r="GE173" i="2"/>
  <c r="GE111" i="2"/>
  <c r="GE23" i="2"/>
  <c r="GE147" i="2"/>
  <c r="GE26" i="2"/>
  <c r="GE201" i="2"/>
  <c r="GE96" i="2"/>
  <c r="GE130" i="2"/>
  <c r="GE118" i="2"/>
  <c r="GE144" i="2"/>
  <c r="GE98" i="2"/>
  <c r="GE38" i="2"/>
  <c r="GE116" i="2"/>
  <c r="GE32" i="2"/>
  <c r="GE180" i="2"/>
  <c r="GE152" i="2"/>
  <c r="GE128" i="2"/>
  <c r="GE92" i="2"/>
  <c r="GE160" i="2"/>
  <c r="GE55" i="2"/>
  <c r="GE76" i="2"/>
  <c r="GE18" i="2"/>
  <c r="GE163" i="2"/>
  <c r="GE124" i="2"/>
  <c r="GE79" i="2"/>
  <c r="GE80" i="2"/>
  <c r="GE190" i="2"/>
  <c r="GE56" i="2"/>
  <c r="GE16" i="2"/>
  <c r="GE67" i="2"/>
  <c r="GE131" i="2"/>
  <c r="GE167" i="2"/>
  <c r="GE99" i="2"/>
  <c r="GE3" i="2"/>
  <c r="C14" i="4" s="1"/>
  <c r="E14" i="4" s="1"/>
  <c r="F14" i="4" s="1"/>
  <c r="G14" i="4" s="1"/>
  <c r="L14" i="4" s="1"/>
  <c r="GE39" i="2"/>
  <c r="GE196" i="2"/>
  <c r="CD60" i="2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J195" i="2" l="1"/>
  <c r="FJ156" i="2"/>
  <c r="FJ51" i="2"/>
  <c r="FJ18" i="2"/>
  <c r="FJ187" i="2"/>
  <c r="FJ133" i="2"/>
  <c r="FJ31" i="2"/>
  <c r="FJ152" i="2"/>
  <c r="FJ149" i="2"/>
  <c r="FJ4" i="2"/>
  <c r="FJ116" i="2"/>
  <c r="FJ139" i="2"/>
  <c r="FJ40" i="2"/>
  <c r="FJ57" i="2"/>
  <c r="FJ99" i="2"/>
  <c r="FJ160" i="2"/>
  <c r="FJ37" i="2"/>
  <c r="FJ76" i="2"/>
  <c r="FJ115" i="2"/>
  <c r="FJ20" i="2"/>
  <c r="FJ23" i="2"/>
  <c r="FJ16" i="2"/>
  <c r="FJ38" i="2"/>
  <c r="FJ73" i="2"/>
  <c r="FJ201" i="2"/>
  <c r="FJ203" i="2"/>
  <c r="FJ186" i="2"/>
  <c r="FJ168" i="2"/>
  <c r="FJ83" i="2"/>
  <c r="FJ47" i="2"/>
  <c r="FJ172" i="2"/>
  <c r="FJ144" i="2"/>
  <c r="FJ122" i="2"/>
  <c r="FJ183" i="2"/>
  <c r="FJ134" i="2"/>
  <c r="FJ77" i="2"/>
  <c r="FJ145" i="2"/>
  <c r="FJ9" i="2"/>
  <c r="FJ49" i="2"/>
  <c r="FJ191" i="2"/>
  <c r="FJ128" i="2"/>
  <c r="FJ182" i="2"/>
  <c r="FJ185" i="2"/>
  <c r="FJ39" i="2"/>
  <c r="FJ158" i="2"/>
  <c r="FJ159" i="2"/>
  <c r="FJ146" i="2"/>
  <c r="FJ29" i="2"/>
  <c r="FJ6" i="2"/>
  <c r="FJ12" i="2"/>
  <c r="FJ127" i="2"/>
  <c r="FJ36" i="2"/>
  <c r="FJ174" i="2"/>
  <c r="FJ102" i="2"/>
  <c r="FJ167" i="2"/>
  <c r="FJ25" i="2"/>
  <c r="FJ71" i="2"/>
  <c r="FJ121" i="2"/>
  <c r="FJ192" i="2"/>
  <c r="FJ200" i="2"/>
  <c r="FJ181" i="2"/>
  <c r="FJ188" i="2"/>
  <c r="FJ136" i="2"/>
  <c r="FJ92" i="2"/>
  <c r="FJ105" i="2"/>
  <c r="FJ91" i="2"/>
  <c r="FJ97" i="2"/>
  <c r="FJ46" i="2"/>
  <c r="FJ28" i="2"/>
  <c r="FJ129" i="2"/>
  <c r="FJ58" i="2"/>
  <c r="FJ119" i="2"/>
  <c r="FJ180" i="2"/>
  <c r="FJ165" i="2"/>
  <c r="FJ106" i="2"/>
  <c r="FJ87" i="2"/>
  <c r="FJ169" i="2"/>
  <c r="FJ3" i="2"/>
  <c r="C13" i="4" s="1"/>
  <c r="E13" i="4" s="1"/>
  <c r="F13" i="4" s="1"/>
  <c r="G13" i="4" s="1"/>
  <c r="L13" i="4" s="1"/>
  <c r="FJ104" i="2"/>
  <c r="FJ176" i="2"/>
  <c r="FJ202" i="2"/>
  <c r="FJ11" i="2"/>
  <c r="FJ81" i="2"/>
  <c r="FJ24" i="2"/>
  <c r="FJ155" i="2"/>
  <c r="FJ14" i="2"/>
  <c r="FJ82" i="2"/>
  <c r="FJ101" i="2"/>
  <c r="FJ64" i="2"/>
  <c r="FJ113" i="2"/>
  <c r="FJ93" i="2"/>
  <c r="FJ95" i="2"/>
  <c r="FJ171" i="2"/>
  <c r="FJ125" i="2"/>
  <c r="FJ80" i="2"/>
  <c r="FJ55" i="2"/>
  <c r="FJ88" i="2"/>
  <c r="FJ54" i="2"/>
  <c r="FJ26" i="2"/>
  <c r="FJ61" i="2"/>
  <c r="FJ52" i="2"/>
  <c r="FJ131" i="2"/>
  <c r="FJ123" i="2"/>
  <c r="FJ100" i="2"/>
  <c r="FJ78" i="2"/>
  <c r="FJ30" i="2"/>
  <c r="FJ135" i="2"/>
  <c r="FJ161" i="2"/>
  <c r="FJ32" i="2"/>
  <c r="FJ19" i="2"/>
  <c r="FJ190" i="2"/>
  <c r="FJ86" i="2"/>
  <c r="FJ110" i="2"/>
  <c r="FJ153" i="2"/>
  <c r="FJ108" i="2"/>
  <c r="FJ143" i="2"/>
  <c r="FJ66" i="2"/>
  <c r="FJ13" i="2"/>
  <c r="FJ147" i="2"/>
  <c r="FJ142" i="2"/>
  <c r="FJ197" i="2"/>
  <c r="FJ112" i="2"/>
  <c r="FJ132" i="2"/>
  <c r="FJ179" i="2"/>
  <c r="FJ173" i="2"/>
  <c r="FJ21" i="2"/>
  <c r="FJ7" i="2"/>
  <c r="FJ69" i="2"/>
  <c r="FJ65" i="2"/>
  <c r="FJ17" i="2"/>
  <c r="FJ50" i="2"/>
  <c r="FJ85" i="2"/>
  <c r="FJ194" i="2"/>
  <c r="FJ118" i="2"/>
  <c r="FJ124" i="2"/>
  <c r="FJ184" i="2"/>
  <c r="FJ151" i="2"/>
  <c r="FJ45" i="2"/>
  <c r="FJ164" i="2"/>
  <c r="FJ59" i="2"/>
  <c r="FJ27" i="2"/>
  <c r="FJ140" i="2"/>
  <c r="FJ193" i="2"/>
  <c r="FJ22" i="2"/>
  <c r="FJ137" i="2"/>
  <c r="FJ154" i="2"/>
  <c r="FJ60" i="2"/>
  <c r="FJ34" i="2"/>
  <c r="FJ189" i="2"/>
  <c r="FJ103" i="2"/>
  <c r="FJ63" i="2"/>
  <c r="FJ70" i="2"/>
  <c r="FJ10" i="2"/>
  <c r="FJ56" i="2"/>
  <c r="FJ178" i="2"/>
  <c r="FJ199" i="2"/>
  <c r="FJ33" i="2"/>
  <c r="FJ79" i="2"/>
  <c r="FJ177" i="2"/>
  <c r="FJ175" i="2"/>
  <c r="FJ84" i="2"/>
  <c r="FJ114" i="2"/>
  <c r="FJ8" i="2"/>
  <c r="FJ68" i="2"/>
  <c r="FJ111" i="2"/>
  <c r="FJ98" i="2"/>
  <c r="FJ74" i="2"/>
  <c r="FJ67" i="2"/>
  <c r="FJ162" i="2"/>
  <c r="FJ170" i="2"/>
  <c r="FJ43" i="2"/>
  <c r="FJ107" i="2"/>
  <c r="FJ15" i="2"/>
  <c r="FJ48" i="2"/>
  <c r="FJ62" i="2"/>
  <c r="FJ41" i="2"/>
  <c r="FJ96" i="2"/>
  <c r="FJ120" i="2"/>
  <c r="FJ166" i="2"/>
  <c r="FJ89" i="2"/>
  <c r="FJ44" i="2"/>
  <c r="FJ75" i="2"/>
  <c r="FJ198" i="2"/>
  <c r="FJ138" i="2"/>
  <c r="FJ35" i="2"/>
  <c r="FJ109" i="2"/>
  <c r="FJ72" i="2"/>
  <c r="FJ148" i="2"/>
  <c r="FJ196" i="2"/>
  <c r="FJ42" i="2"/>
  <c r="FJ157" i="2"/>
  <c r="FJ5" i="2"/>
  <c r="FJ90" i="2"/>
  <c r="FJ141" i="2"/>
  <c r="FJ150" i="2"/>
  <c r="FJ130" i="2"/>
  <c r="FJ94" i="2"/>
  <c r="FJ126" i="2"/>
  <c r="FJ163" i="2"/>
  <c r="FJ117" i="2"/>
  <c r="FJ53" i="2"/>
  <c r="FE197" i="2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<sst xmlns="http://schemas.openxmlformats.org/spreadsheetml/2006/main" count="1181" uniqueCount="327">
  <si>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</si>
  <si>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</si>
  <si>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</si>
  <si>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</si>
  <si>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</si>
  <si>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</si>
  <si>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</si>
  <si>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</si>
  <si>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</si>
  <si>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</si>
  <si>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</si>
  <si>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</si>
  <si>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</si>
  <si>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</si>
  <si>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</si>
  <si>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</si>
  <si>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</si>
  <si>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</si>
  <si>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</si>
  <si>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</si>
  <si>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</si>
  <si>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</si>
  <si>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</si>
  <si>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</si>
  <si>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</si>
  <si>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</si>
  <si>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</si>
  <si>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</si>
  <si>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</si>
  <si>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</si>
  <si>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</si>
  <si>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</si>
  <si>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</si>
  <si>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</si>
  <si>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</si>
  <si>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</si>
  <si>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</si>
  <si>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</si>
  <si>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</si>
  <si>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</si>
  <si>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</si>
  <si>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</si>
  <si>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</si>
  <si>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</si>
  <si>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</si>
  <si>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</si>
  <si>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</si>
  <si>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</si>
  <si>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</si>
  <si>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</si>
  <si>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</si>
  <si>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</si>
  <si>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</si>
  <si>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</si>
  <si>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</si>
  <si>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</si>
  <si>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</si>
  <si>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</si>
  <si>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</si>
  <si>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</si>
  <si>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</si>
  <si>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</si>
  <si>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</si>
  <si>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</si>
  <si>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</si>
  <si>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</si>
  <si>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</si>
  <si>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</si>
  <si>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</si>
  <si>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</si>
  <si>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</si>
  <si>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</si>
  <si>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</si>
  <si>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</si>
  <si>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</si>
  <si>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</si>
  <si>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</si>
  <si>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</si>
  <si>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</si>
  <si>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</si>
  <si>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</si>
  <si>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</si>
  <si>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</si>
  <si>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</si>
  <si>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</si>
  <si>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</si>
  <si>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</si>
  <si>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</si>
  <si>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</si>
  <si>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</si>
  <si>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</si>
  <si>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</si>
  <si>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</si>
  <si>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</si>
  <si>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</si>
  <si>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</si>
  <si>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</si>
  <si>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</si>
  <si>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</si>
  <si>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</si>
  <si>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</si>
  <si>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</si>
  <si>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</si>
  <si>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</si>
  <si>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</si>
  <si>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</si>
  <si>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</si>
  <si>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</si>
  <si>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</si>
  <si>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</si>
  <si>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</si>
  <si>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</si>
  <si>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</si>
  <si>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</si>
  <si>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</si>
  <si>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</si>
  <si>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</si>
  <si>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</si>
  <si>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</si>
  <si>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</si>
  <si>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</si>
  <si>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</si>
  <si>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</si>
  <si>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</si>
  <si>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</si>
  <si>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</si>
  <si>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</si>
  <si>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</si>
  <si>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</si>
  <si>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</si>
  <si>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</si>
  <si>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</si>
  <si>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</si>
  <si>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</si>
  <si>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</si>
  <si>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</si>
  <si>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</si>
  <si>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</si>
  <si>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</si>
  <si>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</si>
  <si>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</si>
  <si>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</si>
  <si>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</si>
  <si>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</si>
  <si>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</si>
  <si>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</si>
  <si>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</si>
  <si>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</si>
  <si>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</si>
  <si>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</si>
  <si>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</si>
  <si>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</si>
  <si>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</si>
  <si>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</si>
  <si>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</si>
  <si>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</si>
  <si>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</si>
  <si>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</si>
  <si>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</si>
  <si>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</si>
  <si>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</si>
  <si>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</si>
  <si>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</si>
  <si>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</si>
  <si>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</si>
  <si>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</si>
  <si>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</si>
  <si>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</si>
  <si>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</si>
  <si>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</si>
  <si>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</si>
  <si>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</si>
  <si>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</si>
  <si>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</si>
  <si>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</si>
  <si>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</si>
  <si>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</si>
  <si>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</si>
  <si>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</si>
  <si>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</si>
  <si>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</si>
  <si>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</si>
  <si>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</si>
  <si>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</si>
  <si>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</si>
  <si>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</si>
  <si>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</si>
  <si>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</si>
  <si>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</si>
  <si>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</si>
  <si>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</si>
  <si>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</si>
  <si>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</si>
  <si>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</si>
  <si>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</si>
  <si>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</si>
  <si>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</si>
  <si>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</si>
  <si>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</si>
  <si>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</si>
  <si>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</si>
  <si>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</si>
  <si>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</si>
  <si>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</si>
  <si>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</si>
  <si>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</si>
  <si>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</si>
  <si>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</si>
  <si>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</si>
  <si>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</si>
  <si>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</si>
  <si>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</si>
  <si>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</si>
  <si>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</si>
  <si>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</si>
  <si>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</si>
  <si>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</si>
  <si>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</si>
  <si>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</si>
  <si>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</si>
  <si>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</si>
  <si>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</si>
  <si>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</si>
  <si>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</si>
  <si>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</si>
  <si>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</si>
  <si>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</si>
  <si>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</si>
  <si>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</si>
  <si>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</si>
  <si>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</si>
  <si>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</si>
  <si>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</si>
  <si>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</si>
  <si>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</si>
  <si>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</si>
  <si>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</si>
  <si>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</si>
  <si>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</si>
  <si>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</si>
  <si>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</si>
  <si>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</si>
  <si>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</si>
  <si>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</si>
  <si>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</si>
  <si>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</si>
  <si>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</si>
  <si>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</si>
  <si>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</si>
  <si>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</si>
  <si>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</si>
  <si>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</si>
  <si>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</si>
  <si>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</si>
  <si>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</si>
  <si>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</si>
  <si>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</si>
  <si>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</si>
  <si>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</si>
  <si>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</si>
  <si>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</si>
  <si>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</si>
  <si>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</si>
  <si>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</si>
  <si>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</si>
  <si>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</si>
  <si>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</si>
  <si>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</si>
  <si>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</si>
  <si>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</si>
  <si>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</si>
  <si>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</si>
  <si>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</si>
  <si>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</si>
  <si>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</si>
  <si>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</si>
  <si>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</si>
  <si>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</si>
  <si>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</si>
  <si>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</si>
  <si>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</si>
  <si>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</si>
  <si>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</si>
  <si>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</si>
  <si>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</si>
  <si>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</si>
  <si>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</si>
  <si>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</si>
  <si>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</si>
  <si>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</si>
  <si>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</si>
  <si>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</si>
  <si>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</si>
  <si>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</si>
  <si>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</si>
  <si>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</si>
  <si>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</si>
  <si>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</si>
  <si>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</si>
  <si>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</si>
  <si>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</si>
  <si>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</si>
  <si>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</si>
  <si>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</si>
  <si>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</si>
  <si>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</si>
  <si>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</si>
  <si>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</si>
  <si>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</si>
  <si>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</si>
  <si>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</si>
  <si>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</si>
  <si>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</si>
  <si>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</si>
  <si>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</si>
  <si>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</si>
  <si>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</si>
  <si>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</si>
  <si>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</si>
  <si>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</si>
  <si>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</si>
  <si>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</si>
  <si>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</si>
  <si>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</si>
  <si>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Ajout coût rédaction DGD en année 2</t>
  </si>
  <si>
    <t xml:space="preserve">Ajout coût maitrise d'œuvre + étude de cas en année 1 </t>
  </si>
  <si>
    <t>Il y a un nouveau cycle de plantation de peupliers à l'issue de la coupe au bout de 26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</si>
</sst>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117.72474944809574</c:v>
                </c:pt>
                <c:pt idx="22">
                  <c:v>127.1409435652896</c:v>
                </c:pt>
                <c:pt idx="23">
                  <c:v>136.54024093843057</c:v>
                </c:pt>
                <c:pt idx="24">
                  <c:v>145.923970279027</c:v>
                </c:pt>
                <c:pt idx="25">
                  <c:v>155.29327512886556</c:v>
                </c:pt>
                <c:pt idx="26">
                  <c:v>164.64914953217098</c:v>
                </c:pt>
                <c:pt idx="27">
                  <c:v>173.99246515445861</c:v>
                </c:pt>
                <c:pt idx="28">
                  <c:v>183.32399225800415</c:v>
                </c:pt>
                <c:pt idx="29">
                  <c:v>192.64441617417944</c:v>
                </c:pt>
                <c:pt idx="30">
                  <c:v>201.954350415145</c:v>
                </c:pt>
                <c:pt idx="31">
                  <c:v>162.74342737221238</c:v>
                </c:pt>
                <c:pt idx="32">
                  <c:v>172.90134126179336</c:v>
                </c:pt>
                <c:pt idx="33">
                  <c:v>183.04522494888076</c:v>
                </c:pt>
                <c:pt idx="34">
                  <c:v>193.17596631436231</c:v>
                </c:pt>
                <c:pt idx="35">
                  <c:v>203.29435238958658</c:v>
                </c:pt>
                <c:pt idx="36">
                  <c:v>213.40108537115125</c:v>
                </c:pt>
                <c:pt idx="37">
                  <c:v>223.49679543820852</c:v>
                </c:pt>
                <c:pt idx="38">
                  <c:v>233.58205112932433</c:v>
                </c:pt>
                <c:pt idx="39">
                  <c:v>243.65736783107673</c:v>
                </c:pt>
                <c:pt idx="40">
                  <c:v>253.72321478750428</c:v>
                </c:pt>
                <c:pt idx="41">
                  <c:v>215.71900389754799</c:v>
                </c:pt>
                <c:pt idx="42">
                  <c:v>227.32535187982873</c:v>
                </c:pt>
                <c:pt idx="43">
                  <c:v>238.91813856816086</c:v>
                </c:pt>
                <c:pt idx="44">
                  <c:v>250.49811509434733</c:v>
                </c:pt>
                <c:pt idx="45">
                  <c:v>262.06595742232179</c:v>
                </c:pt>
                <c:pt idx="46">
                  <c:v>273.62227692796188</c:v>
                </c:pt>
                <c:pt idx="47">
                  <c:v>285.16762909642119</c:v>
                </c:pt>
                <c:pt idx="48">
                  <c:v>296.70252073615876</c:v>
                </c:pt>
                <c:pt idx="49">
                  <c:v>308.22741601166098</c:v>
                </c:pt>
                <c:pt idx="50">
                  <c:v>319.74274152614299</c:v>
                </c:pt>
                <c:pt idx="51">
                  <c:v>270.74529722893834</c:v>
                </c:pt>
                <c:pt idx="52">
                  <c:v>284.30059123871615</c:v>
                </c:pt>
                <c:pt idx="53">
                  <c:v>297.84141768671242</c:v>
                </c:pt>
                <c:pt idx="54">
                  <c:v>311.36852709156392</c:v>
                </c:pt>
                <c:pt idx="55">
                  <c:v>324.88259941909052</c:v>
                </c:pt>
                <c:pt idx="56">
                  <c:v>338.38425343574306</c:v>
                </c:pt>
                <c:pt idx="57">
                  <c:v>351.87405449055399</c:v>
                </c:pt>
                <c:pt idx="58">
                  <c:v>365.35252104096782</c:v>
                </c:pt>
                <c:pt idx="59">
                  <c:v>378.82013016511155</c:v>
                </c:pt>
                <c:pt idx="60">
                  <c:v>392.27732224909045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1.798593949207703</c:v>
                </c:pt>
                <c:pt idx="2">
                  <c:v>2.2256540279235608</c:v>
                </c:pt>
                <c:pt idx="3">
                  <c:v>2.7545128358231423</c:v>
                </c:pt>
                <c:pt idx="4">
                  <c:v>3.4095257388585782</c:v>
                </c:pt>
                <c:pt idx="5">
                  <c:v>4.2208952223887648</c:v>
                </c:pt>
                <c:pt idx="6">
                  <c:v>5.2260791338936876</c:v>
                </c:pt>
                <c:pt idx="7">
                  <c:v>6.4715390940870243</c:v>
                </c:pt>
                <c:pt idx="8">
                  <c:v>8.0149114684794363</c:v>
                </c:pt>
                <c:pt idx="9">
                  <c:v>9.927703296904788</c:v>
                </c:pt>
                <c:pt idx="10">
                  <c:v>12.298640452364912</c:v>
                </c:pt>
                <c:pt idx="11">
                  <c:v>15.237826229911176</c:v>
                </c:pt>
                <c:pt idx="12">
                  <c:v>18.88190702830537</c:v>
                </c:pt>
                <c:pt idx="13">
                  <c:v>23.400489619998314</c:v>
                </c:pt>
                <c:pt idx="14">
                  <c:v>29.004113995961465</c:v>
                </c:pt>
                <c:pt idx="15">
                  <c:v>35.954159767859231</c:v>
                </c:pt>
                <c:pt idx="16">
                  <c:v>44.575156154015268</c:v>
                </c:pt>
                <c:pt idx="17">
                  <c:v>55.270080077532498</c:v>
                </c:pt>
                <c:pt idx="18">
                  <c:v>68.539369353982067</c:v>
                </c:pt>
                <c:pt idx="19">
                  <c:v>85.004555175285915</c:v>
                </c:pt>
                <c:pt idx="20">
                  <c:v>105.43763861202622</c:v>
                </c:pt>
                <c:pt idx="21">
                  <c:v>130.79761024819999</c:v>
                </c:pt>
                <c:pt idx="22">
                  <c:v>162.27585351475153</c:v>
                </c:pt>
                <c:pt idx="23">
                  <c:v>201.35259721650723</c:v>
                </c:pt>
                <c:pt idx="24">
                  <c:v>249.86711159083032</c:v>
                </c:pt>
                <c:pt idx="25">
                  <c:v>310.10500044645312</c:v>
                </c:pt>
                <c:pt idx="26">
                  <c:v>263.02087901561271</c:v>
                </c:pt>
                <c:pt idx="27">
                  <c:v>286.67021485790582</c:v>
                </c:pt>
                <c:pt idx="28">
                  <c:v>310.27590864650665</c:v>
                </c:pt>
                <c:pt idx="29">
                  <c:v>333.84174556627698</c:v>
                </c:pt>
                <c:pt idx="30">
                  <c:v>357.37093282892039</c:v>
                </c:pt>
                <c:pt idx="31">
                  <c:v>380.86622096643327</c:v>
                </c:pt>
                <c:pt idx="32">
                  <c:v>404.32999360363414</c:v>
                </c:pt>
                <c:pt idx="33">
                  <c:v>333.67111403204058</c:v>
                </c:pt>
                <c:pt idx="34">
                  <c:v>357.20055648716988</c:v>
                </c:pt>
                <c:pt idx="35">
                  <c:v>380.69608129889815</c:v>
                </c:pt>
                <c:pt idx="36">
                  <c:v>404.16007448469958</c:v>
                </c:pt>
                <c:pt idx="37">
                  <c:v>427.59462255942753</c:v>
                </c:pt>
                <c:pt idx="38">
                  <c:v>451.00156481987352</c:v>
                </c:pt>
                <c:pt idx="39">
                  <c:v>474.38253420761703</c:v>
                </c:pt>
                <c:pt idx="40">
                  <c:v>401.9509850645498</c:v>
                </c:pt>
                <c:pt idx="41">
                  <c:v>424.53954501187883</c:v>
                </c:pt>
                <c:pt idx="42">
                  <c:v>447.10225323882634</c:v>
                </c:pt>
                <c:pt idx="43">
                  <c:v>469.6405967298063</c:v>
                </c:pt>
                <c:pt idx="44">
                  <c:v>492.15590821168718</c:v>
                </c:pt>
                <c:pt idx="45">
                  <c:v>514.64938862406336</c:v>
                </c:pt>
                <c:pt idx="46">
                  <c:v>537.1221254578071</c:v>
                </c:pt>
                <c:pt idx="47">
                  <c:v>456.25601907533405</c:v>
                </c:pt>
                <c:pt idx="48">
                  <c:v>477.26107481583023</c:v>
                </c:pt>
                <c:pt idx="49">
                  <c:v>498.24647653872233</c:v>
                </c:pt>
                <c:pt idx="50">
                  <c:v>519.21316784377643</c:v>
                </c:pt>
                <c:pt idx="51">
                  <c:v>540.16200996781845</c:v>
                </c:pt>
                <c:pt idx="52">
                  <c:v>561.09379195392091</c:v>
                </c:pt>
                <c:pt idx="53">
                  <c:v>582.00923922497179</c:v>
                </c:pt>
                <c:pt idx="54">
                  <c:v>506.87208815769242</c:v>
                </c:pt>
                <c:pt idx="55">
                  <c:v>526.31070153853602</c:v>
                </c:pt>
                <c:pt idx="56">
                  <c:v>545.73419984050929</c:v>
                </c:pt>
                <c:pt idx="57">
                  <c:v>565.14319633657283</c:v>
                </c:pt>
                <c:pt idx="58">
                  <c:v>584.53825877411907</c:v>
                </c:pt>
                <c:pt idx="59">
                  <c:v>603.91991418357372</c:v>
                </c:pt>
                <c:pt idx="60">
                  <c:v>623.28865303799364</c:v>
                </c:pt>
                <c:pt idx="61">
                  <c:v>525.80380205834774</c:v>
                </c:pt>
                <c:pt idx="62">
                  <c:v>542.86382775995639</c:v>
                </c:pt>
                <c:pt idx="63">
                  <c:v>559.91260066689722</c:v>
                </c:pt>
                <c:pt idx="64">
                  <c:v>576.95051144926185</c:v>
                </c:pt>
                <c:pt idx="65">
                  <c:v>593.9779258369382</c:v>
                </c:pt>
                <c:pt idx="66">
                  <c:v>610.99518689574109</c:v>
                </c:pt>
                <c:pt idx="67">
                  <c:v>628.00261703693161</c:v>
                </c:pt>
                <c:pt idx="68">
                  <c:v>4.959485612423072E-12</c:v>
                </c:pt>
                <c:pt idx="69">
                  <c:v>4.959485612423072E-12</c:v>
                </c:pt>
                <c:pt idx="70">
                  <c:v>4.959485612423072E-12</c:v>
                </c:pt>
                <c:pt idx="71">
                  <c:v>4.959485612423072E-12</c:v>
                </c:pt>
                <c:pt idx="72">
                  <c:v>4.959485612423072E-12</c:v>
                </c:pt>
                <c:pt idx="73">
                  <c:v>4.959485612423072E-12</c:v>
                </c:pt>
                <c:pt idx="74">
                  <c:v>4.959485612423072E-12</c:v>
                </c:pt>
                <c:pt idx="75">
                  <c:v>4.959485612423072E-12</c:v>
                </c:pt>
                <c:pt idx="76">
                  <c:v>4.959485612423072E-12</c:v>
                </c:pt>
                <c:pt idx="77">
                  <c:v>4.959485612423072E-12</c:v>
                </c:pt>
                <c:pt idx="78">
                  <c:v>4.959485612423072E-12</c:v>
                </c:pt>
                <c:pt idx="79">
                  <c:v>4.959485612423072E-12</c:v>
                </c:pt>
                <c:pt idx="80">
                  <c:v>4.959485612423072E-12</c:v>
                </c:pt>
                <c:pt idx="81">
                  <c:v>4.959485612423072E-12</c:v>
                </c:pt>
                <c:pt idx="82">
                  <c:v>4.959485612423072E-12</c:v>
                </c:pt>
                <c:pt idx="83">
                  <c:v>4.959485612423072E-12</c:v>
                </c:pt>
                <c:pt idx="84">
                  <c:v>4.959485612423072E-12</c:v>
                </c:pt>
                <c:pt idx="85">
                  <c:v>4.959485612423072E-12</c:v>
                </c:pt>
                <c:pt idx="86">
                  <c:v>4.959485612423072E-12</c:v>
                </c:pt>
                <c:pt idx="87">
                  <c:v>4.959485612423072E-12</c:v>
                </c:pt>
                <c:pt idx="88">
                  <c:v>4.959485612423072E-12</c:v>
                </c:pt>
                <c:pt idx="89">
                  <c:v>4.959485612423072E-12</c:v>
                </c:pt>
                <c:pt idx="90">
                  <c:v>4.959485612423072E-12</c:v>
                </c:pt>
                <c:pt idx="91">
                  <c:v>4.959485612423072E-12</c:v>
                </c:pt>
                <c:pt idx="92">
                  <c:v>4.959485612423072E-12</c:v>
                </c:pt>
                <c:pt idx="93">
                  <c:v>4.959485612423072E-12</c:v>
                </c:pt>
                <c:pt idx="94">
                  <c:v>4.959485612423072E-12</c:v>
                </c:pt>
                <c:pt idx="95">
                  <c:v>4.959485612423072E-12</c:v>
                </c:pt>
                <c:pt idx="96">
                  <c:v>4.959485612423072E-12</c:v>
                </c:pt>
                <c:pt idx="97">
                  <c:v>4.959485612423072E-12</c:v>
                </c:pt>
                <c:pt idx="98">
                  <c:v>4.959485612423072E-12</c:v>
                </c:pt>
                <c:pt idx="99">
                  <c:v>4.959485612423072E-12</c:v>
                </c:pt>
                <c:pt idx="100">
                  <c:v>4.959485612423072E-12</c:v>
                </c:pt>
                <c:pt idx="101">
                  <c:v>4.959485612423072E-12</c:v>
                </c:pt>
                <c:pt idx="102">
                  <c:v>4.959485612423072E-12</c:v>
                </c:pt>
                <c:pt idx="103">
                  <c:v>4.959485612423072E-12</c:v>
                </c:pt>
                <c:pt idx="104">
                  <c:v>4.959485612423072E-12</c:v>
                </c:pt>
                <c:pt idx="105">
                  <c:v>4.959485612423072E-12</c:v>
                </c:pt>
                <c:pt idx="106">
                  <c:v>4.959485612423072E-12</c:v>
                </c:pt>
                <c:pt idx="107">
                  <c:v>4.959485612423072E-12</c:v>
                </c:pt>
                <c:pt idx="108">
                  <c:v>4.959485612423072E-12</c:v>
                </c:pt>
                <c:pt idx="109">
                  <c:v>4.959485612423072E-12</c:v>
                </c:pt>
                <c:pt idx="110">
                  <c:v>4.959485612423072E-12</c:v>
                </c:pt>
                <c:pt idx="111">
                  <c:v>4.959485612423072E-12</c:v>
                </c:pt>
                <c:pt idx="112">
                  <c:v>4.959485612423072E-12</c:v>
                </c:pt>
                <c:pt idx="113">
                  <c:v>4.959485612423072E-12</c:v>
                </c:pt>
                <c:pt idx="114">
                  <c:v>4.959485612423072E-12</c:v>
                </c:pt>
                <c:pt idx="115">
                  <c:v>4.959485612423072E-12</c:v>
                </c:pt>
                <c:pt idx="116">
                  <c:v>4.959485612423072E-12</c:v>
                </c:pt>
                <c:pt idx="117">
                  <c:v>4.959485612423072E-12</c:v>
                </c:pt>
                <c:pt idx="118">
                  <c:v>4.959485612423072E-12</c:v>
                </c:pt>
                <c:pt idx="119">
                  <c:v>4.959485612423072E-12</c:v>
                </c:pt>
                <c:pt idx="120">
                  <c:v>4.959485612423072E-12</c:v>
                </c:pt>
                <c:pt idx="121">
                  <c:v>4.959485612423072E-12</c:v>
                </c:pt>
                <c:pt idx="122">
                  <c:v>4.959485612423072E-12</c:v>
                </c:pt>
                <c:pt idx="123">
                  <c:v>4.959485612423072E-12</c:v>
                </c:pt>
                <c:pt idx="124">
                  <c:v>4.959485612423072E-12</c:v>
                </c:pt>
                <c:pt idx="125">
                  <c:v>4.959485612423072E-12</c:v>
                </c:pt>
                <c:pt idx="126">
                  <c:v>4.959485612423072E-12</c:v>
                </c:pt>
                <c:pt idx="127">
                  <c:v>4.959485612423072E-12</c:v>
                </c:pt>
                <c:pt idx="128">
                  <c:v>4.959485612423072E-12</c:v>
                </c:pt>
                <c:pt idx="129">
                  <c:v>4.959485612423072E-12</c:v>
                </c:pt>
                <c:pt idx="130">
                  <c:v>4.959485612423072E-12</c:v>
                </c:pt>
                <c:pt idx="131">
                  <c:v>4.959485612423072E-12</c:v>
                </c:pt>
                <c:pt idx="132">
                  <c:v>4.959485612423072E-12</c:v>
                </c:pt>
                <c:pt idx="133">
                  <c:v>4.959485612423072E-12</c:v>
                </c:pt>
                <c:pt idx="134">
                  <c:v>4.959485612423072E-12</c:v>
                </c:pt>
                <c:pt idx="135">
                  <c:v>4.959485612423072E-12</c:v>
                </c:pt>
                <c:pt idx="136">
                  <c:v>4.959485612423072E-12</c:v>
                </c:pt>
                <c:pt idx="137">
                  <c:v>4.959485612423072E-12</c:v>
                </c:pt>
                <c:pt idx="138">
                  <c:v>4.959485612423072E-12</c:v>
                </c:pt>
                <c:pt idx="139">
                  <c:v>4.959485612423072E-12</c:v>
                </c:pt>
                <c:pt idx="140">
                  <c:v>4.959485612423072E-12</c:v>
                </c:pt>
                <c:pt idx="141">
                  <c:v>4.959485612423072E-12</c:v>
                </c:pt>
                <c:pt idx="142">
                  <c:v>4.959485612423072E-12</c:v>
                </c:pt>
                <c:pt idx="143">
                  <c:v>4.959485612423072E-12</c:v>
                </c:pt>
                <c:pt idx="144">
                  <c:v>4.959485612423072E-12</c:v>
                </c:pt>
                <c:pt idx="145">
                  <c:v>4.959485612423072E-12</c:v>
                </c:pt>
                <c:pt idx="146">
                  <c:v>4.959485612423072E-12</c:v>
                </c:pt>
                <c:pt idx="147">
                  <c:v>4.959485612423072E-12</c:v>
                </c:pt>
                <c:pt idx="148">
                  <c:v>4.959485612423072E-12</c:v>
                </c:pt>
                <c:pt idx="149">
                  <c:v>4.959485612423072E-12</c:v>
                </c:pt>
                <c:pt idx="150">
                  <c:v>4.959485612423072E-12</c:v>
                </c:pt>
                <c:pt idx="151">
                  <c:v>4.959485612423072E-12</c:v>
                </c:pt>
                <c:pt idx="152">
                  <c:v>4.959485612423072E-12</c:v>
                </c:pt>
                <c:pt idx="153">
                  <c:v>4.959485612423072E-12</c:v>
                </c:pt>
                <c:pt idx="154">
                  <c:v>4.959485612423072E-12</c:v>
                </c:pt>
                <c:pt idx="155">
                  <c:v>4.959485612423072E-12</c:v>
                </c:pt>
                <c:pt idx="156">
                  <c:v>4.959485612423072E-12</c:v>
                </c:pt>
                <c:pt idx="157">
                  <c:v>4.959485612423072E-12</c:v>
                </c:pt>
                <c:pt idx="158">
                  <c:v>4.959485612423072E-12</c:v>
                </c:pt>
                <c:pt idx="159">
                  <c:v>4.959485612423072E-12</c:v>
                </c:pt>
                <c:pt idx="160">
                  <c:v>4.959485612423072E-12</c:v>
                </c:pt>
                <c:pt idx="161">
                  <c:v>4.959485612423072E-12</c:v>
                </c:pt>
                <c:pt idx="162">
                  <c:v>4.959485612423072E-12</c:v>
                </c:pt>
                <c:pt idx="163">
                  <c:v>4.959485612423072E-12</c:v>
                </c:pt>
                <c:pt idx="164">
                  <c:v>4.959485612423072E-12</c:v>
                </c:pt>
                <c:pt idx="165">
                  <c:v>4.959485612423072E-12</c:v>
                </c:pt>
                <c:pt idx="166">
                  <c:v>4.959485612423072E-12</c:v>
                </c:pt>
                <c:pt idx="167">
                  <c:v>4.959485612423072E-12</c:v>
                </c:pt>
                <c:pt idx="168">
                  <c:v>4.959485612423072E-12</c:v>
                </c:pt>
                <c:pt idx="169">
                  <c:v>4.959485612423072E-12</c:v>
                </c:pt>
                <c:pt idx="170">
                  <c:v>4.959485612423072E-12</c:v>
                </c:pt>
                <c:pt idx="171">
                  <c:v>4.959485612423072E-12</c:v>
                </c:pt>
                <c:pt idx="172">
                  <c:v>4.959485612423072E-12</c:v>
                </c:pt>
                <c:pt idx="173">
                  <c:v>4.959485612423072E-12</c:v>
                </c:pt>
                <c:pt idx="174">
                  <c:v>4.959485612423072E-12</c:v>
                </c:pt>
                <c:pt idx="175">
                  <c:v>4.959485612423072E-12</c:v>
                </c:pt>
                <c:pt idx="176">
                  <c:v>4.959485612423072E-12</c:v>
                </c:pt>
                <c:pt idx="177">
                  <c:v>4.959485612423072E-12</c:v>
                </c:pt>
                <c:pt idx="178">
                  <c:v>4.959485612423072E-12</c:v>
                </c:pt>
                <c:pt idx="179">
                  <c:v>4.959485612423072E-12</c:v>
                </c:pt>
                <c:pt idx="180">
                  <c:v>4.959485612423072E-12</c:v>
                </c:pt>
                <c:pt idx="181">
                  <c:v>4.959485612423072E-12</c:v>
                </c:pt>
                <c:pt idx="182">
                  <c:v>4.959485612423072E-12</c:v>
                </c:pt>
                <c:pt idx="183">
                  <c:v>4.959485612423072E-12</c:v>
                </c:pt>
                <c:pt idx="184">
                  <c:v>4.959485612423072E-12</c:v>
                </c:pt>
                <c:pt idx="185">
                  <c:v>4.959485612423072E-12</c:v>
                </c:pt>
                <c:pt idx="186">
                  <c:v>4.959485612423072E-12</c:v>
                </c:pt>
                <c:pt idx="187">
                  <c:v>4.959485612423072E-12</c:v>
                </c:pt>
                <c:pt idx="188">
                  <c:v>4.959485612423072E-12</c:v>
                </c:pt>
                <c:pt idx="189">
                  <c:v>4.959485612423072E-12</c:v>
                </c:pt>
                <c:pt idx="190">
                  <c:v>4.959485612423072E-12</c:v>
                </c:pt>
                <c:pt idx="191">
                  <c:v>4.959485612423072E-12</c:v>
                </c:pt>
                <c:pt idx="192">
                  <c:v>4.959485612423072E-12</c:v>
                </c:pt>
                <c:pt idx="193">
                  <c:v>4.959485612423072E-12</c:v>
                </c:pt>
                <c:pt idx="194">
                  <c:v>4.959485612423072E-12</c:v>
                </c:pt>
                <c:pt idx="195">
                  <c:v>4.959485612423072E-12</c:v>
                </c:pt>
                <c:pt idx="196">
                  <c:v>4.959485612423072E-12</c:v>
                </c:pt>
                <c:pt idx="197">
                  <c:v>4.959485612423072E-12</c:v>
                </c:pt>
                <c:pt idx="198">
                  <c:v>4.959485612423072E-12</c:v>
                </c:pt>
                <c:pt idx="199">
                  <c:v>4.959485612423072E-12</c:v>
                </c:pt>
                <c:pt idx="200">
                  <c:v>4.959485612423072E-12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2.031907402748768</c:v>
                </c:pt>
                <c:pt idx="2">
                  <c:v>2.6623840980288702</c:v>
                </c:pt>
                <c:pt idx="3">
                  <c:v>3.4892924617433518</c:v>
                </c:pt>
                <c:pt idx="4">
                  <c:v>4.5740685657030165</c:v>
                </c:pt>
                <c:pt idx="5">
                  <c:v>5.9974322325810041</c:v>
                </c:pt>
                <c:pt idx="6">
                  <c:v>7.8654599863275783</c:v>
                </c:pt>
                <c:pt idx="7">
                  <c:v>10.317576370738935</c:v>
                </c:pt>
                <c:pt idx="8">
                  <c:v>13.53707131484501</c:v>
                </c:pt>
                <c:pt idx="9">
                  <c:v>17.764944205134721</c:v>
                </c:pt>
                <c:pt idx="10">
                  <c:v>23.318129731757608</c:v>
                </c:pt>
                <c:pt idx="11">
                  <c:v>30.613496000795752</c:v>
                </c:pt>
                <c:pt idx="12">
                  <c:v>40.19944770009392</c:v>
                </c:pt>
                <c:pt idx="13">
                  <c:v>52.797550388930141</c:v>
                </c:pt>
                <c:pt idx="14">
                  <c:v>69.357361279449364</c:v>
                </c:pt>
                <c:pt idx="15">
                  <c:v>91.128666622788032</c:v>
                </c:pt>
                <c:pt idx="16">
                  <c:v>119.75666445822681</c:v>
                </c:pt>
                <c:pt idx="17">
                  <c:v>157.40739759934175</c:v>
                </c:pt>
                <c:pt idx="18">
                  <c:v>152.63928887769075</c:v>
                </c:pt>
                <c:pt idx="19">
                  <c:v>167.36613849703656</c:v>
                </c:pt>
                <c:pt idx="20">
                  <c:v>182.06242044637693</c:v>
                </c:pt>
                <c:pt idx="21">
                  <c:v>183.8758659829856</c:v>
                </c:pt>
                <c:pt idx="22">
                  <c:v>205.0891292024188</c:v>
                </c:pt>
                <c:pt idx="23">
                  <c:v>226.25164550125564</c:v>
                </c:pt>
                <c:pt idx="24">
                  <c:v>247.36882925179307</c:v>
                </c:pt>
                <c:pt idx="25">
                  <c:v>268.44509403501723</c:v>
                </c:pt>
                <c:pt idx="26">
                  <c:v>244.79583422246174</c:v>
                </c:pt>
                <c:pt idx="27">
                  <c:v>267.41787510049454</c:v>
                </c:pt>
                <c:pt idx="28">
                  <c:v>289.99681160231404</c:v>
                </c:pt>
                <c:pt idx="29">
                  <c:v>312.53647021104257</c:v>
                </c:pt>
                <c:pt idx="30">
                  <c:v>335.04008037896625</c:v>
                </c:pt>
                <c:pt idx="31">
                  <c:v>289.99681160231404</c:v>
                </c:pt>
                <c:pt idx="32">
                  <c:v>314.07191886152782</c:v>
                </c:pt>
                <c:pt idx="33">
                  <c:v>338.10611860508033</c:v>
                </c:pt>
                <c:pt idx="34">
                  <c:v>362.10272554390014</c:v>
                </c:pt>
                <c:pt idx="35">
                  <c:v>386.06457932909711</c:v>
                </c:pt>
                <c:pt idx="36">
                  <c:v>342.1932186321871</c:v>
                </c:pt>
                <c:pt idx="37">
                  <c:v>364.6534648608133</c:v>
                </c:pt>
                <c:pt idx="38">
                  <c:v>387.08350012671559</c:v>
                </c:pt>
                <c:pt idx="39">
                  <c:v>409.48531996489623</c:v>
                </c:pt>
                <c:pt idx="40">
                  <c:v>431.86068387305687</c:v>
                </c:pt>
                <c:pt idx="41">
                  <c:v>396.25118655434966</c:v>
                </c:pt>
                <c:pt idx="42">
                  <c:v>421.69323961894696</c:v>
                </c:pt>
                <c:pt idx="43">
                  <c:v>447.10225323882656</c:v>
                </c:pt>
                <c:pt idx="44">
                  <c:v>472.48036714392646</c:v>
                </c:pt>
                <c:pt idx="45">
                  <c:v>497.8294726490094</c:v>
                </c:pt>
                <c:pt idx="46">
                  <c:v>447.61011165255627</c:v>
                </c:pt>
                <c:pt idx="47">
                  <c:v>469.69022691951341</c:v>
                </c:pt>
                <c:pt idx="48">
                  <c:v>491.74823970258649</c:v>
                </c:pt>
                <c:pt idx="49">
                  <c:v>513.78528004261909</c:v>
                </c:pt>
                <c:pt idx="50">
                  <c:v>535.80237321728112</c:v>
                </c:pt>
                <c:pt idx="51">
                  <c:v>500.61617734977295</c:v>
                </c:pt>
                <c:pt idx="52">
                  <c:v>524.92279412001812</c:v>
                </c:pt>
                <c:pt idx="53">
                  <c:v>549.20570960219959</c:v>
                </c:pt>
                <c:pt idx="54">
                  <c:v>573.46611798533252</c:v>
                </c:pt>
                <c:pt idx="55">
                  <c:v>597.7051042871891</c:v>
                </c:pt>
                <c:pt idx="56">
                  <c:v>558.55867937490257</c:v>
                </c:pt>
                <c:pt idx="57">
                  <c:v>580.03291566489895</c:v>
                </c:pt>
                <c:pt idx="58">
                  <c:v>601.49057626451452</c:v>
                </c:pt>
                <c:pt idx="59">
                  <c:v>622.93233512534789</c:v>
                </c:pt>
                <c:pt idx="60">
                  <c:v>644.35881606732414</c:v>
                </c:pt>
                <c:pt idx="61">
                  <c:v>625.95816246292009</c:v>
                </c:pt>
                <c:pt idx="62">
                  <c:v>647.88645878177363</c:v>
                </c:pt>
                <c:pt idx="63">
                  <c:v>669.79945190168917</c:v>
                </c:pt>
                <c:pt idx="64">
                  <c:v>691.69771238133637</c:v>
                </c:pt>
                <c:pt idx="65">
                  <c:v>713.58177174919854</c:v>
                </c:pt>
                <c:pt idx="66">
                  <c:v>698.86816757171925</c:v>
                </c:pt>
                <c:pt idx="67">
                  <c:v>719.36490268531418</c:v>
                </c:pt>
                <c:pt idx="68">
                  <c:v>739.84972164600129</c:v>
                </c:pt>
                <c:pt idx="69">
                  <c:v>760.32300046320086</c:v>
                </c:pt>
                <c:pt idx="70">
                  <c:v>780.78509326942469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5.421030793965155</c:v>
                </c:pt>
                <c:pt idx="2">
                  <c:v>10.593228152666363</c:v>
                </c:pt>
                <c:pt idx="3">
                  <c:v>15.685064802434397</c:v>
                </c:pt>
                <c:pt idx="4">
                  <c:v>20.72736524142859</c:v>
                </c:pt>
                <c:pt idx="5">
                  <c:v>25.734100142708613</c:v>
                </c:pt>
                <c:pt idx="6">
                  <c:v>30.71323896147959</c:v>
                </c:pt>
                <c:pt idx="7">
                  <c:v>35.669919297368793</c:v>
                </c:pt>
                <c:pt idx="8">
                  <c:v>40.607719691348933</c:v>
                </c:pt>
                <c:pt idx="9">
                  <c:v>45.529270416557658</c:v>
                </c:pt>
                <c:pt idx="10">
                  <c:v>50.436582950920531</c:v>
                </c:pt>
                <c:pt idx="11">
                  <c:v>55.331243197007772</c:v>
                </c:pt>
                <c:pt idx="12">
                  <c:v>60.214532172894138</c:v>
                </c:pt>
                <c:pt idx="13">
                  <c:v>65.087505218799393</c:v>
                </c:pt>
                <c:pt idx="14">
                  <c:v>69.951046091814831</c:v>
                </c:pt>
                <c:pt idx="15">
                  <c:v>74.805905144040807</c:v>
                </c:pt>
                <c:pt idx="16">
                  <c:v>79.65272702051341</c:v>
                </c:pt>
                <c:pt idx="17">
                  <c:v>84.492071231207262</c:v>
                </c:pt>
                <c:pt idx="18">
                  <c:v>89.324427742908711</c:v>
                </c:pt>
                <c:pt idx="19">
                  <c:v>94.150229006893596</c:v>
                </c:pt>
                <c:pt idx="20">
                  <c:v>98.969859382226218</c:v>
                </c:pt>
                <c:pt idx="21">
                  <c:v>103.78366262083948</c:v>
                </c:pt>
                <c:pt idx="22">
                  <c:v>108.59194788648983</c:v>
                </c:pt>
                <c:pt idx="23">
                  <c:v>113.39499464842184</c:v>
                </c:pt>
                <c:pt idx="24">
                  <c:v>118.19305669994577</c:v>
                </c:pt>
                <c:pt idx="25">
                  <c:v>122.98636548838016</c:v>
                </c:pt>
                <c:pt idx="26">
                  <c:v>127.77513289720537</c:v>
                </c:pt>
                <c:pt idx="27">
                  <c:v>132.55955358815487</c:v>
                </c:pt>
                <c:pt idx="28">
                  <c:v>137.33980698657572</c:v>
                </c:pt>
                <c:pt idx="29">
                  <c:v>142.1160589751963</c:v>
                </c:pt>
                <c:pt idx="30">
                  <c:v>146.88846334770702</c:v>
                </c:pt>
                <c:pt idx="31">
                  <c:v>151.65716306308596</c:v>
                </c:pt>
                <c:pt idx="32">
                  <c:v>156.42229133352976</c:v>
                </c:pt>
                <c:pt idx="33">
                  <c:v>161.18397257257254</c:v>
                </c:pt>
                <c:pt idx="34">
                  <c:v>165.9423232250526</c:v>
                </c:pt>
                <c:pt idx="35">
                  <c:v>170.69745249669219</c:v>
                </c:pt>
                <c:pt idx="36">
                  <c:v>175.44946299795288</c:v>
                </c:pt>
                <c:pt idx="37">
                  <c:v>180.19845131434079</c:v>
                </c:pt>
                <c:pt idx="38">
                  <c:v>184.94450851332246</c:v>
                </c:pt>
                <c:pt idx="39">
                  <c:v>189.68772059638104</c:v>
                </c:pt>
                <c:pt idx="40">
                  <c:v>194.42816890340285</c:v>
                </c:pt>
                <c:pt idx="41">
                  <c:v>199.16593047548631</c:v>
                </c:pt>
                <c:pt idx="42">
                  <c:v>203.90107838135944</c:v>
                </c:pt>
                <c:pt idx="43">
                  <c:v>208.63368201183309</c:v>
                </c:pt>
                <c:pt idx="44">
                  <c:v>213.3638073460925</c:v>
                </c:pt>
                <c:pt idx="45">
                  <c:v>218.09151719309725</c:v>
                </c:pt>
                <c:pt idx="46">
                  <c:v>222.81687141091859</c:v>
                </c:pt>
                <c:pt idx="47">
                  <c:v>227.53992710646682</c:v>
                </c:pt>
                <c:pt idx="48">
                  <c:v>232.26073881773922</c:v>
                </c:pt>
                <c:pt idx="49">
                  <c:v>236.97935868045394</c:v>
                </c:pt>
                <c:pt idx="50">
                  <c:v>241.69583658069553</c:v>
                </c:pt>
                <c:pt idx="51">
                  <c:v>246.41022029500422</c:v>
                </c:pt>
                <c:pt idx="52">
                  <c:v>251.12255561916814</c:v>
                </c:pt>
                <c:pt idx="53">
                  <c:v>255.83288648682719</c:v>
                </c:pt>
                <c:pt idx="54">
                  <c:v>260.54125507887341</c:v>
                </c:pt>
                <c:pt idx="55">
                  <c:v>265.24770192451803</c:v>
                </c:pt>
                <c:pt idx="56">
                  <c:v>269.9522659948002</c:v>
                </c:pt>
                <c:pt idx="57">
                  <c:v>218.95084600867349</c:v>
                </c:pt>
                <c:pt idx="58">
                  <c:v>231.24653615719913</c:v>
                </c:pt>
                <c:pt idx="59">
                  <c:v>243.52728965710412</c:v>
                </c:pt>
                <c:pt idx="60">
                  <c:v>255.79396623104984</c:v>
                </c:pt>
                <c:pt idx="61">
                  <c:v>268.04733635899896</c:v>
                </c:pt>
                <c:pt idx="62">
                  <c:v>280.28809428578745</c:v>
                </c:pt>
                <c:pt idx="63">
                  <c:v>292.51686863555472</c:v>
                </c:pt>
                <c:pt idx="64">
                  <c:v>304.734231157019</c:v>
                </c:pt>
                <c:pt idx="65">
                  <c:v>245.70903779858475</c:v>
                </c:pt>
                <c:pt idx="66">
                  <c:v>256.33883762489904</c:v>
                </c:pt>
                <c:pt idx="67">
                  <c:v>266.95866833431609</c:v>
                </c:pt>
                <c:pt idx="68">
                  <c:v>277.56898266245986</c:v>
                </c:pt>
                <c:pt idx="69">
                  <c:v>288.17019588234376</c:v>
                </c:pt>
                <c:pt idx="70">
                  <c:v>298.76269019823678</c:v>
                </c:pt>
                <c:pt idx="71">
                  <c:v>309.34681848337613</c:v>
                </c:pt>
                <c:pt idx="72">
                  <c:v>319.92290747907731</c:v>
                </c:pt>
                <c:pt idx="73">
                  <c:v>273.33806197781428</c:v>
                </c:pt>
                <c:pt idx="74">
                  <c:v>283.24823216852855</c:v>
                </c:pt>
                <c:pt idx="75">
                  <c:v>293.15063733120496</c:v>
                </c:pt>
                <c:pt idx="76">
                  <c:v>303.04557691994938</c:v>
                </c:pt>
                <c:pt idx="77">
                  <c:v>312.93332922365431</c:v>
                </c:pt>
                <c:pt idx="78">
                  <c:v>322.81415349793821</c:v>
                </c:pt>
                <c:pt idx="79">
                  <c:v>332.68829182226784</c:v>
                </c:pt>
                <c:pt idx="80">
                  <c:v>342.55597072496533</c:v>
                </c:pt>
                <c:pt idx="81">
                  <c:v>352.41740261109891</c:v>
                </c:pt>
                <c:pt idx="82">
                  <c:v>303.52807087420672</c:v>
                </c:pt>
                <c:pt idx="83">
                  <c:v>313.17440634860293</c:v>
                </c:pt>
                <c:pt idx="84">
                  <c:v>322.81415349793821</c:v>
                </c:pt>
                <c:pt idx="85">
                  <c:v>332.44753692321484</c:v>
                </c:pt>
                <c:pt idx="86">
                  <c:v>342.07476713829465</c:v>
                </c:pt>
                <c:pt idx="87">
                  <c:v>351.69604183365294</c:v>
                </c:pt>
                <c:pt idx="88">
                  <c:v>361.31154699455379</c:v>
                </c:pt>
                <c:pt idx="89">
                  <c:v>370.92145789392771</c:v>
                </c:pt>
                <c:pt idx="90">
                  <c:v>380.5259399769397</c:v>
                </c:pt>
                <c:pt idx="91">
                  <c:v>333.65127303114576</c:v>
                </c:pt>
                <c:pt idx="92">
                  <c:v>343.03715944917622</c:v>
                </c:pt>
                <c:pt idx="93">
                  <c:v>352.41740261109913</c:v>
                </c:pt>
                <c:pt idx="94">
                  <c:v>361.79217398953114</c:v>
                </c:pt>
                <c:pt idx="95">
                  <c:v>371.16163544045133</c:v>
                </c:pt>
                <c:pt idx="96">
                  <c:v>380.52593997693975</c:v>
                </c:pt>
                <c:pt idx="97">
                  <c:v>389.88523246274684</c:v>
                </c:pt>
                <c:pt idx="98">
                  <c:v>399.23965023576716</c:v>
                </c:pt>
                <c:pt idx="99">
                  <c:v>408.5893236700112</c:v>
                </c:pt>
                <c:pt idx="100">
                  <c:v>362.03248224980388</c:v>
                </c:pt>
                <c:pt idx="101">
                  <c:v>371.64198036591318</c:v>
                </c:pt>
                <c:pt idx="102">
                  <c:v>381.24606170046491</c:v>
                </c:pt>
                <c:pt idx="103">
                  <c:v>390.84488201315349</c:v>
                </c:pt>
                <c:pt idx="104">
                  <c:v>400.43858878529392</c:v>
                </c:pt>
                <c:pt idx="105">
                  <c:v>410.02732185188546</c:v>
                </c:pt>
                <c:pt idx="106">
                  <c:v>419.61121397144865</c:v>
                </c:pt>
                <c:pt idx="107">
                  <c:v>429.19039134107476</c:v>
                </c:pt>
                <c:pt idx="108">
                  <c:v>438.76497406308562</c:v>
                </c:pt>
                <c:pt idx="109">
                  <c:v>392.28426051645033</c:v>
                </c:pt>
                <c:pt idx="110">
                  <c:v>401.877212497367</c:v>
                </c:pt>
                <c:pt idx="111">
                  <c:v>411.46521112446572</c:v>
                </c:pt>
                <c:pt idx="112">
                  <c:v>421.04838814046872</c:v>
                </c:pt>
                <c:pt idx="113">
                  <c:v>430.62686879960853</c:v>
                </c:pt>
                <c:pt idx="114">
                  <c:v>440.20077232752482</c:v>
                </c:pt>
                <c:pt idx="115">
                  <c:v>449.77021233905924</c:v>
                </c:pt>
                <c:pt idx="116">
                  <c:v>459.33529721863329</c:v>
                </c:pt>
                <c:pt idx="117">
                  <c:v>468.89613046728908</c:v>
                </c:pt>
                <c:pt idx="118">
                  <c:v>420.62922327373423</c:v>
                </c:pt>
                <c:pt idx="119">
                  <c:v>430.50716628322613</c:v>
                </c:pt>
                <c:pt idx="120">
                  <c:v>440.38024004215623</c:v>
                </c:pt>
                <c:pt idx="121">
                  <c:v>450.24856913783066</c:v>
                </c:pt>
                <c:pt idx="122">
                  <c:v>460.11227224933896</c:v>
                </c:pt>
                <c:pt idx="123">
                  <c:v>469.97146255110812</c:v>
                </c:pt>
                <c:pt idx="124">
                  <c:v>479.82624808082892</c:v>
                </c:pt>
                <c:pt idx="125">
                  <c:v>489.67673207557601</c:v>
                </c:pt>
                <c:pt idx="126">
                  <c:v>499.52301327947504</c:v>
                </c:pt>
                <c:pt idx="127">
                  <c:v>509.36518622584526</c:v>
                </c:pt>
                <c:pt idx="128">
                  <c:v>519.20334149640132</c:v>
                </c:pt>
                <c:pt idx="129">
                  <c:v>529.03756595978723</c:v>
                </c:pt>
                <c:pt idx="130">
                  <c:v>457.6019440133644</c:v>
                </c:pt>
                <c:pt idx="131">
                  <c:v>467.82074583036041</c:v>
                </c:pt>
                <c:pt idx="132">
                  <c:v>478.03479180591199</c:v>
                </c:pt>
                <c:pt idx="133">
                  <c:v>488.24419789740051</c:v>
                </c:pt>
                <c:pt idx="134">
                  <c:v>498.44907481660289</c:v>
                </c:pt>
                <c:pt idx="135">
                  <c:v>508.64952837182028</c:v>
                </c:pt>
                <c:pt idx="136">
                  <c:v>518.84565978114017</c:v>
                </c:pt>
                <c:pt idx="137">
                  <c:v>529.03756595978723</c:v>
                </c:pt>
                <c:pt idx="138">
                  <c:v>539.22533978418505</c:v>
                </c:pt>
                <c:pt idx="139">
                  <c:v>549.40907033502174</c:v>
                </c:pt>
                <c:pt idx="140">
                  <c:v>559.58884312135865</c:v>
                </c:pt>
                <c:pt idx="141">
                  <c:v>569.7647402875873</c:v>
                </c:pt>
                <c:pt idx="142">
                  <c:v>498.62806796050137</c:v>
                </c:pt>
                <c:pt idx="143">
                  <c:v>509.00735995707652</c:v>
                </c:pt>
                <c:pt idx="144">
                  <c:v>519.38218040475988</c:v>
                </c:pt>
                <c:pt idx="145">
                  <c:v>529.75263121852242</c:v>
                </c:pt>
                <c:pt idx="146">
                  <c:v>540.11880999768607</c:v>
                </c:pt>
                <c:pt idx="147">
                  <c:v>550.48081028975832</c:v>
                </c:pt>
                <c:pt idx="148">
                  <c:v>560.83872183337041</c:v>
                </c:pt>
                <c:pt idx="149">
                  <c:v>571.1926307823386</c:v>
                </c:pt>
                <c:pt idx="150">
                  <c:v>581.54261991263581</c:v>
                </c:pt>
                <c:pt idx="151">
                  <c:v>591.88876881386648</c:v>
                </c:pt>
                <c:pt idx="152">
                  <c:v>602.23115406665897</c:v>
                </c:pt>
                <c:pt idx="153">
                  <c:v>612.56984940724294</c:v>
                </c:pt>
                <c:pt idx="154">
                  <c:v>537.43830596997384</c:v>
                </c:pt>
                <c:pt idx="155">
                  <c:v>547.98001550025356</c:v>
                </c:pt>
                <c:pt idx="156">
                  <c:v>558.51747199808938</c:v>
                </c:pt>
                <c:pt idx="157">
                  <c:v>569.05076700998518</c:v>
                </c:pt>
                <c:pt idx="158">
                  <c:v>579.57998841728181</c:v>
                </c:pt>
                <c:pt idx="159">
                  <c:v>590.10522064822896</c:v>
                </c:pt>
                <c:pt idx="160">
                  <c:v>600.62654487414534</c:v>
                </c:pt>
                <c:pt idx="161">
                  <c:v>611.14403919112021</c:v>
                </c:pt>
                <c:pt idx="162">
                  <c:v>621.65777878856363</c:v>
                </c:pt>
                <c:pt idx="163">
                  <c:v>632.16783610575919</c:v>
                </c:pt>
                <c:pt idx="164">
                  <c:v>642.6742809774737</c:v>
                </c:pt>
                <c:pt idx="165">
                  <c:v>653.17718076954986</c:v>
                </c:pt>
                <c:pt idx="166">
                  <c:v>578.50940373993558</c:v>
                </c:pt>
                <c:pt idx="167">
                  <c:v>589.39176997100537</c:v>
                </c:pt>
                <c:pt idx="168">
                  <c:v>600.26995296135385</c:v>
                </c:pt>
                <c:pt idx="169">
                  <c:v>611.14403919112021</c:v>
                </c:pt>
                <c:pt idx="170">
                  <c:v>622.0141118126852</c:v>
                </c:pt>
                <c:pt idx="171">
                  <c:v>632.88025083586865</c:v>
                </c:pt>
                <c:pt idx="172">
                  <c:v>643.74253329975556</c:v>
                </c:pt>
                <c:pt idx="173">
                  <c:v>654.60103343232129</c:v>
                </c:pt>
                <c:pt idx="174">
                  <c:v>665.45582279892153</c:v>
                </c:pt>
                <c:pt idx="175">
                  <c:v>676.30697044059389</c:v>
                </c:pt>
                <c:pt idx="176">
                  <c:v>687.1545430030252</c:v>
                </c:pt>
                <c:pt idx="177">
                  <c:v>697.99860485695592</c:v>
                </c:pt>
                <c:pt idx="178">
                  <c:v>625.9691250539953</c:v>
                </c:pt>
                <c:pt idx="179">
                  <c:v>637.22562239044953</c:v>
                </c:pt>
                <c:pt idx="180">
                  <c:v>648.47801217956589</c:v>
                </c:pt>
                <c:pt idx="181">
                  <c:v>659.72637571784514</c:v>
                </c:pt>
                <c:pt idx="182">
                  <c:v>670.97079130450447</c:v>
                </c:pt>
                <c:pt idx="183">
                  <c:v>682.21133440141864</c:v>
                </c:pt>
                <c:pt idx="184">
                  <c:v>693.44807778197492</c:v>
                </c:pt>
                <c:pt idx="185">
                  <c:v>704.68109166978627</c:v>
                </c:pt>
                <c:pt idx="186">
                  <c:v>715.91044386810165</c:v>
                </c:pt>
                <c:pt idx="187">
                  <c:v>727.13619988068274</c:v>
                </c:pt>
                <c:pt idx="188">
                  <c:v>738.3584230248274</c:v>
                </c:pt>
                <c:pt idx="189">
                  <c:v>749.57717453717396</c:v>
                </c:pt>
                <c:pt idx="190">
                  <c:v>760.7925136728436</c:v>
                </c:pt>
                <c:pt idx="191">
                  <c:v>772.00449779843495</c:v>
                </c:pt>
                <c:pt idx="192">
                  <c:v>783.21318247934266</c:v>
                </c:pt>
                <c:pt idx="193">
                  <c:v>5.8750878686422984E-12</c:v>
                </c:pt>
                <c:pt idx="194">
                  <c:v>5.8750878686422984E-12</c:v>
                </c:pt>
                <c:pt idx="195">
                  <c:v>5.8750878686422984E-12</c:v>
                </c:pt>
                <c:pt idx="196">
                  <c:v>5.8750878686422984E-12</c:v>
                </c:pt>
                <c:pt idx="197">
                  <c:v>5.8750878686422984E-12</c:v>
                </c:pt>
                <c:pt idx="198">
                  <c:v>5.8750878686422984E-12</c:v>
                </c:pt>
                <c:pt idx="199">
                  <c:v>5.8750878686422984E-12</c:v>
                </c:pt>
                <c:pt idx="200">
                  <c:v>5.8750878686422984E-12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6.6671761608511053</c:v>
                </c:pt>
                <c:pt idx="2">
                  <c:v>13.033663283069531</c:v>
                </c:pt>
                <c:pt idx="3">
                  <c:v>19.303042939455146</c:v>
                </c:pt>
                <c:pt idx="4">
                  <c:v>25.512563294459923</c:v>
                </c:pt>
                <c:pt idx="5">
                  <c:v>31.679106437289075</c:v>
                </c:pt>
                <c:pt idx="6">
                  <c:v>37.812302616472174</c:v>
                </c:pt>
                <c:pt idx="7">
                  <c:v>43.918360080877228</c:v>
                </c:pt>
                <c:pt idx="8">
                  <c:v>50.00160312094232</c:v>
                </c:pt>
                <c:pt idx="9">
                  <c:v>56.06521014514886</c:v>
                </c:pt>
                <c:pt idx="10">
                  <c:v>62.111611813038422</c:v>
                </c:pt>
                <c:pt idx="11">
                  <c:v>68.14272452108996</c:v>
                </c:pt>
                <c:pt idx="12">
                  <c:v>74.160096244932106</c:v>
                </c:pt>
                <c:pt idx="13">
                  <c:v>80.165002252238452</c:v>
                </c:pt>
                <c:pt idx="14">
                  <c:v>86.158510470515978</c:v>
                </c:pt>
                <c:pt idx="15">
                  <c:v>92.141527621369264</c:v>
                </c:pt>
                <c:pt idx="16">
                  <c:v>98.114832690532054</c:v>
                </c:pt>
                <c:pt idx="17">
                  <c:v>104.07910178696937</c:v>
                </c:pt>
                <c:pt idx="18">
                  <c:v>110.03492698401654</c:v>
                </c:pt>
                <c:pt idx="19">
                  <c:v>115.98283085356282</c:v>
                </c:pt>
                <c:pt idx="20">
                  <c:v>121.9232778531174</c:v>
                </c:pt>
                <c:pt idx="21">
                  <c:v>127.85668337074144</c:v>
                </c:pt>
                <c:pt idx="22">
                  <c:v>133.78342099832221</c:v>
                </c:pt>
                <c:pt idx="23">
                  <c:v>139.70382844505221</c:v>
                </c:pt>
                <c:pt idx="24">
                  <c:v>145.61821239345747</c:v>
                </c:pt>
                <c:pt idx="25">
                  <c:v>151.52685252328283</c:v>
                </c:pt>
                <c:pt idx="26">
                  <c:v>157.43000487343213</c:v>
                </c:pt>
                <c:pt idx="27">
                  <c:v>163.32790467213928</c:v>
                </c:pt>
                <c:pt idx="28">
                  <c:v>169.22076873606747</c:v>
                </c:pt>
                <c:pt idx="29">
                  <c:v>175.1087975170492</c:v>
                </c:pt>
                <c:pt idx="30">
                  <c:v>180.99217685858619</c:v>
                </c:pt>
                <c:pt idx="31">
                  <c:v>186.87107951156952</c:v>
                </c:pt>
                <c:pt idx="32">
                  <c:v>192.74566644892982</c:v>
                </c:pt>
                <c:pt idx="33">
                  <c:v>198.6160880113396</c:v>
                </c:pt>
                <c:pt idx="34">
                  <c:v>204.48248491014036</c:v>
                </c:pt>
                <c:pt idx="35">
                  <c:v>210.34498910896306</c:v>
                </c:pt>
                <c:pt idx="36">
                  <c:v>216.20372460175972</c:v>
                </c:pt>
                <c:pt idx="37">
                  <c:v>222.0588081019574</c:v>
                </c:pt>
                <c:pt idx="38">
                  <c:v>227.91034965501251</c:v>
                </c:pt>
                <c:pt idx="39">
                  <c:v>233.75845318467347</c:v>
                </c:pt>
                <c:pt idx="40">
                  <c:v>239.60321698163875</c:v>
                </c:pt>
                <c:pt idx="41">
                  <c:v>245.44473414197429</c:v>
                </c:pt>
                <c:pt idx="42">
                  <c:v>251.28309296155342</c:v>
                </c:pt>
                <c:pt idx="43">
                  <c:v>206.19277841884386</c:v>
                </c:pt>
                <c:pt idx="44">
                  <c:v>219.61962659237349</c:v>
                </c:pt>
                <c:pt idx="45">
                  <c:v>233.02762484918864</c:v>
                </c:pt>
                <c:pt idx="46">
                  <c:v>246.4180109567441</c:v>
                </c:pt>
                <c:pt idx="47">
                  <c:v>259.79187709109505</c:v>
                </c:pt>
                <c:pt idx="48">
                  <c:v>273.15019373627206</c:v>
                </c:pt>
                <c:pt idx="49">
                  <c:v>286.49382865897542</c:v>
                </c:pt>
                <c:pt idx="50">
                  <c:v>299.82356216018104</c:v>
                </c:pt>
                <c:pt idx="51">
                  <c:v>247.14791123904374</c:v>
                </c:pt>
                <c:pt idx="52">
                  <c:v>262.46475523789366</c:v>
                </c:pt>
                <c:pt idx="53">
                  <c:v>277.7614316906799</c:v>
                </c:pt>
                <c:pt idx="54">
                  <c:v>293.03920769154757</c:v>
                </c:pt>
                <c:pt idx="55">
                  <c:v>308.29920739322205</c:v>
                </c:pt>
                <c:pt idx="56">
                  <c:v>323.54243455894931</c:v>
                </c:pt>
                <c:pt idx="57">
                  <c:v>338.76979063952757</c:v>
                </c:pt>
                <c:pt idx="58">
                  <c:v>353.98208942867717</c:v>
                </c:pt>
                <c:pt idx="59">
                  <c:v>282.12838753854095</c:v>
                </c:pt>
                <c:pt idx="60">
                  <c:v>295.46258953205654</c:v>
                </c:pt>
                <c:pt idx="61">
                  <c:v>308.78337213189684</c:v>
                </c:pt>
                <c:pt idx="62">
                  <c:v>322.09139590753097</c:v>
                </c:pt>
                <c:pt idx="63">
                  <c:v>335.38726237234994</c:v>
                </c:pt>
                <c:pt idx="64">
                  <c:v>348.67152144488006</c:v>
                </c:pt>
                <c:pt idx="65">
                  <c:v>361.94467771307944</c:v>
                </c:pt>
                <c:pt idx="66">
                  <c:v>375.20719573147318</c:v>
                </c:pt>
                <c:pt idx="67">
                  <c:v>313.81231365909514</c:v>
                </c:pt>
                <c:pt idx="68">
                  <c:v>325.85305120964671</c:v>
                </c:pt>
                <c:pt idx="69">
                  <c:v>337.88396256607001</c:v>
                </c:pt>
                <c:pt idx="70">
                  <c:v>349.90544700744005</c:v>
                </c:pt>
                <c:pt idx="71">
                  <c:v>361.91787413013094</c:v>
                </c:pt>
                <c:pt idx="72">
                  <c:v>373.92158698739087</c:v>
                </c:pt>
                <c:pt idx="73">
                  <c:v>385.91690480461148</c:v>
                </c:pt>
                <c:pt idx="74">
                  <c:v>397.9041253393072</c:v>
                </c:pt>
                <c:pt idx="75">
                  <c:v>409.88352694182055</c:v>
                </c:pt>
                <c:pt idx="76">
                  <c:v>349.90544700744005</c:v>
                </c:pt>
                <c:pt idx="77">
                  <c:v>361.27457510831573</c:v>
                </c:pt>
                <c:pt idx="78">
                  <c:v>372.63588189193911</c:v>
                </c:pt>
                <c:pt idx="79">
                  <c:v>383.98963949827368</c:v>
                </c:pt>
                <c:pt idx="80">
                  <c:v>395.33610265659195</c:v>
                </c:pt>
                <c:pt idx="81">
                  <c:v>406.6755102777567</c:v>
                </c:pt>
                <c:pt idx="82">
                  <c:v>418.00808685961556</c:v>
                </c:pt>
                <c:pt idx="83">
                  <c:v>429.33404373201734</c:v>
                </c:pt>
                <c:pt idx="84">
                  <c:v>440.653580163588</c:v>
                </c:pt>
                <c:pt idx="85">
                  <c:v>382.49051003700242</c:v>
                </c:pt>
                <c:pt idx="86">
                  <c:v>393.6238867924597</c:v>
                </c:pt>
                <c:pt idx="87">
                  <c:v>404.75043799588434</c:v>
                </c:pt>
                <c:pt idx="88">
                  <c:v>415.87037777065296</c:v>
                </c:pt>
                <c:pt idx="89">
                  <c:v>426.98390785263581</c:v>
                </c:pt>
                <c:pt idx="90">
                  <c:v>438.09121861749276</c:v>
                </c:pt>
                <c:pt idx="91">
                  <c:v>449.19248999834218</c:v>
                </c:pt>
                <c:pt idx="92">
                  <c:v>460.28789230798048</c:v>
                </c:pt>
                <c:pt idx="93">
                  <c:v>471.37758697768658</c:v>
                </c:pt>
                <c:pt idx="94">
                  <c:v>416.81099888731961</c:v>
                </c:pt>
                <c:pt idx="95">
                  <c:v>427.58215058986383</c:v>
                </c:pt>
                <c:pt idx="96">
                  <c:v>438.34746920790479</c:v>
                </c:pt>
                <c:pt idx="97">
                  <c:v>449.10711821530072</c:v>
                </c:pt>
                <c:pt idx="98">
                  <c:v>459.86125261266926</c:v>
                </c:pt>
                <c:pt idx="99">
                  <c:v>470.61001955868886</c:v>
                </c:pt>
                <c:pt idx="100">
                  <c:v>481.35355894071859</c:v>
                </c:pt>
                <c:pt idx="101">
                  <c:v>492.09200389181893</c:v>
                </c:pt>
                <c:pt idx="102">
                  <c:v>502.82548126029491</c:v>
                </c:pt>
                <c:pt idx="103">
                  <c:v>513.5541120370591</c:v>
                </c:pt>
                <c:pt idx="104">
                  <c:v>452.18028418105376</c:v>
                </c:pt>
                <c:pt idx="105">
                  <c:v>463.70070669781393</c:v>
                </c:pt>
                <c:pt idx="106">
                  <c:v>475.21502577729035</c:v>
                </c:pt>
                <c:pt idx="107">
                  <c:v>486.72341015001911</c:v>
                </c:pt>
                <c:pt idx="108">
                  <c:v>498.22601991660639</c:v>
                </c:pt>
                <c:pt idx="109">
                  <c:v>509.72300718239165</c:v>
                </c:pt>
                <c:pt idx="110">
                  <c:v>521.21451663187668</c:v>
                </c:pt>
                <c:pt idx="111">
                  <c:v>532.7006860498642</c:v>
                </c:pt>
                <c:pt idx="112">
                  <c:v>544.18164679531822</c:v>
                </c:pt>
                <c:pt idx="113">
                  <c:v>555.65752423315928</c:v>
                </c:pt>
                <c:pt idx="114">
                  <c:v>487.49042873157447</c:v>
                </c:pt>
                <c:pt idx="115">
                  <c:v>499.75927317637519</c:v>
                </c:pt>
                <c:pt idx="116">
                  <c:v>512.0217427922579</c:v>
                </c:pt>
                <c:pt idx="117">
                  <c:v>524.27801174542856</c:v>
                </c:pt>
                <c:pt idx="118">
                  <c:v>536.52824539615108</c:v>
                </c:pt>
                <c:pt idx="119">
                  <c:v>548.77260093911116</c:v>
                </c:pt>
                <c:pt idx="120">
                  <c:v>561.01122798366839</c:v>
                </c:pt>
                <c:pt idx="121">
                  <c:v>573.2442690808557</c:v>
                </c:pt>
                <c:pt idx="122">
                  <c:v>585.47186020306435</c:v>
                </c:pt>
                <c:pt idx="123">
                  <c:v>597.69413118158775</c:v>
                </c:pt>
                <c:pt idx="124">
                  <c:v>522.49101892718238</c:v>
                </c:pt>
                <c:pt idx="125">
                  <c:v>533.33865266632245</c:v>
                </c:pt>
                <c:pt idx="126">
                  <c:v>544.18164679531799</c:v>
                </c:pt>
                <c:pt idx="127">
                  <c:v>555.02010678437284</c:v>
                </c:pt>
                <c:pt idx="128">
                  <c:v>565.85413364888598</c:v>
                </c:pt>
                <c:pt idx="129">
                  <c:v>576.68382422111142</c:v>
                </c:pt>
                <c:pt idx="130">
                  <c:v>587.50927140035753</c:v>
                </c:pt>
                <c:pt idx="131">
                  <c:v>598.33056438378708</c:v>
                </c:pt>
                <c:pt idx="132">
                  <c:v>609.14778887966042</c:v>
                </c:pt>
                <c:pt idx="133">
                  <c:v>619.96102730464543</c:v>
                </c:pt>
                <c:pt idx="134">
                  <c:v>630.77035896665166</c:v>
                </c:pt>
                <c:pt idx="135">
                  <c:v>641.57586023448448</c:v>
                </c:pt>
                <c:pt idx="136">
                  <c:v>561.07495608956026</c:v>
                </c:pt>
                <c:pt idx="137">
                  <c:v>572.22505898184329</c:v>
                </c:pt>
                <c:pt idx="138">
                  <c:v>583.37062513175931</c:v>
                </c:pt>
                <c:pt idx="139">
                  <c:v>594.51175341700321</c:v>
                </c:pt>
                <c:pt idx="140">
                  <c:v>605.64853870790603</c:v>
                </c:pt>
                <c:pt idx="141">
                  <c:v>616.78107210210862</c:v>
                </c:pt>
                <c:pt idx="142">
                  <c:v>627.90944114141359</c:v>
                </c:pt>
                <c:pt idx="143">
                  <c:v>639.03373001247144</c:v>
                </c:pt>
                <c:pt idx="144">
                  <c:v>650.1540197327721</c:v>
                </c:pt>
                <c:pt idx="145">
                  <c:v>661.27038832325445</c:v>
                </c:pt>
                <c:pt idx="146">
                  <c:v>672.38291096871001</c:v>
                </c:pt>
                <c:pt idx="147">
                  <c:v>683.49166016703657</c:v>
                </c:pt>
                <c:pt idx="148">
                  <c:v>603.26244570587539</c:v>
                </c:pt>
                <c:pt idx="149">
                  <c:v>614.55490132345722</c:v>
                </c:pt>
                <c:pt idx="150">
                  <c:v>625.84305501667848</c:v>
                </c:pt>
                <c:pt idx="151">
                  <c:v>637.12699529231952</c:v>
                </c:pt>
                <c:pt idx="152">
                  <c:v>648.40680726747212</c:v>
                </c:pt>
                <c:pt idx="153">
                  <c:v>659.68257285730954</c:v>
                </c:pt>
                <c:pt idx="154">
                  <c:v>670.95437094936005</c:v>
                </c:pt>
                <c:pt idx="155">
                  <c:v>682.22227756546533</c:v>
                </c:pt>
                <c:pt idx="156">
                  <c:v>693.48636601248563</c:v>
                </c:pt>
                <c:pt idx="157">
                  <c:v>704.7467070227126</c:v>
                </c:pt>
                <c:pt idx="158">
                  <c:v>716.00336888484389</c:v>
                </c:pt>
                <c:pt idx="159">
                  <c:v>727.25641756629955</c:v>
                </c:pt>
                <c:pt idx="160">
                  <c:v>647.45374137054603</c:v>
                </c:pt>
                <c:pt idx="161">
                  <c:v>659.04742464706828</c:v>
                </c:pt>
                <c:pt idx="162">
                  <c:v>670.63690912594973</c:v>
                </c:pt>
                <c:pt idx="163">
                  <c:v>682.22227756546533</c:v>
                </c:pt>
                <c:pt idx="164">
                  <c:v>693.80360968513378</c:v>
                </c:pt>
                <c:pt idx="165">
                  <c:v>705.3809823272228</c:v>
                </c:pt>
                <c:pt idx="166">
                  <c:v>716.95446960710524</c:v>
                </c:pt>
                <c:pt idx="167">
                  <c:v>728.52414305340835</c:v>
                </c:pt>
                <c:pt idx="168">
                  <c:v>740.09007173880082</c:v>
                </c:pt>
                <c:pt idx="169">
                  <c:v>751.652322402187</c:v>
                </c:pt>
                <c:pt idx="170">
                  <c:v>763.21095956299405</c:v>
                </c:pt>
                <c:pt idx="171">
                  <c:v>774.76604562818238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3.2266888182884306</c:v>
                </c:pt>
                <c:pt idx="2">
                  <c:v>4.2934755655867329</c:v>
                </c:pt>
                <c:pt idx="3">
                  <c:v>5.71438776430952</c:v>
                </c:pt>
                <c:pt idx="4">
                  <c:v>7.6074256543966259</c:v>
                </c:pt>
                <c:pt idx="5">
                  <c:v>10.130047713144544</c:v>
                </c:pt>
                <c:pt idx="6">
                  <c:v>13.492408055817714</c:v>
                </c:pt>
                <c:pt idx="7">
                  <c:v>17.975047936572182</c:v>
                </c:pt>
                <c:pt idx="8">
                  <c:v>23.952544126126416</c:v>
                </c:pt>
                <c:pt idx="9">
                  <c:v>31.925125213424959</c:v>
                </c:pt>
                <c:pt idx="10">
                  <c:v>42.560947438273779</c:v>
                </c:pt>
                <c:pt idx="11">
                  <c:v>56.752633027629798</c:v>
                </c:pt>
                <c:pt idx="12">
                  <c:v>75.692894607299152</c:v>
                </c:pt>
                <c:pt idx="13">
                  <c:v>100.97570421617955</c:v>
                </c:pt>
                <c:pt idx="14">
                  <c:v>134.73165568111764</c:v>
                </c:pt>
                <c:pt idx="15">
                  <c:v>179.80910354001196</c:v>
                </c:pt>
                <c:pt idx="16">
                  <c:v>176.50905089979062</c:v>
                </c:pt>
                <c:pt idx="17">
                  <c:v>197.93478839995802</c:v>
                </c:pt>
                <c:pt idx="18">
                  <c:v>219.30669358828922</c:v>
                </c:pt>
                <c:pt idx="19">
                  <c:v>240.63075098232829</c:v>
                </c:pt>
                <c:pt idx="20">
                  <c:v>261.9117966123722</c:v>
                </c:pt>
                <c:pt idx="21">
                  <c:v>245.95487635245419</c:v>
                </c:pt>
                <c:pt idx="22">
                  <c:v>264.77349292047251</c:v>
                </c:pt>
                <c:pt idx="23">
                  <c:v>283.56195672319052</c:v>
                </c:pt>
                <c:pt idx="24">
                  <c:v>302.32254626988691</c:v>
                </c:pt>
                <c:pt idx="25">
                  <c:v>321.05723416766966</c:v>
                </c:pt>
                <c:pt idx="26">
                  <c:v>322.27820438106744</c:v>
                </c:pt>
                <c:pt idx="27">
                  <c:v>364.13891241802395</c:v>
                </c:pt>
                <c:pt idx="28">
                  <c:v>405.89444153520623</c:v>
                </c:pt>
                <c:pt idx="29">
                  <c:v>447.55711830783912</c:v>
                </c:pt>
                <c:pt idx="30">
                  <c:v>489.13678734186624</c:v>
                </c:pt>
                <c:pt idx="31">
                  <c:v>468.55863080014996</c:v>
                </c:pt>
                <c:pt idx="32">
                  <c:v>510.50248800309737</c:v>
                </c:pt>
                <c:pt idx="33">
                  <c:v>552.3735611174277</c:v>
                </c:pt>
                <c:pt idx="34">
                  <c:v>594.17813194616588</c:v>
                </c:pt>
                <c:pt idx="35">
                  <c:v>635.9215274732029</c:v>
                </c:pt>
                <c:pt idx="36">
                  <c:v>593.77646408241537</c:v>
                </c:pt>
                <c:pt idx="37">
                  <c:v>629.90443904577683</c:v>
                </c:pt>
                <c:pt idx="38">
                  <c:v>665.9895703898718</c:v>
                </c:pt>
                <c:pt idx="39">
                  <c:v>702.03450144994804</c:v>
                </c:pt>
                <c:pt idx="40">
                  <c:v>738.04158245712449</c:v>
                </c:pt>
                <c:pt idx="41">
                  <c:v>683.21590185590537</c:v>
                </c:pt>
                <c:pt idx="42">
                  <c:v>716.44175299564256</c:v>
                </c:pt>
                <c:pt idx="43">
                  <c:v>749.6361540345888</c:v>
                </c:pt>
                <c:pt idx="44">
                  <c:v>782.80069088900029</c:v>
                </c:pt>
                <c:pt idx="45">
                  <c:v>815.93680437851481</c:v>
                </c:pt>
                <c:pt idx="46">
                  <c:v>749.23640226025191</c:v>
                </c:pt>
                <c:pt idx="47">
                  <c:v>780.404224071925</c:v>
                </c:pt>
                <c:pt idx="48">
                  <c:v>811.54685690571932</c:v>
                </c:pt>
                <c:pt idx="49">
                  <c:v>842.66540160662237</c:v>
                </c:pt>
                <c:pt idx="50">
                  <c:v>873.76087123072637</c:v>
                </c:pt>
                <c:pt idx="51">
                  <c:v>801.16870820601196</c:v>
                </c:pt>
                <c:pt idx="52">
                  <c:v>830.30059254899572</c:v>
                </c:pt>
                <c:pt idx="53">
                  <c:v>859.41192203672654</c:v>
                </c:pt>
                <c:pt idx="54">
                  <c:v>888.503489685707</c:v>
                </c:pt>
                <c:pt idx="55">
                  <c:v>917.57603244003349</c:v>
                </c:pt>
                <c:pt idx="56">
                  <c:v>841.86778260737265</c:v>
                </c:pt>
                <c:pt idx="57">
                  <c:v>869.77552877147502</c:v>
                </c:pt>
                <c:pt idx="58">
                  <c:v>897.66535128468752</c:v>
                </c:pt>
                <c:pt idx="59">
                  <c:v>925.53788442795633</c:v>
                </c:pt>
                <c:pt idx="60">
                  <c:v>953.3937212319928</c:v>
                </c:pt>
                <c:pt idx="61">
                  <c:v>874.95640293945678</c:v>
                </c:pt>
                <c:pt idx="62">
                  <c:v>902.04645014532525</c:v>
                </c:pt>
                <c:pt idx="63">
                  <c:v>929.12027243255136</c:v>
                </c:pt>
                <c:pt idx="64">
                  <c:v>956.17840831014576</c:v>
                </c:pt>
                <c:pt idx="65">
                  <c:v>983.22136337810014</c:v>
                </c:pt>
                <c:pt idx="66">
                  <c:v>901.64818600715614</c:v>
                </c:pt>
                <c:pt idx="67">
                  <c:v>927.52813397605144</c:v>
                </c:pt>
                <c:pt idx="68">
                  <c:v>953.39372123199303</c:v>
                </c:pt>
                <c:pt idx="69">
                  <c:v>979.24539156607295</c:v>
                </c:pt>
                <c:pt idx="70">
                  <c:v>1005.0835634676555</c:v>
                </c:pt>
                <c:pt idx="71">
                  <c:v>924.34369383107389</c:v>
                </c:pt>
                <c:pt idx="72">
                  <c:v>949.01745813552691</c:v>
                </c:pt>
                <c:pt idx="73">
                  <c:v>973.67849402940544</c:v>
                </c:pt>
                <c:pt idx="74">
                  <c:v>998.32716874688685</c:v>
                </c:pt>
                <c:pt idx="75">
                  <c:v>1022.9638299403692</c:v>
                </c:pt>
                <c:pt idx="76">
                  <c:v>943.44708907281313</c:v>
                </c:pt>
                <c:pt idx="77">
                  <c:v>967.31555350249573</c:v>
                </c:pt>
                <c:pt idx="78">
                  <c:v>991.17235454809679</c:v>
                </c:pt>
                <c:pt idx="79">
                  <c:v>1015.0178120055762</c:v>
                </c:pt>
                <c:pt idx="80">
                  <c:v>1038.8522294452823</c:v>
                </c:pt>
                <c:pt idx="81">
                  <c:v>958.96293454519264</c:v>
                </c:pt>
                <c:pt idx="82">
                  <c:v>982.42619450037603</c:v>
                </c:pt>
                <c:pt idx="83">
                  <c:v>1005.8783743839091</c:v>
                </c:pt>
                <c:pt idx="84">
                  <c:v>1029.3197684817421</c:v>
                </c:pt>
                <c:pt idx="85">
                  <c:v>1052.7506566054428</c:v>
                </c:pt>
                <c:pt idx="86">
                  <c:v>974.07615041853694</c:v>
                </c:pt>
                <c:pt idx="87">
                  <c:v>996.73729782514692</c:v>
                </c:pt>
                <c:pt idx="88">
                  <c:v>1019.3882729558667</c:v>
                </c:pt>
                <c:pt idx="89">
                  <c:v>1042.0293333051272</c:v>
                </c:pt>
                <c:pt idx="90">
                  <c:v>1064.6607242838866</c:v>
                </c:pt>
                <c:pt idx="91">
                  <c:v>988.38965158499298</c:v>
                </c:pt>
                <c:pt idx="92">
                  <c:v>1009.4548703107063</c:v>
                </c:pt>
                <c:pt idx="93">
                  <c:v>1030.5114207871877</c:v>
                </c:pt>
                <c:pt idx="94">
                  <c:v>1051.5595048048638</c:v>
                </c:pt>
                <c:pt idx="95">
                  <c:v>1072.5993154302103</c:v>
                </c:pt>
                <c:pt idx="96">
                  <c:v>997.5322395414496</c:v>
                </c:pt>
                <c:pt idx="97">
                  <c:v>1017.7990572423331</c:v>
                </c:pt>
                <c:pt idx="98">
                  <c:v>1038.0579236443029</c:v>
                </c:pt>
                <c:pt idx="99">
                  <c:v>1058.3090155471616</c:v>
                </c:pt>
                <c:pt idx="100">
                  <c:v>1078.5525024432829</c:v>
                </c:pt>
                <c:pt idx="101">
                  <c:v>1007.0705675258224</c:v>
                </c:pt>
                <c:pt idx="102">
                  <c:v>1026.9363823551482</c:v>
                </c:pt>
                <c:pt idx="103">
                  <c:v>1046.7946322025437</c:v>
                </c:pt>
                <c:pt idx="104">
                  <c:v>1066.6454805775591</c:v>
                </c:pt>
                <c:pt idx="105">
                  <c:v>1086.489084416904</c:v>
                </c:pt>
                <c:pt idx="106">
                  <c:v>1015.8124688129041</c:v>
                </c:pt>
                <c:pt idx="107">
                  <c:v>1034.4833994429221</c:v>
                </c:pt>
                <c:pt idx="108">
                  <c:v>1053.1477013214023</c:v>
                </c:pt>
                <c:pt idx="109">
                  <c:v>1071.805508303484</c:v>
                </c:pt>
                <c:pt idx="110">
                  <c:v>1090.4569492110072</c:v>
                </c:pt>
                <c:pt idx="111">
                  <c:v>7.9696537706996534E-12</c:v>
                </c:pt>
                <c:pt idx="112">
                  <c:v>7.9696537706996534E-12</c:v>
                </c:pt>
                <c:pt idx="113">
                  <c:v>7.9696537706996534E-12</c:v>
                </c:pt>
                <c:pt idx="114">
                  <c:v>7.9696537706996534E-12</c:v>
                </c:pt>
                <c:pt idx="115">
                  <c:v>7.9696537706996534E-12</c:v>
                </c:pt>
                <c:pt idx="116">
                  <c:v>7.9696537706996534E-12</c:v>
                </c:pt>
                <c:pt idx="117">
                  <c:v>7.9696537706996534E-12</c:v>
                </c:pt>
                <c:pt idx="118">
                  <c:v>7.9696537706996534E-12</c:v>
                </c:pt>
                <c:pt idx="119">
                  <c:v>7.9696537706996534E-12</c:v>
                </c:pt>
                <c:pt idx="120">
                  <c:v>7.9696537706996534E-12</c:v>
                </c:pt>
                <c:pt idx="121">
                  <c:v>7.9696537706996534E-12</c:v>
                </c:pt>
                <c:pt idx="122">
                  <c:v>7.9696537706996534E-12</c:v>
                </c:pt>
                <c:pt idx="123">
                  <c:v>7.9696537706996534E-12</c:v>
                </c:pt>
                <c:pt idx="124">
                  <c:v>7.9696537706996534E-12</c:v>
                </c:pt>
                <c:pt idx="125">
                  <c:v>7.9696537706996534E-12</c:v>
                </c:pt>
                <c:pt idx="126">
                  <c:v>7.9696537706996534E-12</c:v>
                </c:pt>
                <c:pt idx="127">
                  <c:v>7.9696537706996534E-12</c:v>
                </c:pt>
                <c:pt idx="128">
                  <c:v>7.9696537706996534E-12</c:v>
                </c:pt>
                <c:pt idx="129">
                  <c:v>7.9696537706996534E-12</c:v>
                </c:pt>
                <c:pt idx="130">
                  <c:v>7.9696537706996534E-12</c:v>
                </c:pt>
                <c:pt idx="131">
                  <c:v>7.9696537706996534E-12</c:v>
                </c:pt>
                <c:pt idx="132">
                  <c:v>7.9696537706996534E-12</c:v>
                </c:pt>
                <c:pt idx="133">
                  <c:v>7.9696537706996534E-12</c:v>
                </c:pt>
                <c:pt idx="134">
                  <c:v>7.9696537706996534E-12</c:v>
                </c:pt>
                <c:pt idx="135">
                  <c:v>7.9696537706996534E-12</c:v>
                </c:pt>
                <c:pt idx="136">
                  <c:v>7.9696537706996534E-12</c:v>
                </c:pt>
                <c:pt idx="137">
                  <c:v>7.9696537706996534E-12</c:v>
                </c:pt>
                <c:pt idx="138">
                  <c:v>7.9696537706996534E-12</c:v>
                </c:pt>
                <c:pt idx="139">
                  <c:v>7.9696537706996534E-12</c:v>
                </c:pt>
                <c:pt idx="140">
                  <c:v>7.9696537706996534E-12</c:v>
                </c:pt>
                <c:pt idx="141">
                  <c:v>7.9696537706996534E-12</c:v>
                </c:pt>
                <c:pt idx="142">
                  <c:v>7.9696537706996534E-12</c:v>
                </c:pt>
                <c:pt idx="143">
                  <c:v>7.9696537706996534E-12</c:v>
                </c:pt>
                <c:pt idx="144">
                  <c:v>7.9696537706996534E-12</c:v>
                </c:pt>
                <c:pt idx="145">
                  <c:v>7.9696537706996534E-12</c:v>
                </c:pt>
                <c:pt idx="146">
                  <c:v>7.9696537706996534E-12</c:v>
                </c:pt>
                <c:pt idx="147">
                  <c:v>7.9696537706996534E-12</c:v>
                </c:pt>
                <c:pt idx="148">
                  <c:v>7.9696537706996534E-12</c:v>
                </c:pt>
                <c:pt idx="149">
                  <c:v>7.9696537706996534E-12</c:v>
                </c:pt>
                <c:pt idx="150">
                  <c:v>7.9696537706996534E-12</c:v>
                </c:pt>
                <c:pt idx="151">
                  <c:v>7.9696537706996534E-12</c:v>
                </c:pt>
                <c:pt idx="152">
                  <c:v>7.9696537706996534E-12</c:v>
                </c:pt>
                <c:pt idx="153">
                  <c:v>7.9696537706996534E-12</c:v>
                </c:pt>
                <c:pt idx="154">
                  <c:v>7.9696537706996534E-12</c:v>
                </c:pt>
                <c:pt idx="155">
                  <c:v>7.9696537706996534E-12</c:v>
                </c:pt>
                <c:pt idx="156">
                  <c:v>7.9696537706996534E-12</c:v>
                </c:pt>
                <c:pt idx="157">
                  <c:v>7.9696537706996534E-12</c:v>
                </c:pt>
                <c:pt idx="158">
                  <c:v>7.9696537706996534E-12</c:v>
                </c:pt>
                <c:pt idx="159">
                  <c:v>7.9696537706996534E-12</c:v>
                </c:pt>
                <c:pt idx="160">
                  <c:v>7.9696537706996534E-12</c:v>
                </c:pt>
                <c:pt idx="161">
                  <c:v>7.9696537706996534E-12</c:v>
                </c:pt>
                <c:pt idx="162">
                  <c:v>7.9696537706996534E-12</c:v>
                </c:pt>
                <c:pt idx="163">
                  <c:v>7.9696537706996534E-12</c:v>
                </c:pt>
                <c:pt idx="164">
                  <c:v>7.9696537706996534E-12</c:v>
                </c:pt>
                <c:pt idx="165">
                  <c:v>7.9696537706996534E-12</c:v>
                </c:pt>
                <c:pt idx="166">
                  <c:v>7.9696537706996534E-12</c:v>
                </c:pt>
                <c:pt idx="167">
                  <c:v>7.9696537706996534E-12</c:v>
                </c:pt>
                <c:pt idx="168">
                  <c:v>7.9696537706996534E-12</c:v>
                </c:pt>
                <c:pt idx="169">
                  <c:v>7.9696537706996534E-12</c:v>
                </c:pt>
                <c:pt idx="170">
                  <c:v>7.9696537706996534E-12</c:v>
                </c:pt>
                <c:pt idx="171">
                  <c:v>7.9696537706996534E-12</c:v>
                </c:pt>
                <c:pt idx="172">
                  <c:v>7.9696537706996534E-12</c:v>
                </c:pt>
                <c:pt idx="173">
                  <c:v>7.9696537706996534E-12</c:v>
                </c:pt>
                <c:pt idx="174">
                  <c:v>7.9696537706996534E-12</c:v>
                </c:pt>
                <c:pt idx="175">
                  <c:v>7.9696537706996534E-12</c:v>
                </c:pt>
                <c:pt idx="176">
                  <c:v>7.9696537706996534E-12</c:v>
                </c:pt>
                <c:pt idx="177">
                  <c:v>7.9696537706996534E-12</c:v>
                </c:pt>
                <c:pt idx="178">
                  <c:v>7.9696537706996534E-12</c:v>
                </c:pt>
                <c:pt idx="179">
                  <c:v>7.9696537706996534E-12</c:v>
                </c:pt>
                <c:pt idx="180">
                  <c:v>7.9696537706996534E-12</c:v>
                </c:pt>
                <c:pt idx="181">
                  <c:v>7.9696537706996534E-12</c:v>
                </c:pt>
                <c:pt idx="182">
                  <c:v>7.9696537706996534E-12</c:v>
                </c:pt>
                <c:pt idx="183">
                  <c:v>7.9696537706996534E-12</c:v>
                </c:pt>
                <c:pt idx="184">
                  <c:v>7.9696537706996534E-12</c:v>
                </c:pt>
                <c:pt idx="185">
                  <c:v>7.9696537706996534E-12</c:v>
                </c:pt>
                <c:pt idx="186">
                  <c:v>7.9696537706996534E-12</c:v>
                </c:pt>
                <c:pt idx="187">
                  <c:v>7.9696537706996534E-12</c:v>
                </c:pt>
                <c:pt idx="188">
                  <c:v>7.9696537706996534E-12</c:v>
                </c:pt>
                <c:pt idx="189">
                  <c:v>7.9696537706996534E-12</c:v>
                </c:pt>
                <c:pt idx="190">
                  <c:v>7.9696537706996534E-12</c:v>
                </c:pt>
                <c:pt idx="191">
                  <c:v>7.9696537706996534E-12</c:v>
                </c:pt>
                <c:pt idx="192">
                  <c:v>7.9696537706996534E-12</c:v>
                </c:pt>
                <c:pt idx="193">
                  <c:v>7.9696537706996534E-12</c:v>
                </c:pt>
                <c:pt idx="194">
                  <c:v>7.9696537706996534E-12</c:v>
                </c:pt>
                <c:pt idx="195">
                  <c:v>7.9696537706996534E-12</c:v>
                </c:pt>
                <c:pt idx="196">
                  <c:v>7.9696537706996534E-12</c:v>
                </c:pt>
                <c:pt idx="197">
                  <c:v>7.9696537706996534E-12</c:v>
                </c:pt>
                <c:pt idx="198">
                  <c:v>7.9696537706996534E-12</c:v>
                </c:pt>
                <c:pt idx="199">
                  <c:v>7.9696537706996534E-12</c:v>
                </c:pt>
                <c:pt idx="200">
                  <c:v>7.9696537706996534E-12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3.4752089063730871</c:v>
                </c:pt>
                <c:pt idx="2">
                  <c:v>6.7848124832460144</c:v>
                </c:pt>
                <c:pt idx="3">
                  <c:v>10.040933851557911</c:v>
                </c:pt>
                <c:pt idx="4">
                  <c:v>13.264087542119066</c:v>
                </c:pt>
                <c:pt idx="5">
                  <c:v>16.463571412803493</c:v>
                </c:pt>
                <c:pt idx="6">
                  <c:v>19.644689349938933</c:v>
                </c:pt>
                <c:pt idx="7">
                  <c:v>22.810860563963129</c:v>
                </c:pt>
                <c:pt idx="8">
                  <c:v>25.964466669936314</c:v>
                </c:pt>
                <c:pt idx="9">
                  <c:v>29.107258185224353</c:v>
                </c:pt>
                <c:pt idx="10">
                  <c:v>32.240573802371898</c:v>
                </c:pt>
                <c:pt idx="11">
                  <c:v>35.365468982102755</c:v>
                </c:pt>
                <c:pt idx="12">
                  <c:v>38.482796276326376</c:v>
                </c:pt>
                <c:pt idx="13">
                  <c:v>41.59325804228282</c:v>
                </c:pt>
                <c:pt idx="14">
                  <c:v>44.69744244403509</c:v>
                </c:pt>
                <c:pt idx="15">
                  <c:v>47.795848861044426</c:v>
                </c:pt>
                <c:pt idx="16">
                  <c:v>50.888906321883603</c:v>
                </c:pt>
                <c:pt idx="17">
                  <c:v>53.976987195457234</c:v>
                </c:pt>
                <c:pt idx="18">
                  <c:v>57.060417567811584</c:v>
                </c:pt>
                <c:pt idx="19">
                  <c:v>60.139485246877143</c:v>
                </c:pt>
                <c:pt idx="20">
                  <c:v>63.214446033926862</c:v>
                </c:pt>
                <c:pt idx="21">
                  <c:v>66.285528705097832</c:v>
                </c:pt>
                <c:pt idx="22">
                  <c:v>69.352939017167543</c:v>
                </c:pt>
                <c:pt idx="23">
                  <c:v>72.416862964418712</c:v>
                </c:pt>
                <c:pt idx="24">
                  <c:v>75.477469453110928</c:v>
                </c:pt>
                <c:pt idx="25">
                  <c:v>78.534912517646276</c:v>
                </c:pt>
                <c:pt idx="26">
                  <c:v>81.589333172167599</c:v>
                </c:pt>
                <c:pt idx="27">
                  <c:v>84.640860969282926</c:v>
                </c:pt>
                <c:pt idx="28">
                  <c:v>87.689615321376337</c:v>
                </c:pt>
                <c:pt idx="29">
                  <c:v>90.735706627855564</c:v>
                </c:pt>
                <c:pt idx="30">
                  <c:v>93.779237242549186</c:v>
                </c:pt>
                <c:pt idx="31">
                  <c:v>96.820302308493964</c:v>
                </c:pt>
                <c:pt idx="32">
                  <c:v>99.858990481981948</c:v>
                </c:pt>
                <c:pt idx="33">
                  <c:v>102.89538456355916</c:v>
                </c:pt>
                <c:pt idx="34">
                  <c:v>105.92956205039071</c:v>
                </c:pt>
                <c:pt idx="35">
                  <c:v>108.96159562181572</c:v>
                </c:pt>
                <c:pt idx="36">
                  <c:v>111.99155356785026</c:v>
                </c:pt>
                <c:pt idx="37">
                  <c:v>115.01950016874081</c:v>
                </c:pt>
                <c:pt idx="38">
                  <c:v>118.04549603233058</c:v>
                </c:pt>
                <c:pt idx="39">
                  <c:v>121.06959839491471</c:v>
                </c:pt>
                <c:pt idx="40">
                  <c:v>124.09186139037058</c:v>
                </c:pt>
                <c:pt idx="41">
                  <c:v>127.11233629161687</c:v>
                </c:pt>
                <c:pt idx="42">
                  <c:v>130.13107172785308</c:v>
                </c:pt>
                <c:pt idx="43">
                  <c:v>133.14811388052632</c:v>
                </c:pt>
                <c:pt idx="44">
                  <c:v>136.16350666055504</c:v>
                </c:pt>
                <c:pt idx="45">
                  <c:v>139.17729186898754</c:v>
                </c:pt>
                <c:pt idx="46">
                  <c:v>142.18950934297689</c:v>
                </c:pt>
                <c:pt idx="47">
                  <c:v>145.2001970887043</c:v>
                </c:pt>
                <c:pt idx="48">
                  <c:v>148.20939140267095</c:v>
                </c:pt>
                <c:pt idx="49">
                  <c:v>151.2171269825964</c:v>
                </c:pt>
                <c:pt idx="50">
                  <c:v>154.22343702900869</c:v>
                </c:pt>
                <c:pt idx="51">
                  <c:v>157.22835333847775</c:v>
                </c:pt>
                <c:pt idx="52">
                  <c:v>160.23190638932959</c:v>
                </c:pt>
                <c:pt idx="53">
                  <c:v>163.23412542058077</c:v>
                </c:pt>
                <c:pt idx="54">
                  <c:v>166.23503850474688</c:v>
                </c:pt>
                <c:pt idx="55">
                  <c:v>169.23467261510578</c:v>
                </c:pt>
                <c:pt idx="56">
                  <c:v>172.23305368793012</c:v>
                </c:pt>
                <c:pt idx="57">
                  <c:v>139.72508324441546</c:v>
                </c:pt>
                <c:pt idx="58">
                  <c:v>147.56291187491706</c:v>
                </c:pt>
                <c:pt idx="59">
                  <c:v>155.39079976488338</c:v>
                </c:pt>
                <c:pt idx="60">
                  <c:v>163.20931908281941</c:v>
                </c:pt>
                <c:pt idx="61">
                  <c:v>171.0189826038187</c:v>
                </c:pt>
                <c:pt idx="62">
                  <c:v>178.82025236645237</c:v>
                </c:pt>
                <c:pt idx="63">
                  <c:v>186.61354673695629</c:v>
                </c:pt>
                <c:pt idx="64">
                  <c:v>194.39924622944753</c:v>
                </c:pt>
                <c:pt idx="65">
                  <c:v>156.78142803477982</c:v>
                </c:pt>
                <c:pt idx="66">
                  <c:v>163.55659970068029</c:v>
                </c:pt>
                <c:pt idx="67">
                  <c:v>170.32513665172891</c:v>
                </c:pt>
                <c:pt idx="68">
                  <c:v>177.08734019563408</c:v>
                </c:pt>
                <c:pt idx="69">
                  <c:v>183.8434867077317</c:v>
                </c:pt>
                <c:pt idx="70">
                  <c:v>190.59383055522039</c:v>
                </c:pt>
                <c:pt idx="71">
                  <c:v>197.33860658471045</c:v>
                </c:pt>
                <c:pt idx="72">
                  <c:v>204.07803225131636</c:v>
                </c:pt>
                <c:pt idx="73">
                  <c:v>174.39090607058975</c:v>
                </c:pt>
                <c:pt idx="74">
                  <c:v>180.70675357357058</c:v>
                </c:pt>
                <c:pt idx="75">
                  <c:v>187.01743324198972</c:v>
                </c:pt>
                <c:pt idx="76">
                  <c:v>193.32314437059202</c:v>
                </c:pt>
                <c:pt idx="77">
                  <c:v>199.62407216810416</c:v>
                </c:pt>
                <c:pt idx="78">
                  <c:v>205.92038917609821</c:v>
                </c:pt>
                <c:pt idx="79">
                  <c:v>212.21225650495637</c:v>
                </c:pt>
                <c:pt idx="80">
                  <c:v>218.49982491535664</c:v>
                </c:pt>
                <c:pt idx="81">
                  <c:v>224.78323576857284</c:v>
                </c:pt>
                <c:pt idx="82">
                  <c:v>193.63061623031828</c:v>
                </c:pt>
                <c:pt idx="83">
                  <c:v>199.77769505678279</c:v>
                </c:pt>
                <c:pt idx="84">
                  <c:v>205.92038917609821</c:v>
                </c:pt>
                <c:pt idx="85">
                  <c:v>212.05884806625923</c:v>
                </c:pt>
                <c:pt idx="86">
                  <c:v>218.19321182989106</c:v>
                </c:pt>
                <c:pt idx="87">
                  <c:v>224.32361203531059</c:v>
                </c:pt>
                <c:pt idx="88">
                  <c:v>230.45017246070259</c:v>
                </c:pt>
                <c:pt idx="89">
                  <c:v>236.57300975490656</c:v>
                </c:pt>
                <c:pt idx="90">
                  <c:v>242.69223402612002</c:v>
                </c:pt>
                <c:pt idx="91">
                  <c:v>212.82586471194361</c:v>
                </c:pt>
                <c:pt idx="92">
                  <c:v>218.80642810945656</c:v>
                </c:pt>
                <c:pt idx="93">
                  <c:v>224.78323576857306</c:v>
                </c:pt>
                <c:pt idx="94">
                  <c:v>230.75640180892151</c:v>
                </c:pt>
                <c:pt idx="95">
                  <c:v>236.7260339500001</c:v>
                </c:pt>
                <c:pt idx="96">
                  <c:v>242.69223402612013</c:v>
                </c:pt>
                <c:pt idx="97">
                  <c:v>248.65509844799553</c:v>
                </c:pt>
                <c:pt idx="98">
                  <c:v>254.61471861768086</c:v>
                </c:pt>
                <c:pt idx="99">
                  <c:v>260.57118130257953</c:v>
                </c:pt>
                <c:pt idx="100">
                  <c:v>230.90951299752319</c:v>
                </c:pt>
                <c:pt idx="101">
                  <c:v>237.0320755733859</c:v>
                </c:pt>
                <c:pt idx="102">
                  <c:v>243.15103313574363</c:v>
                </c:pt>
                <c:pt idx="103">
                  <c:v>249.26648934685309</c:v>
                </c:pt>
                <c:pt idx="104">
                  <c:v>255.3785423594878</c:v>
                </c:pt>
                <c:pt idx="105">
                  <c:v>261.48728523759229</c:v>
                </c:pt>
                <c:pt idx="106">
                  <c:v>267.59280633552549</c:v>
                </c:pt>
                <c:pt idx="107">
                  <c:v>273.69518964083846</c:v>
                </c:pt>
                <c:pt idx="108">
                  <c:v>279.79451508484976</c:v>
                </c:pt>
                <c:pt idx="109">
                  <c:v>250.1835119228185</c:v>
                </c:pt>
                <c:pt idx="110">
                  <c:v>256.29506260163612</c:v>
                </c:pt>
                <c:pt idx="111">
                  <c:v>262.40331669054711</c:v>
                </c:pt>
                <c:pt idx="112">
                  <c:v>268.50836186786864</c:v>
                </c:pt>
                <c:pt idx="113">
                  <c:v>274.61028149365421</c:v>
                </c:pt>
                <c:pt idx="114">
                  <c:v>280.70915491576704</c:v>
                </c:pt>
                <c:pt idx="115">
                  <c:v>286.80505774793318</c:v>
                </c:pt>
                <c:pt idx="116">
                  <c:v>292.89806212289437</c:v>
                </c:pt>
                <c:pt idx="117">
                  <c:v>298.98823692337174</c:v>
                </c:pt>
                <c:pt idx="118">
                  <c:v>268.24133211351608</c:v>
                </c:pt>
                <c:pt idx="119">
                  <c:v>274.5340264604273</c:v>
                </c:pt>
                <c:pt idx="120">
                  <c:v>280.82348019040609</c:v>
                </c:pt>
                <c:pt idx="121">
                  <c:v>287.10977621964838</c:v>
                </c:pt>
                <c:pt idx="122">
                  <c:v>293.39299353227307</c:v>
                </c:pt>
                <c:pt idx="123">
                  <c:v>299.67320744889929</c:v>
                </c:pt>
                <c:pt idx="124">
                  <c:v>305.95048987150938</c:v>
                </c:pt>
                <c:pt idx="125">
                  <c:v>312.22490950714769</c:v>
                </c:pt>
                <c:pt idx="126">
                  <c:v>318.49653207267966</c:v>
                </c:pt>
                <c:pt idx="127">
                  <c:v>324.7654204825663</c:v>
                </c:pt>
                <c:pt idx="128">
                  <c:v>331.03163502137016</c:v>
                </c:pt>
                <c:pt idx="129">
                  <c:v>337.29523350250497</c:v>
                </c:pt>
                <c:pt idx="130">
                  <c:v>291.79391700308088</c:v>
                </c:pt>
                <c:pt idx="131">
                  <c:v>298.30323142233942</c:v>
                </c:pt>
                <c:pt idx="132">
                  <c:v>304.80938070147675</c:v>
                </c:pt>
                <c:pt idx="133">
                  <c:v>311.3124420132425</c:v>
                </c:pt>
                <c:pt idx="134">
                  <c:v>317.81248903929497</c:v>
                </c:pt>
                <c:pt idx="135">
                  <c:v>324.30959219789901</c:v>
                </c:pt>
                <c:pt idx="136">
                  <c:v>330.8038188524078</c:v>
                </c:pt>
                <c:pt idx="137">
                  <c:v>337.29523350250497</c:v>
                </c:pt>
                <c:pt idx="138">
                  <c:v>343.78389795994281</c:v>
                </c:pt>
                <c:pt idx="139">
                  <c:v>350.26987151030977</c:v>
                </c:pt>
                <c:pt idx="140">
                  <c:v>356.75321106218172</c:v>
                </c:pt>
                <c:pt idx="141">
                  <c:v>363.23397128485539</c:v>
                </c:pt>
                <c:pt idx="142">
                  <c:v>317.92649847437457</c:v>
                </c:pt>
                <c:pt idx="143">
                  <c:v>324.53750810936521</c:v>
                </c:pt>
                <c:pt idx="144">
                  <c:v>331.14554180855839</c:v>
                </c:pt>
                <c:pt idx="145">
                  <c:v>337.75066739910255</c:v>
                </c:pt>
                <c:pt idx="146">
                  <c:v>344.352949835966</c:v>
                </c:pt>
                <c:pt idx="147">
                  <c:v>350.95245137752539</c:v>
                </c:pt>
                <c:pt idx="148">
                  <c:v>357.54923174724837</c:v>
                </c:pt>
                <c:pt idx="149">
                  <c:v>364.14334828281204</c:v>
                </c:pt>
                <c:pt idx="150">
                  <c:v>370.73485607384782</c:v>
                </c:pt>
                <c:pt idx="151">
                  <c:v>377.32380808937364</c:v>
                </c:pt>
                <c:pt idx="152">
                  <c:v>383.91025529585295</c:v>
                </c:pt>
                <c:pt idx="153">
                  <c:v>390.49424676672544</c:v>
                </c:pt>
                <c:pt idx="154">
                  <c:v>342.64573205620212</c:v>
                </c:pt>
                <c:pt idx="155">
                  <c:v>349.35971961282263</c:v>
                </c:pt>
                <c:pt idx="156">
                  <c:v>356.0708766622065</c:v>
                </c:pt>
                <c:pt idx="157">
                  <c:v>362.77926413100903</c:v>
                </c:pt>
                <c:pt idx="158">
                  <c:v>369.48494050662106</c:v>
                </c:pt>
                <c:pt idx="159">
                  <c:v>376.18796197830875</c:v>
                </c:pt>
                <c:pt idx="160">
                  <c:v>382.88838256776307</c:v>
                </c:pt>
                <c:pt idx="161">
                  <c:v>389.58625425002805</c:v>
                </c:pt>
                <c:pt idx="162">
                  <c:v>396.28162706567292</c:v>
                </c:pt>
                <c:pt idx="163">
                  <c:v>402.97454922498605</c:v>
                </c:pt>
                <c:pt idx="164">
                  <c:v>409.66506720487882</c:v>
                </c:pt>
                <c:pt idx="165">
                  <c:v>416.35322583912711</c:v>
                </c:pt>
                <c:pt idx="166">
                  <c:v>368.8031295075146</c:v>
                </c:pt>
                <c:pt idx="167">
                  <c:v>375.73360262904004</c:v>
                </c:pt>
                <c:pt idx="168">
                  <c:v>382.66129169159331</c:v>
                </c:pt>
                <c:pt idx="169">
                  <c:v>389.58625425002805</c:v>
                </c:pt>
                <c:pt idx="170">
                  <c:v>396.50854564448474</c:v>
                </c:pt>
                <c:pt idx="171">
                  <c:v>403.42821912364701</c:v>
                </c:pt>
                <c:pt idx="172">
                  <c:v>410.34532595909263</c:v>
                </c:pt>
                <c:pt idx="173">
                  <c:v>417.25991555153161</c:v>
                </c:pt>
                <c:pt idx="174">
                  <c:v>424.17203552962906</c:v>
                </c:pt>
                <c:pt idx="175">
                  <c:v>431.08173184204833</c:v>
                </c:pt>
                <c:pt idx="176">
                  <c:v>437.98904884328266</c:v>
                </c:pt>
                <c:pt idx="177">
                  <c:v>444.89402937378753</c:v>
                </c:pt>
                <c:pt idx="178">
                  <c:v>399.02715330794746</c:v>
                </c:pt>
                <c:pt idx="179">
                  <c:v>406.1953670478195</c:v>
                </c:pt>
                <c:pt idx="180">
                  <c:v>413.36084710469714</c:v>
                </c:pt>
                <c:pt idx="181">
                  <c:v>420.52364758358414</c:v>
                </c:pt>
                <c:pt idx="182">
                  <c:v>427.68382059471082</c:v>
                </c:pt>
                <c:pt idx="183">
                  <c:v>434.84141635997986</c:v>
                </c:pt>
                <c:pt idx="184">
                  <c:v>441.99648331203383</c:v>
                </c:pt>
                <c:pt idx="185">
                  <c:v>449.14906818657164</c:v>
                </c:pt>
                <c:pt idx="186">
                  <c:v>456.29921610847578</c:v>
                </c:pt>
                <c:pt idx="187">
                  <c:v>463.44697067225701</c:v>
                </c:pt>
                <c:pt idx="188">
                  <c:v>470.59237401727665</c:v>
                </c:pt>
                <c:pt idx="189">
                  <c:v>477.73546689816152</c:v>
                </c:pt>
                <c:pt idx="190">
                  <c:v>484.87628875078411</c:v>
                </c:pt>
                <c:pt idx="191">
                  <c:v>492.01487775415598</c:v>
                </c:pt>
                <c:pt idx="192">
                  <c:v>499.15127088853865</c:v>
                </c:pt>
                <c:pt idx="193">
                  <c:v>3.8960716241034272E-12</c:v>
                </c:pt>
                <c:pt idx="194">
                  <c:v>3.8960716241034272E-12</c:v>
                </c:pt>
                <c:pt idx="195">
                  <c:v>3.8960716241034272E-12</c:v>
                </c:pt>
                <c:pt idx="196">
                  <c:v>3.8960716241034272E-12</c:v>
                </c:pt>
                <c:pt idx="197">
                  <c:v>3.8960716241034272E-12</c:v>
                </c:pt>
                <c:pt idx="198">
                  <c:v>3.8960716241034272E-12</c:v>
                </c:pt>
                <c:pt idx="199">
                  <c:v>3.8960716241034272E-12</c:v>
                </c:pt>
                <c:pt idx="200">
                  <c:v>3.8960716241034272E-12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317.14231769154247</c:v>
                </c:pt>
                <c:pt idx="42">
                  <c:v>341.42696956725422</c:v>
                </c:pt>
                <c:pt idx="43">
                  <c:v>365.67365126385283</c:v>
                </c:pt>
                <c:pt idx="44">
                  <c:v>389.88523246274644</c:v>
                </c:pt>
                <c:pt idx="45">
                  <c:v>414.06419751906054</c:v>
                </c:pt>
                <c:pt idx="46">
                  <c:v>368.73383823272388</c:v>
                </c:pt>
                <c:pt idx="47">
                  <c:v>390.90393569861902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457.25709576545165</c:v>
                </c:pt>
                <c:pt idx="51">
                  <c:v>412.31545034855634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479.45418811198141</c:v>
                </c:pt>
                <c:pt idx="55">
                  <c:v>501.78776183351812</c:v>
                </c:pt>
                <c:pt idx="56">
                  <c:v>524.10030854720526</c:v>
                </c:pt>
                <c:pt idx="57">
                  <c:v>546.39284853374647</c:v>
                </c:pt>
                <c:pt idx="58">
                  <c:v>568.66631210732646</c:v>
                </c:pt>
                <c:pt idx="59">
                  <c:v>491.0196521124895</c:v>
                </c:pt>
                <c:pt idx="60">
                  <c:v>512.07623603023308</c:v>
                </c:pt>
                <c:pt idx="61">
                  <c:v>533.11454122394582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596.12767732798443</c:v>
                </c:pt>
                <c:pt idx="65">
                  <c:v>617.10045361481673</c:v>
                </c:pt>
                <c:pt idx="66">
                  <c:v>638.05846086868871</c:v>
                </c:pt>
                <c:pt idx="67">
                  <c:v>572.29782173470437</c:v>
                </c:pt>
                <c:pt idx="68">
                  <c:v>588.55481451870241</c:v>
                </c:pt>
                <c:pt idx="69">
                  <c:v>604.80245799974352</c:v>
                </c:pt>
                <c:pt idx="70">
                  <c:v>621.04103855425899</c:v>
                </c:pt>
                <c:pt idx="71">
                  <c:v>637.27082637167155</c:v>
                </c:pt>
                <c:pt idx="72">
                  <c:v>653.49207676674712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650.50043827916329</c:v>
                </c:pt>
                <c:pt idx="76">
                  <c:v>661.67827996165295</c:v>
                </c:pt>
                <c:pt idx="77">
                  <c:v>672.85223568835988</c:v>
                </c:pt>
                <c:pt idx="78">
                  <c:v>684.0223790645324</c:v>
                </c:pt>
                <c:pt idx="79">
                  <c:v>695.18878109639593</c:v>
                </c:pt>
                <c:pt idx="80">
                  <c:v>706.35151032407646</c:v>
                </c:pt>
                <c:pt idx="81">
                  <c:v>717.5106329456886</c:v>
                </c:pt>
                <c:pt idx="82">
                  <c:v>728.66621293330627</c:v>
                </c:pt>
                <c:pt idx="83">
                  <c:v>704.65375190251507</c:v>
                </c:pt>
                <c:pt idx="84">
                  <c:v>713.33030961393968</c:v>
                </c:pt>
                <c:pt idx="85">
                  <c:v>722.00471168438105</c:v>
                </c:pt>
                <c:pt idx="86">
                  <c:v>730.67698765669229</c:v>
                </c:pt>
                <c:pt idx="87">
                  <c:v>739.34716631546792</c:v>
                </c:pt>
                <c:pt idx="88">
                  <c:v>748.0152757153586</c:v>
                </c:pt>
                <c:pt idx="89">
                  <c:v>756.68134320800482</c:v>
                </c:pt>
                <c:pt idx="90">
                  <c:v>765.34539546767564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317.14231769154247</c:v>
                </c:pt>
                <c:pt idx="42">
                  <c:v>341.42696956725422</c:v>
                </c:pt>
                <c:pt idx="43">
                  <c:v>365.67365126385283</c:v>
                </c:pt>
                <c:pt idx="44">
                  <c:v>389.88523246274644</c:v>
                </c:pt>
                <c:pt idx="45">
                  <c:v>414.06419751906054</c:v>
                </c:pt>
                <c:pt idx="46">
                  <c:v>368.73383823272388</c:v>
                </c:pt>
                <c:pt idx="47">
                  <c:v>390.90393569861902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457.25709576545165</c:v>
                </c:pt>
                <c:pt idx="51">
                  <c:v>412.31545034855634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479.45418811198141</c:v>
                </c:pt>
                <c:pt idx="55">
                  <c:v>501.78776183351812</c:v>
                </c:pt>
                <c:pt idx="56">
                  <c:v>524.10030854720526</c:v>
                </c:pt>
                <c:pt idx="57">
                  <c:v>546.39284853374647</c:v>
                </c:pt>
                <c:pt idx="58">
                  <c:v>568.66631210732646</c:v>
                </c:pt>
                <c:pt idx="59">
                  <c:v>491.0196521124895</c:v>
                </c:pt>
                <c:pt idx="60">
                  <c:v>512.07623603023308</c:v>
                </c:pt>
                <c:pt idx="61">
                  <c:v>533.11454122394582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596.12767732798443</c:v>
                </c:pt>
                <c:pt idx="65">
                  <c:v>617.10045361481673</c:v>
                </c:pt>
                <c:pt idx="66">
                  <c:v>638.05846086868871</c:v>
                </c:pt>
                <c:pt idx="67">
                  <c:v>572.29782173470437</c:v>
                </c:pt>
                <c:pt idx="68">
                  <c:v>588.55481451870241</c:v>
                </c:pt>
                <c:pt idx="69">
                  <c:v>604.80245799974352</c:v>
                </c:pt>
                <c:pt idx="70">
                  <c:v>621.04103855425899</c:v>
                </c:pt>
                <c:pt idx="71">
                  <c:v>637.27082637167155</c:v>
                </c:pt>
                <c:pt idx="72">
                  <c:v>653.49207676674712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650.50043827916329</c:v>
                </c:pt>
                <c:pt idx="76">
                  <c:v>661.67827996165295</c:v>
                </c:pt>
                <c:pt idx="77">
                  <c:v>672.85223568835988</c:v>
                </c:pt>
                <c:pt idx="78">
                  <c:v>684.0223790645324</c:v>
                </c:pt>
                <c:pt idx="79">
                  <c:v>695.18878109639593</c:v>
                </c:pt>
                <c:pt idx="80">
                  <c:v>706.35151032407646</c:v>
                </c:pt>
                <c:pt idx="81">
                  <c:v>717.5106329456886</c:v>
                </c:pt>
                <c:pt idx="82">
                  <c:v>728.66621293330627</c:v>
                </c:pt>
                <c:pt idx="83">
                  <c:v>704.65375190251507</c:v>
                </c:pt>
                <c:pt idx="84">
                  <c:v>713.33030961393968</c:v>
                </c:pt>
                <c:pt idx="85">
                  <c:v>722.00471168438105</c:v>
                </c:pt>
                <c:pt idx="86">
                  <c:v>730.67698765669229</c:v>
                </c:pt>
                <c:pt idx="87">
                  <c:v>739.34716631546792</c:v>
                </c:pt>
                <c:pt idx="88">
                  <c:v>748.0152757153586</c:v>
                </c:pt>
                <c:pt idx="89">
                  <c:v>756.68134320800482</c:v>
                </c:pt>
                <c:pt idx="90">
                  <c:v>765.34539546767564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38" zoomScale="80" zoomScaleNormal="80" workbookViewId="0">
      <selection activeCell="G33" sqref="G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5" zoomScale="80" zoomScaleNormal="80" workbookViewId="0">
      <selection activeCell="D6" sqref="D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12.23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164</v>
      </c>
      <c r="C9" s="32">
        <v>3.2563891178895299E-2</v>
      </c>
      <c r="D9" s="33">
        <f t="shared" ref="D9:D18" si="0">C9*$C$5</f>
        <v>0.39825638911788952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18</v>
      </c>
      <c r="C10" s="32">
        <v>0.23907666941467434</v>
      </c>
      <c r="D10" s="33">
        <f t="shared" si="0"/>
        <v>2.9239076669414672</v>
      </c>
      <c r="E10" s="34">
        <v>67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35</v>
      </c>
      <c r="C11" s="32">
        <v>0.10329341317365266</v>
      </c>
      <c r="D11" s="33">
        <f t="shared" si="0"/>
        <v>1.263278443113772</v>
      </c>
      <c r="E11" s="34">
        <v>70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12</v>
      </c>
      <c r="C12" s="32">
        <v>7.2959604286891994E-2</v>
      </c>
      <c r="D12" s="33">
        <f t="shared" si="0"/>
        <v>0.89229596042868908</v>
      </c>
      <c r="E12" s="34">
        <v>192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14</v>
      </c>
      <c r="C13" s="32">
        <v>0.41022258862324812</v>
      </c>
      <c r="D13" s="33">
        <f t="shared" si="0"/>
        <v>5.0170222588623243</v>
      </c>
      <c r="E13" s="34">
        <v>171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6</v>
      </c>
      <c r="C14" s="32">
        <v>0.10255564715581203</v>
      </c>
      <c r="D14" s="33">
        <f t="shared" si="0"/>
        <v>1.2542555647155811</v>
      </c>
      <c r="E14" s="34">
        <v>110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321</v>
      </c>
      <c r="C15" s="32">
        <v>1.2366034624896948E-2</v>
      </c>
      <c r="D15" s="33">
        <f t="shared" si="0"/>
        <v>0.15123660346248968</v>
      </c>
      <c r="E15" s="34">
        <v>192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40</v>
      </c>
      <c r="C16" s="32">
        <v>1.2366034624896948E-2</v>
      </c>
      <c r="D16" s="33">
        <f t="shared" si="0"/>
        <v>0.15123660346248968</v>
      </c>
      <c r="E16" s="34">
        <v>90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138</v>
      </c>
      <c r="C17" s="32">
        <v>1.2366034624896948E-2</v>
      </c>
      <c r="D17" s="33">
        <f t="shared" si="0"/>
        <v>0.15123660346248968</v>
      </c>
      <c r="E17" s="34">
        <v>90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0.99776991770786527</v>
      </c>
      <c r="D19" s="38">
        <f>SUM(D9:D18)</f>
        <v>12.202726093567193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Cèdre de l'Atlas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20</v>
      </c>
      <c r="B36" s="60">
        <v>158</v>
      </c>
      <c r="C36" s="60">
        <v>1</v>
      </c>
      <c r="D36" s="60">
        <v>55.3</v>
      </c>
      <c r="E36" s="51">
        <v>0</v>
      </c>
      <c r="F36" s="51">
        <v>1</v>
      </c>
      <c r="G36" s="51">
        <v>0</v>
      </c>
      <c r="H36" s="51">
        <v>0</v>
      </c>
      <c r="I36" s="49">
        <f>IFERROR(B36/A36,"")</f>
        <v>7.9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30</v>
      </c>
      <c r="B37" s="60">
        <v>194.7</v>
      </c>
      <c r="C37" s="60">
        <v>2</v>
      </c>
      <c r="D37" s="60">
        <v>48.674999999999997</v>
      </c>
      <c r="E37" s="51">
        <v>0</v>
      </c>
      <c r="F37" s="51">
        <v>1</v>
      </c>
      <c r="G37" s="51">
        <v>0</v>
      </c>
      <c r="H37" s="51">
        <v>0</v>
      </c>
      <c r="I37" s="53">
        <f t="shared" ref="I37:I55" si="1">IF(A37&lt;&gt;0,(B37-(B36-D36))/(A37-A36),"")</f>
        <v>9.1999999999999993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40</v>
      </c>
      <c r="B38" s="60">
        <v>246.02499999999998</v>
      </c>
      <c r="C38" s="60">
        <v>3</v>
      </c>
      <c r="D38" s="60">
        <v>49.204999999999998</v>
      </c>
      <c r="E38" s="51">
        <v>0.5</v>
      </c>
      <c r="F38" s="51">
        <v>0.5</v>
      </c>
      <c r="G38" s="51">
        <v>0</v>
      </c>
      <c r="H38" s="51">
        <v>0</v>
      </c>
      <c r="I38" s="53">
        <f t="shared" si="1"/>
        <v>10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50</v>
      </c>
      <c r="B39" s="60">
        <v>311.82</v>
      </c>
      <c r="C39" s="60">
        <v>4</v>
      </c>
      <c r="D39" s="60">
        <v>62.364000000000004</v>
      </c>
      <c r="E39" s="51">
        <v>0.7</v>
      </c>
      <c r="F39" s="51">
        <v>0.3</v>
      </c>
      <c r="G39" s="51">
        <v>0</v>
      </c>
      <c r="H39" s="51">
        <v>0</v>
      </c>
      <c r="I39" s="49">
        <f t="shared" si="1"/>
        <v>11.5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60</v>
      </c>
      <c r="B40" s="60">
        <v>384.45600000000002</v>
      </c>
      <c r="C40" s="60">
        <v>5</v>
      </c>
      <c r="D40" s="60">
        <v>384.45600000000002</v>
      </c>
      <c r="E40" s="51">
        <v>0.7</v>
      </c>
      <c r="F40" s="51">
        <v>0.3</v>
      </c>
      <c r="G40" s="51">
        <v>0</v>
      </c>
      <c r="H40" s="51">
        <v>0</v>
      </c>
      <c r="I40" s="49">
        <f t="shared" si="1"/>
        <v>13.500000000000004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Douglas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25</v>
      </c>
      <c r="B62" s="60">
        <v>253</v>
      </c>
      <c r="C62" s="60">
        <v>1</v>
      </c>
      <c r="D62" s="60">
        <v>59</v>
      </c>
      <c r="E62" s="51">
        <v>0.1</v>
      </c>
      <c r="F62" s="51">
        <v>0.8</v>
      </c>
      <c r="G62" s="51">
        <v>0</v>
      </c>
      <c r="H62" s="51">
        <v>0.1</v>
      </c>
      <c r="I62" s="53">
        <f>IFERROR(B62/A62,"")</f>
        <v>10.119999999999999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32</v>
      </c>
      <c r="B63" s="60">
        <v>332</v>
      </c>
      <c r="C63" s="60">
        <v>2</v>
      </c>
      <c r="D63" s="60">
        <v>79</v>
      </c>
      <c r="E63" s="51">
        <v>0.3</v>
      </c>
      <c r="F63" s="51">
        <v>0.5</v>
      </c>
      <c r="G63" s="51">
        <v>0</v>
      </c>
      <c r="H63" s="51">
        <v>0.2</v>
      </c>
      <c r="I63" s="49">
        <f>IF(A63&lt;&gt;0,(B63-(B62-D62))/(A63-A62),"")</f>
        <v>19.714285714285715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39</v>
      </c>
      <c r="B64" s="60">
        <v>391</v>
      </c>
      <c r="C64" s="60">
        <v>3</v>
      </c>
      <c r="D64" s="60">
        <v>80</v>
      </c>
      <c r="E64" s="51">
        <v>0.3</v>
      </c>
      <c r="F64" s="51">
        <v>0.5</v>
      </c>
      <c r="G64" s="51">
        <v>0</v>
      </c>
      <c r="H64" s="51">
        <v>0.2</v>
      </c>
      <c r="I64" s="49">
        <f>IF(A64&lt;&gt;0,(B64-(B63-D63))/(A64-A63),"")</f>
        <v>19.714285714285715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46</v>
      </c>
      <c r="B65" s="60">
        <v>444</v>
      </c>
      <c r="C65" s="60">
        <v>4</v>
      </c>
      <c r="D65" s="60">
        <v>86</v>
      </c>
      <c r="E65" s="51">
        <v>0.3</v>
      </c>
      <c r="F65" s="51">
        <v>0.5</v>
      </c>
      <c r="G65" s="51">
        <v>0</v>
      </c>
      <c r="H65" s="51">
        <v>0.19999999999999998</v>
      </c>
      <c r="I65" s="49">
        <f>IF(A65&lt;&gt;0,(B65-(B64-D64))/(A65-A64),"")</f>
        <v>19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53</v>
      </c>
      <c r="B66" s="60">
        <v>482</v>
      </c>
      <c r="C66" s="60">
        <v>5</v>
      </c>
      <c r="D66" s="60">
        <v>80</v>
      </c>
      <c r="E66" s="51">
        <v>0.7</v>
      </c>
      <c r="F66" s="51">
        <v>0.3</v>
      </c>
      <c r="G66" s="51">
        <v>0</v>
      </c>
      <c r="H66" s="51">
        <v>0</v>
      </c>
      <c r="I66" s="49">
        <f t="shared" ref="I66:I81" si="2">IF(A66&lt;&gt;0,(B66-(B65-D65))/(A66-A65),"")</f>
        <v>17.714285714285715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60</v>
      </c>
      <c r="B67" s="60">
        <v>517</v>
      </c>
      <c r="C67" s="60">
        <v>6</v>
      </c>
      <c r="D67" s="60">
        <v>97</v>
      </c>
      <c r="E67" s="51">
        <v>0.7</v>
      </c>
      <c r="F67" s="51">
        <v>0.3</v>
      </c>
      <c r="G67" s="51">
        <v>0</v>
      </c>
      <c r="H67" s="51">
        <v>0</v>
      </c>
      <c r="I67" s="49">
        <f t="shared" si="2"/>
        <v>16.428571428571427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67</v>
      </c>
      <c r="B68" s="60">
        <v>521</v>
      </c>
      <c r="C68" s="60">
        <v>7</v>
      </c>
      <c r="D68" s="60">
        <v>521</v>
      </c>
      <c r="E68" s="51">
        <v>0.7</v>
      </c>
      <c r="F68" s="51">
        <v>0.3</v>
      </c>
      <c r="G68" s="51">
        <v>0</v>
      </c>
      <c r="H68" s="51">
        <v>0</v>
      </c>
      <c r="I68" s="49">
        <f t="shared" si="2"/>
        <v>14.428571428571429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Pin laricio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17</v>
      </c>
      <c r="B88" s="60">
        <v>118</v>
      </c>
      <c r="C88" s="60">
        <v>1</v>
      </c>
      <c r="D88" s="60">
        <v>15</v>
      </c>
      <c r="E88" s="51">
        <v>0</v>
      </c>
      <c r="F88" s="51">
        <v>1</v>
      </c>
      <c r="G88" s="51">
        <v>0</v>
      </c>
      <c r="H88" s="87">
        <v>0</v>
      </c>
      <c r="I88" s="53">
        <f>IFERROR(B88/A88,"")</f>
        <v>6.9411764705882355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20</v>
      </c>
      <c r="B89" s="60">
        <v>137</v>
      </c>
      <c r="C89" s="60">
        <v>2</v>
      </c>
      <c r="D89" s="60">
        <v>15</v>
      </c>
      <c r="E89" s="51">
        <v>0.1</v>
      </c>
      <c r="F89" s="51">
        <v>0.8</v>
      </c>
      <c r="G89" s="51">
        <v>0</v>
      </c>
      <c r="H89" s="87">
        <v>0.1</v>
      </c>
      <c r="I89" s="53">
        <f t="shared" ref="I89:I107" si="3">IF(A89&lt;&gt;0,(B89-(B88-D88))/(A89-A88),"")</f>
        <v>11.333333333333334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25</v>
      </c>
      <c r="B90" s="60">
        <v>204</v>
      </c>
      <c r="C90" s="60">
        <v>3</v>
      </c>
      <c r="D90" s="60">
        <v>36</v>
      </c>
      <c r="E90" s="87">
        <v>0.1</v>
      </c>
      <c r="F90" s="87">
        <v>0.8</v>
      </c>
      <c r="G90" s="87">
        <v>0</v>
      </c>
      <c r="H90" s="87">
        <v>0.1</v>
      </c>
      <c r="I90" s="53">
        <f t="shared" si="3"/>
        <v>16.399999999999999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30</v>
      </c>
      <c r="B91" s="60">
        <v>256</v>
      </c>
      <c r="C91" s="60">
        <v>4</v>
      </c>
      <c r="D91" s="60">
        <v>54</v>
      </c>
      <c r="E91" s="87">
        <v>0.3</v>
      </c>
      <c r="F91" s="87">
        <v>0.5</v>
      </c>
      <c r="G91" s="87">
        <v>0</v>
      </c>
      <c r="H91" s="87">
        <v>0.2</v>
      </c>
      <c r="I91" s="53">
        <f t="shared" si="3"/>
        <v>17.600000000000001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35</v>
      </c>
      <c r="B92" s="60">
        <v>296</v>
      </c>
      <c r="C92" s="60">
        <v>5</v>
      </c>
      <c r="D92" s="60">
        <v>52</v>
      </c>
      <c r="E92" s="87">
        <v>0.3</v>
      </c>
      <c r="F92" s="87">
        <v>0.5</v>
      </c>
      <c r="G92" s="87">
        <v>0</v>
      </c>
      <c r="H92" s="87">
        <v>0.2</v>
      </c>
      <c r="I92" s="53">
        <f t="shared" si="3"/>
        <v>18.8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40</v>
      </c>
      <c r="B93" s="60">
        <v>332</v>
      </c>
      <c r="C93" s="60">
        <v>6</v>
      </c>
      <c r="D93" s="60">
        <v>48</v>
      </c>
      <c r="E93" s="87">
        <v>0.3</v>
      </c>
      <c r="F93" s="87">
        <v>0.5</v>
      </c>
      <c r="G93" s="87">
        <v>0</v>
      </c>
      <c r="H93" s="87">
        <v>0.20000000000000004</v>
      </c>
      <c r="I93" s="53">
        <f t="shared" si="3"/>
        <v>17.600000000000001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45</v>
      </c>
      <c r="B94" s="60">
        <v>384</v>
      </c>
      <c r="C94" s="60">
        <v>7</v>
      </c>
      <c r="D94" s="60">
        <v>57</v>
      </c>
      <c r="E94" s="87">
        <v>0.3</v>
      </c>
      <c r="F94" s="87">
        <v>0.5</v>
      </c>
      <c r="G94" s="87">
        <v>0</v>
      </c>
      <c r="H94" s="87">
        <v>0.2</v>
      </c>
      <c r="I94" s="53">
        <f t="shared" si="3"/>
        <v>20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50</v>
      </c>
      <c r="B95" s="60">
        <v>414</v>
      </c>
      <c r="C95" s="60">
        <v>8</v>
      </c>
      <c r="D95" s="60">
        <v>47</v>
      </c>
      <c r="E95" s="87">
        <v>0.7</v>
      </c>
      <c r="F95" s="87">
        <v>0.3</v>
      </c>
      <c r="G95" s="87">
        <v>0</v>
      </c>
      <c r="H95" s="87">
        <v>0</v>
      </c>
      <c r="I95" s="53">
        <f t="shared" si="3"/>
        <v>17.399999999999999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55</v>
      </c>
      <c r="B96" s="60">
        <v>463</v>
      </c>
      <c r="C96" s="60">
        <v>9</v>
      </c>
      <c r="D96" s="60">
        <v>48</v>
      </c>
      <c r="E96" s="87">
        <v>0.69999999999999984</v>
      </c>
      <c r="F96" s="87">
        <v>0.3</v>
      </c>
      <c r="G96" s="87">
        <v>0</v>
      </c>
      <c r="H96" s="87">
        <v>0</v>
      </c>
      <c r="I96" s="53">
        <f t="shared" si="3"/>
        <v>19.2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60</v>
      </c>
      <c r="B97" s="60">
        <v>500</v>
      </c>
      <c r="C97" s="60">
        <v>10</v>
      </c>
      <c r="D97" s="60">
        <v>32</v>
      </c>
      <c r="E97" s="87">
        <v>0.7</v>
      </c>
      <c r="F97" s="87">
        <v>0.3</v>
      </c>
      <c r="G97" s="87">
        <v>0</v>
      </c>
      <c r="H97" s="87">
        <v>0</v>
      </c>
      <c r="I97" s="53">
        <f t="shared" si="3"/>
        <v>17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65</v>
      </c>
      <c r="B98" s="60">
        <v>555</v>
      </c>
      <c r="C98" s="60">
        <v>11</v>
      </c>
      <c r="D98" s="60">
        <v>28</v>
      </c>
      <c r="E98" s="87">
        <v>0.7</v>
      </c>
      <c r="F98" s="87">
        <v>0.3</v>
      </c>
      <c r="G98" s="87">
        <v>0</v>
      </c>
      <c r="H98" s="87">
        <v>0</v>
      </c>
      <c r="I98" s="53">
        <f t="shared" si="3"/>
        <v>17.399999999999999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70</v>
      </c>
      <c r="B99" s="60">
        <v>608.5</v>
      </c>
      <c r="C99" s="60">
        <v>12</v>
      </c>
      <c r="D99" s="60">
        <v>608.5</v>
      </c>
      <c r="E99" s="87">
        <v>0.7</v>
      </c>
      <c r="F99" s="87">
        <v>0.3</v>
      </c>
      <c r="G99" s="87">
        <v>0</v>
      </c>
      <c r="H99" s="87">
        <v>0</v>
      </c>
      <c r="I99" s="53">
        <f t="shared" si="3"/>
        <v>16.3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pubescent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56</v>
      </c>
      <c r="B114" s="60">
        <v>121</v>
      </c>
      <c r="C114" s="50">
        <v>1</v>
      </c>
      <c r="D114" s="60">
        <v>29</v>
      </c>
      <c r="E114" s="51">
        <v>0.3</v>
      </c>
      <c r="F114" s="51">
        <v>0</v>
      </c>
      <c r="G114" s="51">
        <v>0</v>
      </c>
      <c r="H114" s="51">
        <v>0.7</v>
      </c>
      <c r="I114" s="53">
        <f>IFERROR(B114/A114,"")</f>
        <v>2.1607142857142856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64</v>
      </c>
      <c r="B115" s="60">
        <v>137</v>
      </c>
      <c r="C115" s="50">
        <v>2</v>
      </c>
      <c r="D115" s="60">
        <v>32</v>
      </c>
      <c r="E115" s="51">
        <v>0.6</v>
      </c>
      <c r="F115" s="51">
        <v>0</v>
      </c>
      <c r="G115" s="51">
        <v>0</v>
      </c>
      <c r="H115" s="51">
        <v>0.4</v>
      </c>
      <c r="I115" s="53">
        <f t="shared" ref="I115:I133" si="4">IF(A115&lt;&gt;0,(B115-(B114-D114))/(A115-A114),"")</f>
        <v>5.625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72</v>
      </c>
      <c r="B116" s="60">
        <v>144</v>
      </c>
      <c r="C116" s="50">
        <v>3</v>
      </c>
      <c r="D116" s="60">
        <v>26</v>
      </c>
      <c r="E116" s="51">
        <v>0.6</v>
      </c>
      <c r="F116" s="51">
        <v>0</v>
      </c>
      <c r="G116" s="51">
        <v>0</v>
      </c>
      <c r="H116" s="51">
        <v>0.4</v>
      </c>
      <c r="I116" s="53">
        <f t="shared" si="4"/>
        <v>4.875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81</v>
      </c>
      <c r="B117" s="60">
        <v>159</v>
      </c>
      <c r="C117" s="50">
        <v>4</v>
      </c>
      <c r="D117" s="60">
        <v>27</v>
      </c>
      <c r="E117" s="51">
        <v>0.6</v>
      </c>
      <c r="F117" s="51">
        <v>0</v>
      </c>
      <c r="G117" s="51">
        <v>0</v>
      </c>
      <c r="H117" s="51">
        <v>0.4</v>
      </c>
      <c r="I117" s="53">
        <f t="shared" si="4"/>
        <v>4.5555555555555554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90</v>
      </c>
      <c r="B118" s="60">
        <v>172</v>
      </c>
      <c r="C118" s="50">
        <v>5</v>
      </c>
      <c r="D118" s="60">
        <v>26</v>
      </c>
      <c r="E118" s="51">
        <v>0.6</v>
      </c>
      <c r="F118" s="51">
        <v>0</v>
      </c>
      <c r="G118" s="51">
        <v>0</v>
      </c>
      <c r="H118" s="51">
        <v>0.4</v>
      </c>
      <c r="I118" s="53">
        <f t="shared" si="4"/>
        <v>4.4444444444444446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99</v>
      </c>
      <c r="B119" s="60">
        <v>185</v>
      </c>
      <c r="C119" s="50">
        <v>6</v>
      </c>
      <c r="D119" s="60">
        <v>26</v>
      </c>
      <c r="E119" s="51">
        <v>0.6</v>
      </c>
      <c r="F119" s="51">
        <v>0</v>
      </c>
      <c r="G119" s="51">
        <v>0</v>
      </c>
      <c r="H119" s="51">
        <v>0.4</v>
      </c>
      <c r="I119" s="53">
        <f t="shared" si="4"/>
        <v>4.333333333333333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108</v>
      </c>
      <c r="B120" s="60">
        <v>199</v>
      </c>
      <c r="C120" s="60">
        <v>7</v>
      </c>
      <c r="D120" s="60">
        <v>26</v>
      </c>
      <c r="E120" s="87">
        <v>0.6</v>
      </c>
      <c r="F120" s="87">
        <v>0</v>
      </c>
      <c r="G120" s="87">
        <v>0</v>
      </c>
      <c r="H120" s="87">
        <v>0.4</v>
      </c>
      <c r="I120" s="53">
        <f t="shared" si="4"/>
        <v>4.4444444444444446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117</v>
      </c>
      <c r="B121" s="60">
        <v>213</v>
      </c>
      <c r="C121" s="60">
        <v>8</v>
      </c>
      <c r="D121" s="60">
        <v>27</v>
      </c>
      <c r="E121" s="87">
        <v>0.6</v>
      </c>
      <c r="F121" s="87">
        <v>0</v>
      </c>
      <c r="G121" s="87">
        <v>0</v>
      </c>
      <c r="H121" s="87">
        <v>0.4</v>
      </c>
      <c r="I121" s="53">
        <f t="shared" si="4"/>
        <v>4.4444444444444446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129</v>
      </c>
      <c r="B122" s="60">
        <v>241</v>
      </c>
      <c r="C122" s="60">
        <v>9</v>
      </c>
      <c r="D122" s="60">
        <v>38</v>
      </c>
      <c r="E122" s="87">
        <v>0.6</v>
      </c>
      <c r="F122" s="87">
        <v>0</v>
      </c>
      <c r="G122" s="87">
        <v>0</v>
      </c>
      <c r="H122" s="87">
        <v>0.4</v>
      </c>
      <c r="I122" s="53">
        <f t="shared" si="4"/>
        <v>4.583333333333333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141</v>
      </c>
      <c r="B123" s="60">
        <v>260</v>
      </c>
      <c r="C123" s="60">
        <v>10</v>
      </c>
      <c r="D123" s="60">
        <v>38</v>
      </c>
      <c r="E123" s="87">
        <v>0.6</v>
      </c>
      <c r="F123" s="87">
        <v>0</v>
      </c>
      <c r="G123" s="87">
        <v>0</v>
      </c>
      <c r="H123" s="87">
        <v>0.4</v>
      </c>
      <c r="I123" s="53">
        <f t="shared" si="4"/>
        <v>4.75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153</v>
      </c>
      <c r="B124" s="60">
        <v>280</v>
      </c>
      <c r="C124" s="60">
        <v>11</v>
      </c>
      <c r="D124" s="60">
        <v>40</v>
      </c>
      <c r="E124" s="87">
        <v>0.6</v>
      </c>
      <c r="F124" s="87">
        <v>0</v>
      </c>
      <c r="G124" s="87">
        <v>0</v>
      </c>
      <c r="H124" s="87">
        <v>0.4</v>
      </c>
      <c r="I124" s="53">
        <f t="shared" si="4"/>
        <v>4.833333333333333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165</v>
      </c>
      <c r="B125" s="60">
        <v>299</v>
      </c>
      <c r="C125" s="60">
        <v>12</v>
      </c>
      <c r="D125" s="60">
        <v>40</v>
      </c>
      <c r="E125" s="87">
        <v>0.6</v>
      </c>
      <c r="F125" s="87">
        <v>0</v>
      </c>
      <c r="G125" s="87">
        <v>0</v>
      </c>
      <c r="H125" s="87">
        <v>0.4</v>
      </c>
      <c r="I125" s="53">
        <f t="shared" si="4"/>
        <v>4.916666666666667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177</v>
      </c>
      <c r="B126" s="60">
        <v>320</v>
      </c>
      <c r="C126" s="60">
        <v>13</v>
      </c>
      <c r="D126" s="60">
        <v>39</v>
      </c>
      <c r="E126" s="65">
        <v>0.6</v>
      </c>
      <c r="F126" s="65">
        <v>0</v>
      </c>
      <c r="G126" s="65">
        <v>0</v>
      </c>
      <c r="H126" s="65">
        <v>0.4</v>
      </c>
      <c r="I126" s="53">
        <f t="shared" si="4"/>
        <v>5.083333333333333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192</v>
      </c>
      <c r="B127" s="60">
        <v>360</v>
      </c>
      <c r="C127" s="60">
        <v>14</v>
      </c>
      <c r="D127" s="60">
        <v>360</v>
      </c>
      <c r="E127" s="65">
        <v>0.6</v>
      </c>
      <c r="F127" s="65">
        <v>0</v>
      </c>
      <c r="G127" s="65">
        <v>0</v>
      </c>
      <c r="H127" s="65">
        <v>0.4</v>
      </c>
      <c r="I127" s="53">
        <f t="shared" si="4"/>
        <v>5.2666666666666666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Chêne sessile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42</v>
      </c>
      <c r="B140" s="60">
        <v>126</v>
      </c>
      <c r="C140" s="50">
        <v>1</v>
      </c>
      <c r="D140" s="60">
        <v>30</v>
      </c>
      <c r="E140" s="51">
        <v>0.3</v>
      </c>
      <c r="F140" s="51">
        <v>0</v>
      </c>
      <c r="G140" s="51">
        <v>0</v>
      </c>
      <c r="H140" s="51">
        <v>0.7</v>
      </c>
      <c r="I140" s="57">
        <f>IFERROR(B140/A140,"")</f>
        <v>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50</v>
      </c>
      <c r="B141" s="60">
        <v>151</v>
      </c>
      <c r="C141" s="50">
        <v>2</v>
      </c>
      <c r="D141" s="60">
        <v>35</v>
      </c>
      <c r="E141" s="51">
        <v>0.3</v>
      </c>
      <c r="F141" s="51">
        <v>0</v>
      </c>
      <c r="G141" s="51">
        <v>0</v>
      </c>
      <c r="H141" s="51">
        <v>0.7</v>
      </c>
      <c r="I141" s="57">
        <f t="shared" ref="I141:I159" si="5">IF(A141&lt;&gt;0,(B141-(B140-D140))/(A141-A140),"")</f>
        <v>6.875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58</v>
      </c>
      <c r="B142" s="60">
        <v>179</v>
      </c>
      <c r="C142" s="50">
        <v>3</v>
      </c>
      <c r="D142" s="60">
        <v>44</v>
      </c>
      <c r="E142" s="51">
        <v>0.3</v>
      </c>
      <c r="F142" s="51">
        <v>0</v>
      </c>
      <c r="G142" s="51">
        <v>0</v>
      </c>
      <c r="H142" s="51">
        <v>0.7</v>
      </c>
      <c r="I142" s="57">
        <f t="shared" si="5"/>
        <v>7.875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66</v>
      </c>
      <c r="B143" s="60">
        <v>190</v>
      </c>
      <c r="C143" s="50">
        <v>4</v>
      </c>
      <c r="D143" s="60">
        <v>38</v>
      </c>
      <c r="E143" s="51">
        <v>0.6</v>
      </c>
      <c r="F143" s="51">
        <v>0</v>
      </c>
      <c r="G143" s="51">
        <v>0</v>
      </c>
      <c r="H143" s="51">
        <v>0.4</v>
      </c>
      <c r="I143" s="57">
        <f t="shared" si="5"/>
        <v>6.875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75</v>
      </c>
      <c r="B144" s="60">
        <v>208</v>
      </c>
      <c r="C144" s="50">
        <v>5</v>
      </c>
      <c r="D144" s="60">
        <v>37</v>
      </c>
      <c r="E144" s="51">
        <v>0.6</v>
      </c>
      <c r="F144" s="51">
        <v>0</v>
      </c>
      <c r="G144" s="51">
        <v>0</v>
      </c>
      <c r="H144" s="51">
        <v>0.4</v>
      </c>
      <c r="I144" s="57">
        <f t="shared" si="5"/>
        <v>6.2222222222222223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84</v>
      </c>
      <c r="B145" s="60">
        <v>224</v>
      </c>
      <c r="C145" s="50">
        <v>6</v>
      </c>
      <c r="D145" s="60">
        <v>36</v>
      </c>
      <c r="E145" s="51">
        <v>0.6</v>
      </c>
      <c r="F145" s="51">
        <v>0</v>
      </c>
      <c r="G145" s="51">
        <v>0</v>
      </c>
      <c r="H145" s="51">
        <v>0.4</v>
      </c>
      <c r="I145" s="57">
        <f t="shared" si="5"/>
        <v>5.8888888888888893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93</v>
      </c>
      <c r="B146" s="60">
        <v>240</v>
      </c>
      <c r="C146" s="50">
        <v>7</v>
      </c>
      <c r="D146" s="60">
        <v>34</v>
      </c>
      <c r="E146" s="51">
        <v>0.6</v>
      </c>
      <c r="F146" s="51">
        <v>0</v>
      </c>
      <c r="G146" s="51">
        <v>0</v>
      </c>
      <c r="H146" s="51">
        <v>0.4</v>
      </c>
      <c r="I146" s="57">
        <f t="shared" si="5"/>
        <v>5.7777777777777777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103</v>
      </c>
      <c r="B147" s="60">
        <v>262</v>
      </c>
      <c r="C147" s="50">
        <v>8</v>
      </c>
      <c r="D147" s="60">
        <v>38</v>
      </c>
      <c r="E147" s="51">
        <v>0.6</v>
      </c>
      <c r="F147" s="51">
        <v>0</v>
      </c>
      <c r="G147" s="51">
        <v>0</v>
      </c>
      <c r="H147" s="51">
        <v>0.4</v>
      </c>
      <c r="I147" s="57">
        <f>IF(A147&lt;&gt;0,(B147-(B146-D146))/(A147-A146),"")</f>
        <v>5.6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113</v>
      </c>
      <c r="B148" s="60">
        <v>284</v>
      </c>
      <c r="C148" s="50">
        <v>9</v>
      </c>
      <c r="D148" s="60">
        <v>42</v>
      </c>
      <c r="E148" s="51">
        <v>0.6</v>
      </c>
      <c r="F148" s="51">
        <v>0</v>
      </c>
      <c r="G148" s="51">
        <v>0</v>
      </c>
      <c r="H148" s="51">
        <v>0.4</v>
      </c>
      <c r="I148" s="57">
        <f t="shared" si="5"/>
        <v>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123</v>
      </c>
      <c r="B149" s="60">
        <v>306</v>
      </c>
      <c r="C149" s="50">
        <v>10</v>
      </c>
      <c r="D149" s="60">
        <v>45</v>
      </c>
      <c r="E149" s="51">
        <v>0.6</v>
      </c>
      <c r="F149" s="51">
        <v>0</v>
      </c>
      <c r="G149" s="51">
        <v>0</v>
      </c>
      <c r="H149" s="51">
        <v>0.4</v>
      </c>
      <c r="I149" s="57">
        <f t="shared" si="5"/>
        <v>6.4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135</v>
      </c>
      <c r="B150" s="60">
        <v>329</v>
      </c>
      <c r="C150" s="50">
        <v>11</v>
      </c>
      <c r="D150" s="60">
        <v>48</v>
      </c>
      <c r="E150" s="51">
        <v>0.6</v>
      </c>
      <c r="F150" s="51">
        <v>0</v>
      </c>
      <c r="G150" s="51">
        <v>0</v>
      </c>
      <c r="H150" s="51">
        <v>0.40000000000000008</v>
      </c>
      <c r="I150" s="57">
        <f t="shared" si="5"/>
        <v>5.666666666666667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147</v>
      </c>
      <c r="B151" s="60">
        <v>351</v>
      </c>
      <c r="C151" s="50">
        <v>12</v>
      </c>
      <c r="D151" s="60">
        <v>48</v>
      </c>
      <c r="E151" s="51">
        <v>0.6</v>
      </c>
      <c r="F151" s="51">
        <v>0</v>
      </c>
      <c r="G151" s="51">
        <v>0</v>
      </c>
      <c r="H151" s="51">
        <v>0.40000000000000008</v>
      </c>
      <c r="I151" s="57">
        <f t="shared" si="5"/>
        <v>5.833333333333333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159</v>
      </c>
      <c r="B152" s="60">
        <v>374</v>
      </c>
      <c r="C152" s="50">
        <v>13</v>
      </c>
      <c r="D152" s="60">
        <v>48</v>
      </c>
      <c r="E152" s="54">
        <v>0.6</v>
      </c>
      <c r="F152" s="54">
        <v>0</v>
      </c>
      <c r="G152" s="54">
        <v>0</v>
      </c>
      <c r="H152" s="54">
        <v>0.40000000000000008</v>
      </c>
      <c r="I152" s="57">
        <f t="shared" si="5"/>
        <v>5.916666666666667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171</v>
      </c>
      <c r="B153" s="60">
        <v>399</v>
      </c>
      <c r="C153" s="50">
        <v>14</v>
      </c>
      <c r="D153" s="60">
        <v>399</v>
      </c>
      <c r="E153" s="54">
        <v>0.6</v>
      </c>
      <c r="F153" s="54">
        <v>0</v>
      </c>
      <c r="G153" s="54">
        <v>0</v>
      </c>
      <c r="H153" s="54">
        <v>0.40000000000000008</v>
      </c>
      <c r="I153" s="57">
        <f t="shared" si="5"/>
        <v>6.083333333333333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Charme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15</v>
      </c>
      <c r="B166" s="60">
        <v>85</v>
      </c>
      <c r="C166" s="60">
        <v>1</v>
      </c>
      <c r="D166" s="60">
        <v>12</v>
      </c>
      <c r="E166" s="51">
        <v>0</v>
      </c>
      <c r="F166" s="51">
        <v>0</v>
      </c>
      <c r="G166" s="51">
        <v>0</v>
      </c>
      <c r="H166" s="51">
        <v>1</v>
      </c>
      <c r="I166" s="49">
        <f>IFERROR(B166/A166,"")</f>
        <v>5.666666666666667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20</v>
      </c>
      <c r="B167" s="60">
        <v>125</v>
      </c>
      <c r="C167" s="60">
        <v>2</v>
      </c>
      <c r="D167" s="60">
        <v>17</v>
      </c>
      <c r="E167" s="51">
        <v>0</v>
      </c>
      <c r="F167" s="51">
        <v>0</v>
      </c>
      <c r="G167" s="51">
        <v>0</v>
      </c>
      <c r="H167" s="51">
        <v>1</v>
      </c>
      <c r="I167" s="49">
        <f t="shared" ref="I167:I185" si="6">IF(A167&lt;&gt;0,(B167-(B166-D166))/(A167-A166),"")</f>
        <v>10.4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25</v>
      </c>
      <c r="B168" s="60">
        <v>154</v>
      </c>
      <c r="C168" s="60">
        <v>3</v>
      </c>
      <c r="D168" s="60">
        <v>20</v>
      </c>
      <c r="E168" s="51">
        <v>0</v>
      </c>
      <c r="F168" s="51">
        <v>0</v>
      </c>
      <c r="G168" s="51">
        <v>0</v>
      </c>
      <c r="H168" s="51">
        <v>1</v>
      </c>
      <c r="I168" s="49">
        <f t="shared" si="6"/>
        <v>9.1999999999999993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30</v>
      </c>
      <c r="B169" s="60">
        <v>237</v>
      </c>
      <c r="C169" s="60">
        <v>4</v>
      </c>
      <c r="D169" s="60">
        <v>31</v>
      </c>
      <c r="E169" s="51">
        <v>0</v>
      </c>
      <c r="F169" s="51">
        <v>0</v>
      </c>
      <c r="G169" s="51">
        <v>0</v>
      </c>
      <c r="H169" s="51">
        <v>1</v>
      </c>
      <c r="I169" s="49">
        <f t="shared" si="6"/>
        <v>20.6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35</v>
      </c>
      <c r="B170" s="60">
        <v>310</v>
      </c>
      <c r="C170" s="60">
        <v>5</v>
      </c>
      <c r="D170" s="60">
        <v>39</v>
      </c>
      <c r="E170" s="51">
        <v>0</v>
      </c>
      <c r="F170" s="51">
        <v>0</v>
      </c>
      <c r="G170" s="51">
        <v>0</v>
      </c>
      <c r="H170" s="51">
        <v>1</v>
      </c>
      <c r="I170" s="49">
        <f t="shared" si="6"/>
        <v>20.8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40</v>
      </c>
      <c r="B171" s="60">
        <v>361</v>
      </c>
      <c r="C171" s="60">
        <v>6</v>
      </c>
      <c r="D171" s="60">
        <v>44</v>
      </c>
      <c r="E171" s="51">
        <v>0.3</v>
      </c>
      <c r="F171" s="51">
        <v>0</v>
      </c>
      <c r="G171" s="51">
        <v>0</v>
      </c>
      <c r="H171" s="51">
        <v>0.7</v>
      </c>
      <c r="I171" s="49">
        <f t="shared" si="6"/>
        <v>18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45</v>
      </c>
      <c r="B172" s="60">
        <v>400</v>
      </c>
      <c r="C172" s="60">
        <v>7</v>
      </c>
      <c r="D172" s="60">
        <v>49</v>
      </c>
      <c r="E172" s="51">
        <v>0.3</v>
      </c>
      <c r="F172" s="51">
        <v>0</v>
      </c>
      <c r="G172" s="51">
        <v>0</v>
      </c>
      <c r="H172" s="51">
        <v>0.7</v>
      </c>
      <c r="I172" s="49">
        <f t="shared" si="6"/>
        <v>16.600000000000001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50</v>
      </c>
      <c r="B173" s="50">
        <v>429</v>
      </c>
      <c r="C173" s="50">
        <v>8</v>
      </c>
      <c r="D173" s="50">
        <v>51</v>
      </c>
      <c r="E173" s="51">
        <v>0.3</v>
      </c>
      <c r="F173" s="51">
        <v>0</v>
      </c>
      <c r="G173" s="51">
        <v>0</v>
      </c>
      <c r="H173" s="51">
        <v>0.7</v>
      </c>
      <c r="I173" s="49">
        <f t="shared" si="6"/>
        <v>15.6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55</v>
      </c>
      <c r="B174" s="50">
        <v>451</v>
      </c>
      <c r="C174" s="50">
        <v>9</v>
      </c>
      <c r="D174" s="50">
        <v>52</v>
      </c>
      <c r="E174" s="51">
        <v>0.3</v>
      </c>
      <c r="F174" s="51">
        <v>0</v>
      </c>
      <c r="G174" s="51">
        <v>0</v>
      </c>
      <c r="H174" s="51">
        <v>0.7</v>
      </c>
      <c r="I174" s="49">
        <f t="shared" si="6"/>
        <v>14.6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60</v>
      </c>
      <c r="B175" s="50">
        <v>469</v>
      </c>
      <c r="C175" s="50">
        <v>10</v>
      </c>
      <c r="D175" s="50">
        <v>53</v>
      </c>
      <c r="E175" s="51">
        <v>0.6</v>
      </c>
      <c r="F175" s="51">
        <v>0</v>
      </c>
      <c r="G175" s="51">
        <v>0</v>
      </c>
      <c r="H175" s="51">
        <v>0.40000000000000008</v>
      </c>
      <c r="I175" s="49">
        <f t="shared" si="6"/>
        <v>14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65</v>
      </c>
      <c r="B176" s="50">
        <v>484</v>
      </c>
      <c r="C176" s="50">
        <v>11</v>
      </c>
      <c r="D176" s="50">
        <v>54</v>
      </c>
      <c r="E176" s="51">
        <v>0.6</v>
      </c>
      <c r="F176" s="51">
        <v>0</v>
      </c>
      <c r="G176" s="51">
        <v>0</v>
      </c>
      <c r="H176" s="51">
        <v>0.4</v>
      </c>
      <c r="I176" s="49">
        <f t="shared" si="6"/>
        <v>13.6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70</v>
      </c>
      <c r="B177" s="50">
        <v>495</v>
      </c>
      <c r="C177" s="50">
        <v>12</v>
      </c>
      <c r="D177" s="50">
        <v>53</v>
      </c>
      <c r="E177" s="51">
        <v>0.6</v>
      </c>
      <c r="F177" s="51">
        <v>0</v>
      </c>
      <c r="G177" s="51">
        <v>0</v>
      </c>
      <c r="H177" s="51">
        <v>0.40000000000000008</v>
      </c>
      <c r="I177" s="49">
        <f t="shared" si="6"/>
        <v>13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75</v>
      </c>
      <c r="B178" s="50">
        <v>504</v>
      </c>
      <c r="C178" s="50">
        <v>13</v>
      </c>
      <c r="D178" s="50">
        <v>52</v>
      </c>
      <c r="E178" s="51">
        <v>0.6</v>
      </c>
      <c r="F178" s="51">
        <v>0</v>
      </c>
      <c r="G178" s="51">
        <v>0</v>
      </c>
      <c r="H178" s="51">
        <v>0.4</v>
      </c>
      <c r="I178" s="49">
        <f t="shared" si="6"/>
        <v>12.4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80</v>
      </c>
      <c r="B179" s="50">
        <v>512</v>
      </c>
      <c r="C179" s="50">
        <v>14</v>
      </c>
      <c r="D179" s="50">
        <v>52</v>
      </c>
      <c r="E179" s="51">
        <v>0.6</v>
      </c>
      <c r="F179" s="51">
        <v>0</v>
      </c>
      <c r="G179" s="51">
        <v>0</v>
      </c>
      <c r="H179" s="51">
        <v>0.4</v>
      </c>
      <c r="I179" s="49">
        <f t="shared" si="6"/>
        <v>12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85</v>
      </c>
      <c r="B180" s="50">
        <v>519</v>
      </c>
      <c r="C180" s="50">
        <v>15</v>
      </c>
      <c r="D180" s="50">
        <v>51</v>
      </c>
      <c r="E180" s="51">
        <v>0.6</v>
      </c>
      <c r="F180" s="51">
        <v>0</v>
      </c>
      <c r="G180" s="51">
        <v>0</v>
      </c>
      <c r="H180" s="51">
        <v>0.4</v>
      </c>
      <c r="I180" s="49">
        <f t="shared" si="6"/>
        <v>11.8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>
        <v>90</v>
      </c>
      <c r="B181" s="50">
        <v>525</v>
      </c>
      <c r="C181" s="50">
        <v>16</v>
      </c>
      <c r="D181" s="50">
        <v>49</v>
      </c>
      <c r="E181" s="51">
        <v>0.6</v>
      </c>
      <c r="F181" s="51">
        <v>0</v>
      </c>
      <c r="G181" s="51">
        <v>0</v>
      </c>
      <c r="H181" s="51">
        <v>0.4</v>
      </c>
      <c r="I181" s="49">
        <f t="shared" si="6"/>
        <v>11.4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>
        <v>95</v>
      </c>
      <c r="B182" s="50">
        <v>529</v>
      </c>
      <c r="C182" s="50">
        <v>17</v>
      </c>
      <c r="D182" s="50">
        <v>48</v>
      </c>
      <c r="E182" s="51">
        <v>0.6</v>
      </c>
      <c r="F182" s="51">
        <v>0</v>
      </c>
      <c r="G182" s="51">
        <v>0</v>
      </c>
      <c r="H182" s="51">
        <v>0.40000000000000008</v>
      </c>
      <c r="I182" s="49">
        <f t="shared" si="6"/>
        <v>10.6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>
        <v>100</v>
      </c>
      <c r="B183" s="50">
        <v>532</v>
      </c>
      <c r="C183" s="50">
        <v>18</v>
      </c>
      <c r="D183" s="50">
        <v>46</v>
      </c>
      <c r="E183" s="51">
        <v>0.6</v>
      </c>
      <c r="F183" s="51">
        <v>0</v>
      </c>
      <c r="G183" s="51">
        <v>0</v>
      </c>
      <c r="H183" s="51">
        <v>0.4</v>
      </c>
      <c r="I183" s="49">
        <f t="shared" si="6"/>
        <v>10.199999999999999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>
        <v>105</v>
      </c>
      <c r="B184" s="50">
        <v>536</v>
      </c>
      <c r="C184" s="50">
        <v>19</v>
      </c>
      <c r="D184" s="50">
        <v>45</v>
      </c>
      <c r="E184" s="51">
        <v>0.6</v>
      </c>
      <c r="F184" s="51">
        <v>0</v>
      </c>
      <c r="G184" s="51">
        <v>0</v>
      </c>
      <c r="H184" s="51">
        <v>0.4</v>
      </c>
      <c r="I184" s="49">
        <f t="shared" si="6"/>
        <v>10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>
        <v>110</v>
      </c>
      <c r="B185" s="50">
        <v>538</v>
      </c>
      <c r="C185" s="50">
        <v>20</v>
      </c>
      <c r="D185" s="50">
        <v>538</v>
      </c>
      <c r="E185" s="51">
        <v>0.6</v>
      </c>
      <c r="F185" s="51">
        <v>0</v>
      </c>
      <c r="G185" s="51">
        <v>0</v>
      </c>
      <c r="H185" s="51">
        <v>0.39999999999999997</v>
      </c>
      <c r="I185" s="49">
        <f t="shared" si="6"/>
        <v>9.4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Tulipier de Virginie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56</v>
      </c>
      <c r="B192" s="60">
        <v>121</v>
      </c>
      <c r="C192" s="60">
        <v>1</v>
      </c>
      <c r="D192" s="60">
        <v>29</v>
      </c>
      <c r="E192" s="51">
        <v>0.3</v>
      </c>
      <c r="F192" s="51">
        <v>0</v>
      </c>
      <c r="G192" s="51">
        <v>0</v>
      </c>
      <c r="H192" s="51">
        <v>0.7</v>
      </c>
      <c r="I192" s="49">
        <f>IFERROR(B192/A192,"")</f>
        <v>2.1607142857142856</v>
      </c>
      <c r="J192" s="23" t="s">
        <v>326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64</v>
      </c>
      <c r="B193" s="60">
        <v>137</v>
      </c>
      <c r="C193" s="60">
        <v>2</v>
      </c>
      <c r="D193" s="60">
        <v>32</v>
      </c>
      <c r="E193" s="51">
        <v>0.6</v>
      </c>
      <c r="F193" s="51">
        <v>0</v>
      </c>
      <c r="G193" s="51">
        <v>0</v>
      </c>
      <c r="H193" s="51">
        <v>0.4</v>
      </c>
      <c r="I193" s="49">
        <f t="shared" ref="I193:I211" si="7">IF(A193&lt;&gt;0,(B193-(B192-D192))/(A193-A192),"")</f>
        <v>5.625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72</v>
      </c>
      <c r="B194" s="60">
        <v>144</v>
      </c>
      <c r="C194" s="60">
        <v>3</v>
      </c>
      <c r="D194" s="60">
        <v>26</v>
      </c>
      <c r="E194" s="51">
        <v>0.6</v>
      </c>
      <c r="F194" s="51">
        <v>0</v>
      </c>
      <c r="G194" s="51">
        <v>0</v>
      </c>
      <c r="H194" s="51">
        <v>0.4</v>
      </c>
      <c r="I194" s="49">
        <f t="shared" si="7"/>
        <v>4.875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81</v>
      </c>
      <c r="B195" s="60">
        <v>159</v>
      </c>
      <c r="C195" s="60">
        <v>4</v>
      </c>
      <c r="D195" s="60">
        <v>27</v>
      </c>
      <c r="E195" s="51">
        <v>0.6</v>
      </c>
      <c r="F195" s="51">
        <v>0</v>
      </c>
      <c r="G195" s="51">
        <v>0</v>
      </c>
      <c r="H195" s="51">
        <v>0.4</v>
      </c>
      <c r="I195" s="49">
        <f t="shared" si="7"/>
        <v>4.5555555555555554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90</v>
      </c>
      <c r="B196" s="60">
        <v>172</v>
      </c>
      <c r="C196" s="60">
        <v>5</v>
      </c>
      <c r="D196" s="60">
        <v>26</v>
      </c>
      <c r="E196" s="51">
        <v>0.6</v>
      </c>
      <c r="F196" s="51">
        <v>0</v>
      </c>
      <c r="G196" s="51">
        <v>0</v>
      </c>
      <c r="H196" s="51">
        <v>0.4</v>
      </c>
      <c r="I196" s="49">
        <f t="shared" si="7"/>
        <v>4.4444444444444446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99</v>
      </c>
      <c r="B197" s="60">
        <v>185</v>
      </c>
      <c r="C197" s="60">
        <v>6</v>
      </c>
      <c r="D197" s="60">
        <v>26</v>
      </c>
      <c r="E197" s="51">
        <v>0.6</v>
      </c>
      <c r="F197" s="51">
        <v>0</v>
      </c>
      <c r="G197" s="51">
        <v>0</v>
      </c>
      <c r="H197" s="51">
        <v>0.4</v>
      </c>
      <c r="I197" s="49">
        <f t="shared" si="7"/>
        <v>4.333333333333333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108</v>
      </c>
      <c r="B198" s="60">
        <v>199</v>
      </c>
      <c r="C198" s="60">
        <v>7</v>
      </c>
      <c r="D198" s="60">
        <v>26</v>
      </c>
      <c r="E198" s="51">
        <v>0.6</v>
      </c>
      <c r="F198" s="51">
        <v>0</v>
      </c>
      <c r="G198" s="51">
        <v>0</v>
      </c>
      <c r="H198" s="51">
        <v>0.4</v>
      </c>
      <c r="I198" s="49">
        <f t="shared" si="7"/>
        <v>4.4444444444444446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117</v>
      </c>
      <c r="B199" s="50">
        <v>213</v>
      </c>
      <c r="C199" s="50">
        <v>8</v>
      </c>
      <c r="D199" s="50">
        <v>27</v>
      </c>
      <c r="E199" s="51">
        <v>0.6</v>
      </c>
      <c r="F199" s="51">
        <v>0</v>
      </c>
      <c r="G199" s="51">
        <v>0</v>
      </c>
      <c r="H199" s="51">
        <v>0.4</v>
      </c>
      <c r="I199" s="49">
        <f t="shared" si="7"/>
        <v>4.4444444444444446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129</v>
      </c>
      <c r="B200" s="50">
        <v>241</v>
      </c>
      <c r="C200" s="50">
        <v>9</v>
      </c>
      <c r="D200" s="50">
        <v>38</v>
      </c>
      <c r="E200" s="51">
        <v>0.6</v>
      </c>
      <c r="F200" s="51">
        <v>0</v>
      </c>
      <c r="G200" s="51">
        <v>0</v>
      </c>
      <c r="H200" s="51">
        <v>0.4</v>
      </c>
      <c r="I200" s="49">
        <f t="shared" si="7"/>
        <v>4.583333333333333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141</v>
      </c>
      <c r="B201" s="50">
        <v>260</v>
      </c>
      <c r="C201" s="50">
        <v>10</v>
      </c>
      <c r="D201" s="50">
        <v>38</v>
      </c>
      <c r="E201" s="51">
        <v>0.6</v>
      </c>
      <c r="F201" s="51">
        <v>0</v>
      </c>
      <c r="G201" s="51">
        <v>0</v>
      </c>
      <c r="H201" s="51">
        <v>0.4</v>
      </c>
      <c r="I201" s="49">
        <f t="shared" si="7"/>
        <v>4.75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153</v>
      </c>
      <c r="B202" s="50">
        <v>280</v>
      </c>
      <c r="C202" s="50">
        <v>11</v>
      </c>
      <c r="D202" s="50">
        <v>40</v>
      </c>
      <c r="E202" s="51">
        <v>0.6</v>
      </c>
      <c r="F202" s="51">
        <v>0</v>
      </c>
      <c r="G202" s="51">
        <v>0</v>
      </c>
      <c r="H202" s="51">
        <v>0.4</v>
      </c>
      <c r="I202" s="49">
        <f t="shared" si="7"/>
        <v>4.833333333333333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>
        <v>165</v>
      </c>
      <c r="B203" s="50">
        <v>299</v>
      </c>
      <c r="C203" s="50">
        <v>12</v>
      </c>
      <c r="D203" s="50">
        <v>40</v>
      </c>
      <c r="E203" s="51">
        <v>0.6</v>
      </c>
      <c r="F203" s="51">
        <v>0</v>
      </c>
      <c r="G203" s="51">
        <v>0</v>
      </c>
      <c r="H203" s="51">
        <v>0.4</v>
      </c>
      <c r="I203" s="49">
        <f t="shared" si="7"/>
        <v>4.916666666666667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>
        <v>177</v>
      </c>
      <c r="B204" s="50">
        <v>320</v>
      </c>
      <c r="C204" s="50">
        <v>13</v>
      </c>
      <c r="D204" s="50">
        <v>39</v>
      </c>
      <c r="E204" s="51">
        <v>0.6</v>
      </c>
      <c r="F204" s="51">
        <v>0</v>
      </c>
      <c r="G204" s="51">
        <v>0</v>
      </c>
      <c r="H204" s="51">
        <v>0.4</v>
      </c>
      <c r="I204" s="49">
        <f t="shared" si="7"/>
        <v>5.083333333333333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>
        <v>192</v>
      </c>
      <c r="B205" s="50">
        <v>360</v>
      </c>
      <c r="C205" s="50">
        <v>14</v>
      </c>
      <c r="D205" s="50">
        <v>360</v>
      </c>
      <c r="E205" s="51">
        <v>0.6</v>
      </c>
      <c r="F205" s="51">
        <v>0</v>
      </c>
      <c r="G205" s="51">
        <v>0</v>
      </c>
      <c r="H205" s="51">
        <v>0.4</v>
      </c>
      <c r="I205" s="49">
        <f t="shared" si="7"/>
        <v>5.2666666666666666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Pin de Salzmann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22</v>
      </c>
      <c r="B218" s="60">
        <v>123</v>
      </c>
      <c r="C218" s="50">
        <v>1</v>
      </c>
      <c r="D218" s="60">
        <v>16</v>
      </c>
      <c r="E218" s="63">
        <v>0.1</v>
      </c>
      <c r="F218" s="63">
        <v>0.8</v>
      </c>
      <c r="G218" s="63">
        <v>0</v>
      </c>
      <c r="H218" s="63">
        <v>0.1</v>
      </c>
      <c r="I218" s="53">
        <f>IFERROR(B218/A218,"")</f>
        <v>5.5909090909090908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25</v>
      </c>
      <c r="B219" s="60">
        <v>144</v>
      </c>
      <c r="C219" s="50">
        <v>2</v>
      </c>
      <c r="D219" s="60">
        <v>17</v>
      </c>
      <c r="E219" s="63">
        <v>0.1</v>
      </c>
      <c r="F219" s="63">
        <v>0.8</v>
      </c>
      <c r="G219" s="63">
        <v>0</v>
      </c>
      <c r="H219" s="63">
        <v>0.1</v>
      </c>
      <c r="I219" s="53">
        <f t="shared" ref="I219:I237" si="8">IF(A219&lt;&gt;0,(B219-(B218-D218))/(A219-A218),"")</f>
        <v>12.333333333333334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30</v>
      </c>
      <c r="B220" s="60">
        <v>194</v>
      </c>
      <c r="C220" s="50">
        <v>3</v>
      </c>
      <c r="D220" s="60">
        <v>34</v>
      </c>
      <c r="E220" s="63">
        <v>0.3</v>
      </c>
      <c r="F220" s="63">
        <v>0.5</v>
      </c>
      <c r="G220" s="63">
        <v>0</v>
      </c>
      <c r="H220" s="63">
        <v>0.2</v>
      </c>
      <c r="I220" s="53">
        <f t="shared" si="8"/>
        <v>13.4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35</v>
      </c>
      <c r="B221" s="55">
        <v>233</v>
      </c>
      <c r="C221" s="55">
        <v>4</v>
      </c>
      <c r="D221" s="55">
        <v>41</v>
      </c>
      <c r="E221" s="63">
        <v>0.3</v>
      </c>
      <c r="F221" s="63">
        <v>0.5</v>
      </c>
      <c r="G221" s="63">
        <v>0</v>
      </c>
      <c r="H221" s="63">
        <v>0.20000000000000004</v>
      </c>
      <c r="I221" s="53">
        <f t="shared" si="8"/>
        <v>14.6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40</v>
      </c>
      <c r="B222" s="55">
        <v>264</v>
      </c>
      <c r="C222" s="55">
        <v>5</v>
      </c>
      <c r="D222" s="55">
        <v>41</v>
      </c>
      <c r="E222" s="63">
        <v>0.3</v>
      </c>
      <c r="F222" s="63">
        <v>0.5</v>
      </c>
      <c r="G222" s="63">
        <v>0</v>
      </c>
      <c r="H222" s="63">
        <v>0.20000000000000004</v>
      </c>
      <c r="I222" s="53">
        <f t="shared" si="8"/>
        <v>14.4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>
        <v>45</v>
      </c>
      <c r="B223" s="55">
        <v>318</v>
      </c>
      <c r="C223" s="55">
        <v>6</v>
      </c>
      <c r="D223" s="55">
        <v>53</v>
      </c>
      <c r="E223" s="63">
        <v>0.3</v>
      </c>
      <c r="F223" s="63">
        <v>0.5</v>
      </c>
      <c r="G223" s="63">
        <v>0</v>
      </c>
      <c r="H223" s="63">
        <v>0.20000000000000004</v>
      </c>
      <c r="I223" s="53">
        <f t="shared" si="8"/>
        <v>19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>
        <v>50</v>
      </c>
      <c r="B224" s="55">
        <v>352</v>
      </c>
      <c r="C224" s="55">
        <v>7</v>
      </c>
      <c r="D224" s="55">
        <v>53</v>
      </c>
      <c r="E224" s="63">
        <v>0.69999999999999984</v>
      </c>
      <c r="F224" s="63">
        <v>0.3</v>
      </c>
      <c r="G224" s="63">
        <v>0</v>
      </c>
      <c r="H224" s="63">
        <v>0</v>
      </c>
      <c r="I224" s="53">
        <f t="shared" si="8"/>
        <v>17.399999999999999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>
        <v>58</v>
      </c>
      <c r="B225" s="55">
        <v>440</v>
      </c>
      <c r="C225" s="55">
        <v>8</v>
      </c>
      <c r="D225" s="55">
        <v>78</v>
      </c>
      <c r="E225" s="63">
        <v>0.7</v>
      </c>
      <c r="F225" s="63">
        <v>0.3</v>
      </c>
      <c r="G225" s="63">
        <v>0</v>
      </c>
      <c r="H225" s="63">
        <v>0</v>
      </c>
      <c r="I225" s="53">
        <f t="shared" si="8"/>
        <v>17.625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>
        <v>66</v>
      </c>
      <c r="B226" s="55">
        <v>495</v>
      </c>
      <c r="C226" s="55">
        <v>9</v>
      </c>
      <c r="D226" s="55">
        <v>65</v>
      </c>
      <c r="E226" s="63">
        <v>0.7</v>
      </c>
      <c r="F226" s="63">
        <v>0.3</v>
      </c>
      <c r="G226" s="63">
        <v>0</v>
      </c>
      <c r="H226" s="63">
        <v>0</v>
      </c>
      <c r="I226" s="53">
        <f t="shared" si="8"/>
        <v>16.625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>
        <v>74</v>
      </c>
      <c r="B227" s="55">
        <v>533</v>
      </c>
      <c r="C227" s="55">
        <v>10</v>
      </c>
      <c r="D227" s="55">
        <v>37</v>
      </c>
      <c r="E227" s="63">
        <v>0.7</v>
      </c>
      <c r="F227" s="63">
        <v>0.3</v>
      </c>
      <c r="G227" s="63">
        <v>0</v>
      </c>
      <c r="H227" s="63">
        <v>0</v>
      </c>
      <c r="I227" s="53">
        <f t="shared" si="8"/>
        <v>12.875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>
        <v>82</v>
      </c>
      <c r="B228" s="55">
        <v>567</v>
      </c>
      <c r="C228" s="55">
        <v>11</v>
      </c>
      <c r="D228" s="55">
        <v>26</v>
      </c>
      <c r="E228" s="63">
        <v>0.7</v>
      </c>
      <c r="F228" s="63">
        <v>0.3</v>
      </c>
      <c r="G228" s="63">
        <v>0</v>
      </c>
      <c r="H228" s="63">
        <v>0</v>
      </c>
      <c r="I228" s="53">
        <f t="shared" si="8"/>
        <v>8.875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>
        <v>90</v>
      </c>
      <c r="B229" s="55">
        <v>596.20000000000005</v>
      </c>
      <c r="C229" s="55">
        <v>12</v>
      </c>
      <c r="D229" s="55">
        <v>596.20000000000005</v>
      </c>
      <c r="E229" s="63">
        <v>0.7</v>
      </c>
      <c r="F229" s="63">
        <v>0.3</v>
      </c>
      <c r="G229" s="63">
        <v>0</v>
      </c>
      <c r="H229" s="63">
        <v>0</v>
      </c>
      <c r="I229" s="53">
        <f t="shared" si="8"/>
        <v>6.9000000000000057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Pin taeda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>
        <v>22</v>
      </c>
      <c r="B244" s="60">
        <v>123</v>
      </c>
      <c r="C244" s="60">
        <v>1</v>
      </c>
      <c r="D244" s="60">
        <v>16</v>
      </c>
      <c r="E244" s="51">
        <v>0.1</v>
      </c>
      <c r="F244" s="51">
        <v>0.8</v>
      </c>
      <c r="G244" s="51">
        <v>0</v>
      </c>
      <c r="H244" s="63">
        <v>0.1</v>
      </c>
      <c r="I244" s="53">
        <f>IFERROR(B244/A244,"")</f>
        <v>5.5909090909090908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>
        <v>25</v>
      </c>
      <c r="B245" s="60">
        <v>144</v>
      </c>
      <c r="C245" s="60">
        <v>2</v>
      </c>
      <c r="D245" s="60">
        <v>17</v>
      </c>
      <c r="E245" s="63">
        <v>0.1</v>
      </c>
      <c r="F245" s="63">
        <v>0.8</v>
      </c>
      <c r="G245" s="63">
        <v>0</v>
      </c>
      <c r="H245" s="63">
        <v>0.1</v>
      </c>
      <c r="I245" s="53">
        <f>IF(A245&lt;&gt;0,(B245-(B244-D244))/(A245-A244),"")</f>
        <v>12.333333333333334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>
        <v>30</v>
      </c>
      <c r="B246" s="60">
        <v>194</v>
      </c>
      <c r="C246" s="60">
        <v>3</v>
      </c>
      <c r="D246" s="60">
        <v>34</v>
      </c>
      <c r="E246" s="63">
        <v>0.3</v>
      </c>
      <c r="F246" s="63">
        <v>0.5</v>
      </c>
      <c r="G246" s="63">
        <v>0</v>
      </c>
      <c r="H246" s="63">
        <v>0.2</v>
      </c>
      <c r="I246" s="53">
        <f>IF(A246&lt;&gt;0,(B246-(B245-D245))/(A246-A245),"")</f>
        <v>13.4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>
        <v>35</v>
      </c>
      <c r="B247" s="60">
        <v>233</v>
      </c>
      <c r="C247" s="60">
        <v>4</v>
      </c>
      <c r="D247" s="60">
        <v>41</v>
      </c>
      <c r="E247" s="63">
        <v>0.3</v>
      </c>
      <c r="F247" s="63">
        <v>0.5</v>
      </c>
      <c r="G247" s="63">
        <v>0</v>
      </c>
      <c r="H247" s="63">
        <v>0.20000000000000004</v>
      </c>
      <c r="I247" s="53">
        <f t="shared" ref="I247:I263" si="9">IF(A247&lt;&gt;0,(B247-(B246-D246))/(A247-A246),"")</f>
        <v>14.6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>
        <v>40</v>
      </c>
      <c r="B248" s="60">
        <v>264</v>
      </c>
      <c r="C248" s="60">
        <v>5</v>
      </c>
      <c r="D248" s="60">
        <v>41</v>
      </c>
      <c r="E248" s="63">
        <v>0.3</v>
      </c>
      <c r="F248" s="63">
        <v>0.5</v>
      </c>
      <c r="G248" s="63">
        <v>0</v>
      </c>
      <c r="H248" s="63">
        <v>0.20000000000000004</v>
      </c>
      <c r="I248" s="53">
        <f t="shared" si="9"/>
        <v>14.4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>
        <v>45</v>
      </c>
      <c r="B249" s="60">
        <v>318</v>
      </c>
      <c r="C249" s="60">
        <v>6</v>
      </c>
      <c r="D249" s="60">
        <v>53</v>
      </c>
      <c r="E249" s="63">
        <v>0.3</v>
      </c>
      <c r="F249" s="63">
        <v>0.5</v>
      </c>
      <c r="G249" s="63">
        <v>0</v>
      </c>
      <c r="H249" s="63">
        <v>0.20000000000000004</v>
      </c>
      <c r="I249" s="53">
        <f t="shared" si="9"/>
        <v>19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>
        <v>50</v>
      </c>
      <c r="B250" s="60">
        <v>352</v>
      </c>
      <c r="C250" s="60">
        <v>7</v>
      </c>
      <c r="D250" s="60">
        <v>53</v>
      </c>
      <c r="E250" s="63">
        <v>0.69999999999999984</v>
      </c>
      <c r="F250" s="63">
        <v>0.3</v>
      </c>
      <c r="G250" s="63">
        <v>0</v>
      </c>
      <c r="H250" s="63">
        <v>0</v>
      </c>
      <c r="I250" s="53">
        <f t="shared" si="9"/>
        <v>17.399999999999999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>
        <v>58</v>
      </c>
      <c r="B251" s="55">
        <v>440</v>
      </c>
      <c r="C251" s="55">
        <v>8</v>
      </c>
      <c r="D251" s="55">
        <v>78</v>
      </c>
      <c r="E251" s="63">
        <v>0.7</v>
      </c>
      <c r="F251" s="63">
        <v>0.3</v>
      </c>
      <c r="G251" s="63">
        <v>0</v>
      </c>
      <c r="H251" s="63">
        <v>0</v>
      </c>
      <c r="I251" s="53">
        <f t="shared" si="9"/>
        <v>17.625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>
        <v>66</v>
      </c>
      <c r="B252" s="55">
        <v>495</v>
      </c>
      <c r="C252" s="55">
        <v>9</v>
      </c>
      <c r="D252" s="55">
        <v>65</v>
      </c>
      <c r="E252" s="63">
        <v>0.7</v>
      </c>
      <c r="F252" s="63">
        <v>0.3</v>
      </c>
      <c r="G252" s="63">
        <v>0</v>
      </c>
      <c r="H252" s="63">
        <v>0</v>
      </c>
      <c r="I252" s="53">
        <f t="shared" si="9"/>
        <v>16.625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>
        <v>74</v>
      </c>
      <c r="B253" s="55">
        <v>533</v>
      </c>
      <c r="C253" s="55">
        <v>10</v>
      </c>
      <c r="D253" s="55">
        <v>37</v>
      </c>
      <c r="E253" s="63">
        <v>0.7</v>
      </c>
      <c r="F253" s="63">
        <v>0.3</v>
      </c>
      <c r="G253" s="63">
        <v>0</v>
      </c>
      <c r="H253" s="63">
        <v>0</v>
      </c>
      <c r="I253" s="53">
        <f t="shared" si="9"/>
        <v>12.875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>
        <v>82</v>
      </c>
      <c r="B254" s="55">
        <v>567</v>
      </c>
      <c r="C254" s="55">
        <v>11</v>
      </c>
      <c r="D254" s="55">
        <v>26</v>
      </c>
      <c r="E254" s="63">
        <v>0.7</v>
      </c>
      <c r="F254" s="63">
        <v>0.3</v>
      </c>
      <c r="G254" s="63">
        <v>0</v>
      </c>
      <c r="H254" s="63">
        <v>0</v>
      </c>
      <c r="I254" s="53">
        <f t="shared" si="9"/>
        <v>8.875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>
        <v>90</v>
      </c>
      <c r="B255" s="55">
        <v>596.20000000000005</v>
      </c>
      <c r="C255" s="55">
        <v>12</v>
      </c>
      <c r="D255" s="55">
        <v>596.20000000000005</v>
      </c>
      <c r="E255" s="63">
        <v>0.7</v>
      </c>
      <c r="F255" s="63">
        <v>0.3</v>
      </c>
      <c r="G255" s="63">
        <v>0</v>
      </c>
      <c r="H255" s="63">
        <v>0</v>
      </c>
      <c r="I255" s="53">
        <f t="shared" si="9"/>
        <v>6.9000000000000057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B18" sqref="B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EE1" zoomScaleNormal="100" workbookViewId="0">
      <selection activeCell="EI7" sqref="EI7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Cèdre de l'Atlas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Douglas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laricio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pubescent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sessile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Charme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Tulipier de Virginie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Pin de Salzmann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Pin taeda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198.26255998041</v>
      </c>
      <c r="T3" s="59">
        <f>IF('Données projet'!E9&gt;30,$R$33-$H$33,LOOKUP('Données projet'!$E$9,$A$3:$A$203,R3:R203)-LOOKUP('Données projet'!$E$9,$A$3:$A$203,$H$3:$H$203))</f>
        <v>238.62101708181166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347.02720636703873</v>
      </c>
      <c r="AO3" s="59">
        <f>IF('Données projet'!E10&gt;30,$AM$33-$H$33,LOOKUP('Données projet'!$E$10,$A$3:$A$203,AM3:AM203)-LOOKUP('Données projet'!$E$10,$A$3:$A$203,$H$3:$H$203))</f>
        <v>394.03759949558702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378.75660696651238</v>
      </c>
      <c r="BJ3" s="59">
        <f>IF('Données projet'!E11&gt;30,$BH$33-$H$33,LOOKUP('Données projet'!$E$11,$A$3:$A$203,BH3:BH203)-LOOKUP('Données projet'!$E$11,$A$3:$A$203,$H$3:$H$203))</f>
        <v>371.70674704563288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410.75375635525211</v>
      </c>
      <c r="CE3" s="59">
        <f>IF('Données projet'!E12&gt;30,$CC$33-$H$33,LOOKUP('Données projet'!$E$12,$A$3:$A$203,CC3:CC203)-LOOKUP('Données projet'!$E$12,$A$3:$A$203,$H$3:$H$203))</f>
        <v>183.55513001437367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436.12708882925142</v>
      </c>
      <c r="CZ3" s="59">
        <f>IF('Données projet'!E13&gt;30,$CX$33-$H$33,LOOKUP('Données projet'!$E$13,$A$3:$A$203,CX3:CX203)-LOOKUP('Données projet'!$E$13,$A$3:$A$203,$H$3:$H$203))</f>
        <v>217.65884352525285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735.50267870886194</v>
      </c>
      <c r="DU3" s="59">
        <f>IF('Données projet'!E14&gt;30,$DS$33-$H$33,LOOKUP('Données projet'!$E$14,$A$3:$A$203,DS3:DS203)-LOOKUP('Données projet'!$E$14,$A$3:$A$203,$H$3:$H$203))</f>
        <v>525.80345400853275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274.14900959323484</v>
      </c>
      <c r="EP3" s="59">
        <f>IF('Données projet'!E15&gt;30,$EN$33-$H$33,LOOKUP('Données projet'!$E$15,$A$3:$A$203,EN3:EN203)-LOOKUP('Données projet'!$E$15,$A$3:$A$203,$H$3:$H$203))</f>
        <v>130.44590390921582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405.42845699663462</v>
      </c>
      <c r="FK3" s="59">
        <f>IF('Données projet'!E16&gt;30,$FI$33-$H$33,LOOKUP('Données projet'!$E$16,$A$3:$A$203,FI3:FI203)-LOOKUP('Données projet'!$E$16,$A$3:$A$203,$H$3:$H$203))</f>
        <v>292.26503163353146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256.66666666666669</v>
      </c>
      <c r="GE3" s="59">
        <f ca="1">AVERAGE(OFFSET($GD$3,0,0,'Données projet'!$E$17+1,1))-AVERAGE(OFFSET($H$3,0,0,'Données projet'!$E$17+1,1))</f>
        <v>405.42845699663462</v>
      </c>
      <c r="GF3" s="59">
        <f>IF('Données projet'!E17&gt;30,$GD$33-$H$33,LOOKUP('Données projet'!$E$17,$A$3:$A$203,GD3:GD203)-LOOKUP('Données projet'!$E$17,$A$3:$A$203,$H$3:$H$203))</f>
        <v>292.26503163353146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7.9</v>
      </c>
      <c r="N4" s="13">
        <f>IF('Données projet'!$A$36&gt;35,N3+M4-V3,IF(A4&lt;'Données projet'!$A$36,$K$205^A4,IF(A4='Données projet'!$A$36,'Données projet'!$B$36,N3+M4-V3)))</f>
        <v>1.2880503926580862</v>
      </c>
      <c r="O4" s="13">
        <f>N4*VLOOKUP('Données projet'!$B$9,Paramètres!$A$1:$I$89,3,0)*VLOOKUP('Données projet'!$B$9,Paramètres!$A$1:$I$89,5,0)</f>
        <v>0.60280758376398436</v>
      </c>
      <c r="P4" s="13">
        <f>EXP(-1.0587+0.8836*LN(O4)+0.284)</f>
        <v>0.29465781953181042</v>
      </c>
      <c r="Q4" s="20">
        <f t="shared" ref="Q4:Q34" si="2">(O4+P4)*0.475*44/12</f>
        <v>1.5630855774068424</v>
      </c>
      <c r="R4" s="59">
        <f t="shared" si="0"/>
        <v>259.45197446629572</v>
      </c>
      <c r="S4" s="59">
        <f ca="1">AVERAGE(OFFSET($R$3,0,0,'Données projet'!$E$9+1,1))-AVERAGE(OFFSET($H$3,0,0,'Données projet'!$E$9+1,1))</f>
        <v>198.26255998041</v>
      </c>
      <c r="T4" s="59">
        <f>$T$3</f>
        <v>238.62101708181166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10.119999999999999</v>
      </c>
      <c r="AI4" s="13">
        <f>IF('Données projet'!$A$62&gt;35,AI3+AH4-AQ3,IF(A4&lt;'Données projet'!$A$62,$AF$205^A4,IF(A4='Données projet'!$A$62,'Données projet'!$B$62,AI3+AH4-AQ3)))</f>
        <v>1.2477420770391454</v>
      </c>
      <c r="AJ4" s="13">
        <f>AI4*VLOOKUP('Données projet'!$B$10,Paramètres!$A$1:$I$89,3,0)*VLOOKUP('Données projet'!$B$10,Paramètres!$A$1:$I$89,5,0)</f>
        <v>0.69748782106488227</v>
      </c>
      <c r="AK4" s="13">
        <f>EXP(-1.0587+0.8836*LN(AJ4)+0.284)</f>
        <v>0.33519770001131083</v>
      </c>
      <c r="AL4" s="20">
        <f t="shared" ref="AL4:AL67" si="4">(AJ4+AK4)*0.475*44/12</f>
        <v>1.798593949207703</v>
      </c>
      <c r="AM4" s="59">
        <f t="shared" ref="AM4:AM67" si="5">AL4+(AD4+AE4)*44/12</f>
        <v>259.68748283809657</v>
      </c>
      <c r="AN4" s="59">
        <f ca="1">AVERAGE(OFFSET($AM$3,0,0,'Données projet'!$E$10+1,1))-AVERAGE(OFFSET($H$3,0,0,'Données projet'!$E$10+1,1))</f>
        <v>347.02720636703873</v>
      </c>
      <c r="AO4" s="59">
        <f>$AO$3</f>
        <v>394.03759949558702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6.9411764705882355</v>
      </c>
      <c r="BD4" s="12">
        <f>IF('Données projet'!$A$88&gt;35,BD3+BC4-BL3,IF(A4&lt;'Données projet'!$A$88,$BA$205^A4,IF(A4='Données projet'!$A$88,'Données projet'!$B$88,BD3+BC4-BL3)))</f>
        <v>1.3239616704988877</v>
      </c>
      <c r="BE4" s="13">
        <f>BD4*VLOOKUP('Données projet'!$B$11,Paramètres!$A$1:$I$89,3,0)*VLOOKUP('Données projet'!$B$11,Paramètres!$A$1:$I$89,5,0)</f>
        <v>0.79172907895833489</v>
      </c>
      <c r="BF4" s="13">
        <f>EXP(-1.0587+0.8836*LN(BE4)+0.284)</f>
        <v>0.37491631974909195</v>
      </c>
      <c r="BG4" s="20">
        <f t="shared" ref="BG4:BG67" si="7">(BE4+BF4)*0.475*44/12</f>
        <v>2.031907402748768</v>
      </c>
      <c r="BH4" s="59">
        <f t="shared" ref="BH4:BH67" si="8">BG4+(AY4+AZ4)*44/12</f>
        <v>259.9207962916376</v>
      </c>
      <c r="BI4" s="59">
        <f ca="1">AVERAGE(OFFSET($BH$3,0,0,'Données projet'!$E$11+1,1))-AVERAGE(OFFSET($H$3,0,0,'Données projet'!$E$11+1,1))</f>
        <v>378.75660696651238</v>
      </c>
      <c r="BJ4" s="59">
        <f>$BJ$3</f>
        <v>371.70674704563288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2.1607142857142856</v>
      </c>
      <c r="BY4" s="12">
        <f>IF('Données projet'!$A$114&gt;35,BY3+BX4-CG3,IF(A4&lt;'Données projet'!$A$114,$BV$205^A4,IF(A4='Données projet'!$A$114,'Données projet'!$B$114,BY3+BX4-CG3)))</f>
        <v>2.1607142857142856</v>
      </c>
      <c r="BZ4" s="13">
        <f>BY4*VLOOKUP('Données projet'!$B$12,Paramètres!$A$1:$I$89,3,0)*VLOOKUP('Données projet'!$B$12,Paramètres!$A$1:$I$89,5,0)</f>
        <v>2.1909642857142857</v>
      </c>
      <c r="CA4" s="13">
        <f>EXP(-1.0587+0.8836*LN(BZ4)+0.284)</f>
        <v>0.92158928019872199</v>
      </c>
      <c r="CB4" s="20">
        <f t="shared" ref="CB4:CB67" si="10">(BZ4+CA4)*0.475*44/12</f>
        <v>5.421030793965155</v>
      </c>
      <c r="CC4" s="59">
        <f t="shared" ref="CC4:CC67" si="11">CB4+(BT4+BU4)*44/12</f>
        <v>263.309919682854</v>
      </c>
      <c r="CD4" s="59">
        <f ca="1">AVERAGE(OFFSET($CC$3,0,0,'Données projet'!$E$12+1,1))-AVERAGE(OFFSET($H$3,0,0,'Données projet'!$E$12+1,1))</f>
        <v>410.75375635525211</v>
      </c>
      <c r="CE4" s="59">
        <f>$CE$3</f>
        <v>183.55513001437367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</v>
      </c>
      <c r="CT4" s="12">
        <f>IF('Données projet'!$A$140&gt;35,CT3+CS4-DB3,IF(A4&lt;'Données projet'!$A$140,$CQ$205^A4,IF(A4='Données projet'!$A$140,'Données projet'!$B$140,CT3+CS4-DB3)))</f>
        <v>3</v>
      </c>
      <c r="CU4" s="17">
        <f>CT4*VLOOKUP('Données projet'!$B$13,Paramètres!$A$1:$I$89,3,0)*VLOOKUP('Données projet'!$B$13,Paramètres!$A$1:$I$89,5,0)</f>
        <v>2.7143999999999999</v>
      </c>
      <c r="CV4" s="13">
        <f>EXP(-1.0587+0.8836*LN(CU4)+0.284)</f>
        <v>1.1136437287183383</v>
      </c>
      <c r="CW4" s="20">
        <f t="shared" ref="CW4:CW67" si="13">(CU4+CV4)*0.475*44/12</f>
        <v>6.6671761608511053</v>
      </c>
      <c r="CX4" s="59">
        <f t="shared" ref="CX4:CX67" si="14">CW4+(CO4+CP4)*44/12</f>
        <v>264.55606504973997</v>
      </c>
      <c r="CY4" s="59">
        <f ca="1">AVERAGE(OFFSET($CX$3,0,0,'Données projet'!$E$13+1,1))-AVERAGE(OFFSET($H$3,0,0,'Données projet'!$E$13+1,1))</f>
        <v>436.12708882925142</v>
      </c>
      <c r="CZ4" s="59">
        <f>$CZ$3</f>
        <v>217.65884352525285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5.666666666666667</v>
      </c>
      <c r="DO4" s="12">
        <f>IF('Données projet'!$A$166&gt;35,DO3+DN4-DW3,IF(A4&lt;'Données projet'!$A$166,$DL$205^A4,IF(A4='Données projet'!$A$166,'Données projet'!$B$166,DO3+DN4-DW3)))</f>
        <v>1.3447078135163508</v>
      </c>
      <c r="DP4" s="17">
        <f>DO4*VLOOKUP('Données projet'!$B$14,Paramètres!$A$1:$I$89,3,0)*VLOOKUP('Données projet'!$B$14,Paramètres!$A$1:$I$89,5,0)</f>
        <v>1.2796239553421596</v>
      </c>
      <c r="DQ4" s="13">
        <f>EXP(-1.0587+0.8836*LN(DP4)+0.284)</f>
        <v>0.57302034223971443</v>
      </c>
      <c r="DR4" s="20">
        <f t="shared" ref="DR4:DR67" si="16">(DP4+DQ4)*0.475*44/12</f>
        <v>3.2266888182884306</v>
      </c>
      <c r="DS4" s="59">
        <f t="shared" ref="DS4:DS67" si="17">DR4+(DJ4+DK4)*44/12</f>
        <v>261.11557770717729</v>
      </c>
      <c r="DT4" s="59">
        <f ca="1">AVERAGE(OFFSET($DS$3,0,0,'Données projet'!$E$14+1,1))-AVERAGE(OFFSET($H$3,0,0,'Données projet'!$E$14+1,1))</f>
        <v>735.50267870886194</v>
      </c>
      <c r="DU4" s="59">
        <f>$DU$3</f>
        <v>525.80345400853275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2.1607142857142856</v>
      </c>
      <c r="EJ4" s="12">
        <f>IF('Données projet'!$A$192&gt;35,EJ3+EI4-ER3,IF(A4&lt;'Données projet'!$A$192,$EG$205^A4,IF(A4='Données projet'!$A$192,'Données projet'!$B$192,EJ3+EI4-ER3)))</f>
        <v>2.1607142857142856</v>
      </c>
      <c r="EK4" s="17">
        <f>EJ4*VLOOKUP('Données projet'!$B$15,Paramètres!$A$1:$I$89,3,0)*VLOOKUP('Données projet'!$B$15,Paramètres!$A$1:$I$89,5,0)</f>
        <v>1.381992857142857</v>
      </c>
      <c r="EL4" s="13">
        <f>EXP(-1.0587+0.8836*LN(EK4)+0.284)</f>
        <v>0.61334240010484853</v>
      </c>
      <c r="EM4" s="20">
        <f t="shared" ref="EM4:EM67" si="19">(EK4+EL4)*0.475*44/12</f>
        <v>3.4752089063730871</v>
      </c>
      <c r="EN4" s="59">
        <f t="shared" ref="EN4:EN67" si="20">EM4+(EE4+EF4)*44/12</f>
        <v>261.36409779526196</v>
      </c>
      <c r="EO4" s="59">
        <f ca="1">AVERAGE(OFFSET($EN$3,0,0,'Données projet'!$E$15+1,1))-AVERAGE(OFFSET($H$3,0,0,'Données projet'!$E$15+1,1))</f>
        <v>274.14900959323484</v>
      </c>
      <c r="EP4" s="59">
        <f>$EP$3</f>
        <v>130.44590390921582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5.5909090909090908</v>
      </c>
      <c r="FE4" s="12">
        <f>IF('Données projet'!$A$218&gt;35,FE3+FD4-FM3,IF(A4&lt;'Données projet'!$A$218,$FB$205^A4,IF(A4='Données projet'!$A$218,'Données projet'!$B$218,FE3+FD4-FM3)))</f>
        <v>1.244502252163008</v>
      </c>
      <c r="FF4" s="17">
        <f>FE4*VLOOKUP('Données projet'!$B$16,Paramètres!$A$1:$I$89,3,0)*VLOOKUP('Données projet'!$B$16,Paramètres!$A$1:$I$89,5,0)</f>
        <v>0.74421234679347892</v>
      </c>
      <c r="FG4" s="13">
        <f>EXP(-1.0587+0.8836*LN(FF4)+0.284)</f>
        <v>0.3549632728022305</v>
      </c>
      <c r="FH4" s="20">
        <f t="shared" ref="FH4:FH67" si="22">(FF4+FG4)*0.475*44/12</f>
        <v>1.9143975374625271</v>
      </c>
      <c r="FI4" s="59">
        <f t="shared" ref="FI4:FI67" si="23">FH4+(EZ4+FA4)*44/12</f>
        <v>259.80328642635141</v>
      </c>
      <c r="FJ4" s="59">
        <f ca="1">AVERAGE(OFFSET($FI$3,0,0,'Données projet'!$E$16+1,1))-AVERAGE(OFFSET($H$3,0,0,'Données projet'!$E$16+1,1))</f>
        <v>405.42845699663462</v>
      </c>
      <c r="FK4" s="59">
        <f>$FK$3</f>
        <v>292.26503163353146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5.5909090909090908</v>
      </c>
      <c r="FZ4" s="12">
        <f>IF('Données projet'!$A$244&gt;35,FZ3+FY4-GH3,IF(A4&lt;'Données projet'!$A$244,$FW$205^A4,IF(A4='Données projet'!$A$244,'Données projet'!$B$244,FZ3+FY4-GH3)))</f>
        <v>1.244502252163008</v>
      </c>
      <c r="GA4" s="17">
        <f>FZ4*VLOOKUP('Données projet'!$B$17,Paramètres!$A$1:$I$89,3,0)*VLOOKUP('Données projet'!$B$17,Paramètres!$A$1:$I$89,5,0)</f>
        <v>0.74421234679347892</v>
      </c>
      <c r="GB4" s="13">
        <f>EXP(-1.0587+0.8836*LN(GA4)+0.284)</f>
        <v>0.3549632728022305</v>
      </c>
      <c r="GC4" s="20">
        <f t="shared" ref="GC4:GC67" si="25">(GA4+GB4)*0.475*44/12</f>
        <v>1.9143975374625271</v>
      </c>
      <c r="GD4" s="59">
        <f t="shared" ref="GD4:GD67" si="26">GC4+(FU4+FV4)*44/12</f>
        <v>259.80328642635141</v>
      </c>
      <c r="GE4" s="59">
        <f ca="1">AVERAGE(OFFSET($GD$3,0,0,'Données projet'!$E$17+1,1))-AVERAGE(OFFSET($H$3,0,0,'Données projet'!$E$17+1,1))</f>
        <v>405.42845699663462</v>
      </c>
      <c r="GF4" s="59">
        <f>$GF$3</f>
        <v>292.26503163353146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7.9</v>
      </c>
      <c r="N5" s="13">
        <f>IF('Données projet'!$A$36&gt;35,N4+M5-V4,IF(A5&lt;'Données projet'!$A$36,$K$205^A5,IF(A5='Données projet'!$A$36,'Données projet'!$B$36,N4+M5-V4)))</f>
        <v>1.6590738140266501</v>
      </c>
      <c r="O5" s="13">
        <f>N5*VLOOKUP('Données projet'!$B$9,Paramètres!$A$1:$I$89,3,0)*VLOOKUP('Données projet'!$B$9,Paramètres!$A$1:$I$89,5,0)</f>
        <v>0.77644654496447219</v>
      </c>
      <c r="P5" s="13">
        <f t="shared" ref="P5:P68" si="33">EXP(-1.0587+0.8836*LN(O5)+0.284)</f>
        <v>0.36851455096495994</v>
      </c>
      <c r="Q5" s="20">
        <f t="shared" si="2"/>
        <v>1.9941405754104276</v>
      </c>
      <c r="R5" s="59">
        <f t="shared" si="0"/>
        <v>261.10525168652157</v>
      </c>
      <c r="S5" s="59">
        <f ca="1">AVERAGE(OFFSET($R$3,0,0,'Données projet'!$E$9+1,1))-AVERAGE(OFFSET($H$3,0,0,'Données projet'!$E$9+1,1))</f>
        <v>198.26255998041</v>
      </c>
      <c r="T5" s="59">
        <f t="shared" ref="T5:T68" si="34">$T$3</f>
        <v>238.62101708181166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10.119999999999999</v>
      </c>
      <c r="AI5" s="13">
        <f>IF('Données projet'!$A$62&gt;35,AI4+AH5-AQ4,IF(A5&lt;'Données projet'!$A$62,$AF$205^A5,IF(A5='Données projet'!$A$62,'Données projet'!$B$62,AI4+AH5-AQ4)))</f>
        <v>1.5568602908139606</v>
      </c>
      <c r="AJ5" s="13">
        <f>AI5*VLOOKUP('Données projet'!$B$10,Paramètres!$A$1:$I$89,3,0)*VLOOKUP('Données projet'!$B$10,Paramètres!$A$1:$I$89,5,0)</f>
        <v>0.8702849025650039</v>
      </c>
      <c r="AK5" s="13">
        <f t="shared" ref="AK5:AK68" si="35">EXP(-1.0587+0.8836*LN(AJ5)+0.284)</f>
        <v>0.40760257758249518</v>
      </c>
      <c r="AL5" s="20">
        <f t="shared" si="4"/>
        <v>2.2256540279235608</v>
      </c>
      <c r="AM5" s="59">
        <f t="shared" si="5"/>
        <v>261.3367651390347</v>
      </c>
      <c r="AN5" s="59">
        <f ca="1">AVERAGE(OFFSET($AM$3,0,0,'Données projet'!$E$10+1,1))-AVERAGE(OFFSET($H$3,0,0,'Données projet'!$E$10+1,1))</f>
        <v>347.02720636703873</v>
      </c>
      <c r="AO5" s="59">
        <f t="shared" ref="AO5:AO68" si="36">$AO$3</f>
        <v>394.03759949558702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6.9411764705882355</v>
      </c>
      <c r="BD5" s="12">
        <f>IF('Données projet'!$A$88&gt;35,BD4+BC5-BL4,IF(A5&lt;'Données projet'!$A$88,$BA$205^A5,IF(A5='Données projet'!$A$88,'Données projet'!$B$88,BD4+BC5-BL4)))</f>
        <v>1.7528745049502052</v>
      </c>
      <c r="BE5" s="13">
        <f>BD5*VLOOKUP('Données projet'!$B$11,Paramètres!$A$1:$I$89,3,0)*VLOOKUP('Données projet'!$B$11,Paramètres!$A$1:$I$89,5,0)</f>
        <v>1.0482189539602227</v>
      </c>
      <c r="BF5" s="13">
        <f t="shared" ref="BF5:BF68" si="37">EXP(-1.0587+0.8836*LN(BE5)+0.284)</f>
        <v>0.48042263342477459</v>
      </c>
      <c r="BG5" s="20">
        <f t="shared" si="7"/>
        <v>2.6623840980288702</v>
      </c>
      <c r="BH5" s="59">
        <f t="shared" si="8"/>
        <v>261.77349520914004</v>
      </c>
      <c r="BI5" s="59">
        <f ca="1">AVERAGE(OFFSET($BH$3,0,0,'Données projet'!$E$11+1,1))-AVERAGE(OFFSET($H$3,0,0,'Données projet'!$E$11+1,1))</f>
        <v>378.75660696651238</v>
      </c>
      <c r="BJ5" s="59">
        <f t="shared" ref="BJ5:BJ68" si="38">$BJ$3</f>
        <v>371.70674704563288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2.1607142857142856</v>
      </c>
      <c r="BY5" s="12">
        <f>IF('Données projet'!$A$114&gt;35,BY4+BX5-CG4,IF(A5&lt;'Données projet'!$A$114,$BV$205^A5,IF(A5='Données projet'!$A$114,'Données projet'!$B$114,BY4+BX5-CG4)))</f>
        <v>4.3214285714285712</v>
      </c>
      <c r="BZ5" s="13">
        <f>BY5*VLOOKUP('Données projet'!$B$12,Paramètres!$A$1:$I$89,3,0)*VLOOKUP('Données projet'!$B$12,Paramètres!$A$1:$I$89,5,0)</f>
        <v>4.3819285714285714</v>
      </c>
      <c r="CA5" s="13">
        <f t="shared" ref="CA5:CA68" si="39">EXP(-1.0587+0.8836*LN(BZ5)+0.284)</f>
        <v>1.7003076884755601</v>
      </c>
      <c r="CB5" s="20">
        <f t="shared" si="10"/>
        <v>10.593228152666363</v>
      </c>
      <c r="CC5" s="59">
        <f t="shared" si="11"/>
        <v>269.70433926377751</v>
      </c>
      <c r="CD5" s="59">
        <f ca="1">AVERAGE(OFFSET($CC$3,0,0,'Données projet'!$E$12+1,1))-AVERAGE(OFFSET($H$3,0,0,'Données projet'!$E$12+1,1))</f>
        <v>410.75375635525211</v>
      </c>
      <c r="CE5" s="59">
        <f t="shared" ref="CE5:CE68" si="40">$CE$3</f>
        <v>183.55513001437367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</v>
      </c>
      <c r="CT5" s="12">
        <f>IF('Données projet'!$A$140&gt;35,CT4+CS5-DB4,IF(A5&lt;'Données projet'!$A$140,$CQ$205^A5,IF(A5='Données projet'!$A$140,'Données projet'!$B$140,CT4+CS5-DB4)))</f>
        <v>6</v>
      </c>
      <c r="CU5" s="17">
        <f>CT5*VLOOKUP('Données projet'!$B$13,Paramètres!$A$1:$I$89,3,0)*VLOOKUP('Données projet'!$B$13,Paramètres!$A$1:$I$89,5,0)</f>
        <v>5.4287999999999998</v>
      </c>
      <c r="CV5" s="13">
        <f t="shared" ref="CV5:CV68" si="41">EXP(-1.0587+0.8836*LN(CU5)+0.284)</f>
        <v>2.0546430333413586</v>
      </c>
      <c r="CW5" s="20">
        <f t="shared" si="13"/>
        <v>13.033663283069531</v>
      </c>
      <c r="CX5" s="59">
        <f t="shared" si="14"/>
        <v>272.14477439418067</v>
      </c>
      <c r="CY5" s="59">
        <f ca="1">AVERAGE(OFFSET($CX$3,0,0,'Données projet'!$E$13+1,1))-AVERAGE(OFFSET($H$3,0,0,'Données projet'!$E$13+1,1))</f>
        <v>436.12708882925142</v>
      </c>
      <c r="CZ5" s="59">
        <f t="shared" ref="CZ5:CZ68" si="42">$CZ$3</f>
        <v>217.65884352525285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5.666666666666667</v>
      </c>
      <c r="DO5" s="12">
        <f>IF('Données projet'!$A$166&gt;35,DO4+DN5-DW4,IF(A5&lt;'Données projet'!$A$166,$DL$205^A5,IF(A5='Données projet'!$A$166,'Données projet'!$B$166,DO4+DN5-DW4)))</f>
        <v>1.808239103731925</v>
      </c>
      <c r="DP5" s="17">
        <f>DO5*VLOOKUP('Données projet'!$B$14,Paramètres!$A$1:$I$89,3,0)*VLOOKUP('Données projet'!$B$14,Paramètres!$A$1:$I$89,5,0)</f>
        <v>1.7207203311113</v>
      </c>
      <c r="DQ5" s="13">
        <f t="shared" ref="DQ5:DQ68" si="43">EXP(-1.0587+0.8836*LN(DP5)+0.284)</f>
        <v>0.7444331036753411</v>
      </c>
      <c r="DR5" s="20">
        <f t="shared" si="16"/>
        <v>4.2934755655867329</v>
      </c>
      <c r="DS5" s="59">
        <f t="shared" si="17"/>
        <v>263.40458667669787</v>
      </c>
      <c r="DT5" s="59">
        <f ca="1">AVERAGE(OFFSET($DS$3,0,0,'Données projet'!$E$14+1,1))-AVERAGE(OFFSET($H$3,0,0,'Données projet'!$E$14+1,1))</f>
        <v>735.50267870886194</v>
      </c>
      <c r="DU5" s="59">
        <f t="shared" ref="DU5:DU68" si="44">$DU$3</f>
        <v>525.80345400853275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2.1607142857142856</v>
      </c>
      <c r="EJ5" s="12">
        <f>IF('Données projet'!$A$192&gt;35,EJ4+EI5-ER4,IF(A5&lt;'Données projet'!$A$192,$EG$205^A5,IF(A5='Données projet'!$A$192,'Données projet'!$B$192,EJ4+EI5-ER4)))</f>
        <v>4.3214285714285712</v>
      </c>
      <c r="EK5" s="17">
        <f>EJ5*VLOOKUP('Données projet'!$B$15,Paramètres!$A$1:$I$89,3,0)*VLOOKUP('Données projet'!$B$15,Paramètres!$A$1:$I$89,5,0)</f>
        <v>2.763985714285714</v>
      </c>
      <c r="EL5" s="13">
        <f t="shared" ref="EL5:EL68" si="45">EXP(-1.0587+0.8836*LN(EK5)+0.284)</f>
        <v>1.1316004004966866</v>
      </c>
      <c r="EM5" s="20">
        <f t="shared" si="19"/>
        <v>6.7848124832460144</v>
      </c>
      <c r="EN5" s="59">
        <f t="shared" si="20"/>
        <v>265.89592359435716</v>
      </c>
      <c r="EO5" s="59">
        <f ca="1">AVERAGE(OFFSET($EN$3,0,0,'Données projet'!$E$15+1,1))-AVERAGE(OFFSET($H$3,0,0,'Données projet'!$E$15+1,1))</f>
        <v>274.14900959323484</v>
      </c>
      <c r="EP5" s="59">
        <f t="shared" ref="EP5:EP68" si="46">$EP$3</f>
        <v>130.44590390921582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5.5909090909090908</v>
      </c>
      <c r="FE5" s="12">
        <f>IF('Données projet'!$A$218&gt;35,FE4+FD5-FM4,IF(A5&lt;'Données projet'!$A$218,$FB$205^A5,IF(A5='Données projet'!$A$218,'Données projet'!$B$218,FE4+FD5-FM4)))</f>
        <v>1.5487858556387992</v>
      </c>
      <c r="FF5" s="17">
        <f>FE5*VLOOKUP('Données projet'!$B$16,Paramètres!$A$1:$I$89,3,0)*VLOOKUP('Données projet'!$B$16,Paramètres!$A$1:$I$89,5,0)</f>
        <v>0.92617394167200195</v>
      </c>
      <c r="FG5" s="13">
        <f t="shared" ref="FG5:FG68" si="47">EXP(-1.0587+0.8836*LN(FF5)+0.284)</f>
        <v>0.43064718121421069</v>
      </c>
      <c r="FH5" s="20">
        <f t="shared" si="22"/>
        <v>2.3631301223601535</v>
      </c>
      <c r="FI5" s="59">
        <f t="shared" si="23"/>
        <v>261.47424123347128</v>
      </c>
      <c r="FJ5" s="59">
        <f ca="1">AVERAGE(OFFSET($FI$3,0,0,'Données projet'!$E$16+1,1))-AVERAGE(OFFSET($H$3,0,0,'Données projet'!$E$16+1,1))</f>
        <v>405.42845699663462</v>
      </c>
      <c r="FK5" s="59">
        <f t="shared" ref="FK5:FK68" si="48">$FK$3</f>
        <v>292.26503163353146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5.5909090909090908</v>
      </c>
      <c r="FZ5" s="12">
        <f>IF('Données projet'!$A$244&gt;35,FZ4+FY5-GH4,IF(A5&lt;'Données projet'!$A$244,$FW$205^A5,IF(A5='Données projet'!$A$244,'Données projet'!$B$244,FZ4+FY5-GH4)))</f>
        <v>1.5487858556387992</v>
      </c>
      <c r="GA5" s="17">
        <f>FZ5*VLOOKUP('Données projet'!$B$17,Paramètres!$A$1:$I$89,3,0)*VLOOKUP('Données projet'!$B$17,Paramètres!$A$1:$I$89,5,0)</f>
        <v>0.92617394167200195</v>
      </c>
      <c r="GB5" s="13">
        <f t="shared" ref="GB5:GB68" si="49">EXP(-1.0587+0.8836*LN(GA5)+0.284)</f>
        <v>0.43064718121421069</v>
      </c>
      <c r="GC5" s="20">
        <f t="shared" si="25"/>
        <v>2.3631301223601535</v>
      </c>
      <c r="GD5" s="59">
        <f t="shared" si="26"/>
        <v>261.47424123347128</v>
      </c>
      <c r="GE5" s="59">
        <f ca="1">AVERAGE(OFFSET($GD$3,0,0,'Données projet'!$E$17+1,1))-AVERAGE(OFFSET($H$3,0,0,'Données projet'!$E$17+1,1))</f>
        <v>405.42845699663462</v>
      </c>
      <c r="GF5" s="59">
        <f t="shared" ref="GF5:GF68" si="50">$GF$3</f>
        <v>292.26503163353146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7.9</v>
      </c>
      <c r="N6" s="13">
        <f>IF('Données projet'!$A$36&gt;35,N5+M6-V5,IF(A6&lt;'Données projet'!$A$36,$K$205^A6,IF(A6='Données projet'!$A$36,'Données projet'!$B$36,N5+M6-V5)))</f>
        <v>2.1369706776057753</v>
      </c>
      <c r="O6" s="13">
        <f>N6*VLOOKUP('Données projet'!$B$9,Paramètres!$A$1:$I$89,3,0)*VLOOKUP('Données projet'!$B$9,Paramètres!$A$1:$I$89,5,0)</f>
        <v>1.0001022771195029</v>
      </c>
      <c r="P6" s="13">
        <f t="shared" si="33"/>
        <v>0.46088365986243646</v>
      </c>
      <c r="Q6" s="20">
        <f t="shared" si="2"/>
        <v>2.5445505069102112</v>
      </c>
      <c r="R6" s="59">
        <f t="shared" si="0"/>
        <v>262.8778838402435</v>
      </c>
      <c r="S6" s="59">
        <f ca="1">AVERAGE(OFFSET($R$3,0,0,'Données projet'!$E$9+1,1))-AVERAGE(OFFSET($H$3,0,0,'Données projet'!$E$9+1,1))</f>
        <v>198.26255998041</v>
      </c>
      <c r="T6" s="59">
        <f t="shared" si="34"/>
        <v>238.62101708181166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10.119999999999999</v>
      </c>
      <c r="AI6" s="13">
        <f>IF('Données projet'!$A$62&gt;35,AI5+AH6-AQ5,IF(A6&lt;'Données projet'!$A$62,$AF$205^A6,IF(A6='Données projet'!$A$62,'Données projet'!$B$62,AI5+AH6-AQ5)))</f>
        <v>1.9425600929199791</v>
      </c>
      <c r="AJ6" s="13">
        <f>AI6*VLOOKUP('Données projet'!$B$10,Paramètres!$A$1:$I$89,3,0)*VLOOKUP('Données projet'!$B$10,Paramètres!$A$1:$I$89,5,0)</f>
        <v>1.0858910919422684</v>
      </c>
      <c r="AK6" s="13">
        <f t="shared" si="35"/>
        <v>0.49564737838680845</v>
      </c>
      <c r="AL6" s="20">
        <f t="shared" si="4"/>
        <v>2.7545128358231423</v>
      </c>
      <c r="AM6" s="59">
        <f t="shared" si="5"/>
        <v>263.08784616915648</v>
      </c>
      <c r="AN6" s="59">
        <f ca="1">AVERAGE(OFFSET($AM$3,0,0,'Données projet'!$E$10+1,1))-AVERAGE(OFFSET($H$3,0,0,'Données projet'!$E$10+1,1))</f>
        <v>347.02720636703873</v>
      </c>
      <c r="AO6" s="59">
        <f t="shared" si="36"/>
        <v>394.03759949558702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6.9411764705882355</v>
      </c>
      <c r="BD6" s="12">
        <f>IF('Données projet'!$A$88&gt;35,BD5+BC6-BL5,IF(A6&lt;'Données projet'!$A$88,$BA$205^A6,IF(A6='Données projet'!$A$88,'Données projet'!$B$88,BD5+BC6-BL5)))</f>
        <v>2.3207386577487843</v>
      </c>
      <c r="BE6" s="13">
        <f>BD6*VLOOKUP('Données projet'!$B$11,Paramètres!$A$1:$I$89,3,0)*VLOOKUP('Données projet'!$B$11,Paramètres!$A$1:$I$89,5,0)</f>
        <v>1.3878017173337731</v>
      </c>
      <c r="BF6" s="13">
        <f t="shared" si="37"/>
        <v>0.61561979180116611</v>
      </c>
      <c r="BG6" s="20">
        <f t="shared" si="7"/>
        <v>3.4892924617433518</v>
      </c>
      <c r="BH6" s="59">
        <f t="shared" si="8"/>
        <v>263.82262579507665</v>
      </c>
      <c r="BI6" s="59">
        <f ca="1">AVERAGE(OFFSET($BH$3,0,0,'Données projet'!$E$11+1,1))-AVERAGE(OFFSET($H$3,0,0,'Données projet'!$E$11+1,1))</f>
        <v>378.75660696651238</v>
      </c>
      <c r="BJ6" s="59">
        <f t="shared" si="38"/>
        <v>371.70674704563288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2.1607142857142856</v>
      </c>
      <c r="BY6" s="12">
        <f>IF('Données projet'!$A$114&gt;35,BY5+BX6-CG5,IF(A6&lt;'Données projet'!$A$114,$BV$205^A6,IF(A6='Données projet'!$A$114,'Données projet'!$B$114,BY5+BX6-CG5)))</f>
        <v>6.4821428571428568</v>
      </c>
      <c r="BZ6" s="13">
        <f>BY6*VLOOKUP('Données projet'!$B$12,Paramètres!$A$1:$I$89,3,0)*VLOOKUP('Données projet'!$B$12,Paramètres!$A$1:$I$89,5,0)</f>
        <v>6.5728928571428566</v>
      </c>
      <c r="CA6" s="13">
        <f t="shared" si="39"/>
        <v>2.4328859767907685</v>
      </c>
      <c r="CB6" s="20">
        <f t="shared" si="10"/>
        <v>15.685064802434397</v>
      </c>
      <c r="CC6" s="59">
        <f t="shared" si="11"/>
        <v>276.01839813576771</v>
      </c>
      <c r="CD6" s="59">
        <f ca="1">AVERAGE(OFFSET($CC$3,0,0,'Données projet'!$E$12+1,1))-AVERAGE(OFFSET($H$3,0,0,'Données projet'!$E$12+1,1))</f>
        <v>410.75375635525211</v>
      </c>
      <c r="CE6" s="59">
        <f t="shared" si="40"/>
        <v>183.55513001437367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</v>
      </c>
      <c r="CT6" s="12">
        <f>IF('Données projet'!$A$140&gt;35,CT5+CS6-DB5,IF(A6&lt;'Données projet'!$A$140,$CQ$205^A6,IF(A6='Données projet'!$A$140,'Données projet'!$B$140,CT5+CS6-DB5)))</f>
        <v>9</v>
      </c>
      <c r="CU6" s="17">
        <f>CT6*VLOOKUP('Données projet'!$B$13,Paramètres!$A$1:$I$89,3,0)*VLOOKUP('Données projet'!$B$13,Paramètres!$A$1:$I$89,5,0)</f>
        <v>8.1432000000000002</v>
      </c>
      <c r="CV6" s="13">
        <f t="shared" si="41"/>
        <v>2.9398868551895574</v>
      </c>
      <c r="CW6" s="20">
        <f t="shared" si="13"/>
        <v>19.303042939455146</v>
      </c>
      <c r="CX6" s="59">
        <f t="shared" si="14"/>
        <v>279.63637627278848</v>
      </c>
      <c r="CY6" s="59">
        <f ca="1">AVERAGE(OFFSET($CX$3,0,0,'Données projet'!$E$13+1,1))-AVERAGE(OFFSET($H$3,0,0,'Données projet'!$E$13+1,1))</f>
        <v>436.12708882925142</v>
      </c>
      <c r="CZ6" s="59">
        <f t="shared" si="42"/>
        <v>217.65884352525285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5.666666666666667</v>
      </c>
      <c r="DO6" s="12">
        <f>IF('Données projet'!$A$166&gt;35,DO5+DN6-DW5,IF(A6&lt;'Données projet'!$A$166,$DL$205^A6,IF(A6='Données projet'!$A$166,'Données projet'!$B$166,DO5+DN6-DW5)))</f>
        <v>2.4315532514941229</v>
      </c>
      <c r="DP6" s="17">
        <f>DO6*VLOOKUP('Données projet'!$B$14,Paramètres!$A$1:$I$89,3,0)*VLOOKUP('Données projet'!$B$14,Paramètres!$A$1:$I$89,5,0)</f>
        <v>2.3138660741218073</v>
      </c>
      <c r="DQ6" s="13">
        <f t="shared" si="43"/>
        <v>0.96712211591236674</v>
      </c>
      <c r="DR6" s="20">
        <f t="shared" si="16"/>
        <v>5.71438776430952</v>
      </c>
      <c r="DS6" s="59">
        <f t="shared" si="17"/>
        <v>266.04772109764281</v>
      </c>
      <c r="DT6" s="59">
        <f ca="1">AVERAGE(OFFSET($DS$3,0,0,'Données projet'!$E$14+1,1))-AVERAGE(OFFSET($H$3,0,0,'Données projet'!$E$14+1,1))</f>
        <v>735.50267870886194</v>
      </c>
      <c r="DU6" s="59">
        <f t="shared" si="44"/>
        <v>525.80345400853275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2.1607142857142856</v>
      </c>
      <c r="EJ6" s="12">
        <f>IF('Données projet'!$A$192&gt;35,EJ5+EI6-ER5,IF(A6&lt;'Données projet'!$A$192,$EG$205^A6,IF(A6='Données projet'!$A$192,'Données projet'!$B$192,EJ5+EI6-ER5)))</f>
        <v>6.4821428571428568</v>
      </c>
      <c r="EK6" s="17">
        <f>EJ6*VLOOKUP('Données projet'!$B$15,Paramètres!$A$1:$I$89,3,0)*VLOOKUP('Données projet'!$B$15,Paramètres!$A$1:$I$89,5,0)</f>
        <v>4.1459785714285715</v>
      </c>
      <c r="EL6" s="13">
        <f t="shared" si="45"/>
        <v>1.6191509127195123</v>
      </c>
      <c r="EM6" s="20">
        <f t="shared" si="19"/>
        <v>10.040933851557911</v>
      </c>
      <c r="EN6" s="59">
        <f t="shared" si="20"/>
        <v>270.37426718489121</v>
      </c>
      <c r="EO6" s="59">
        <f ca="1">AVERAGE(OFFSET($EN$3,0,0,'Données projet'!$E$15+1,1))-AVERAGE(OFFSET($H$3,0,0,'Données projet'!$E$15+1,1))</f>
        <v>274.14900959323484</v>
      </c>
      <c r="EP6" s="59">
        <f t="shared" si="46"/>
        <v>130.44590390921582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5.5909090909090908</v>
      </c>
      <c r="FE6" s="12">
        <f>IF('Données projet'!$A$218&gt;35,FE5+FD6-FM5,IF(A6&lt;'Données projet'!$A$218,$FB$205^A6,IF(A6='Données projet'!$A$218,'Données projet'!$B$218,FE5+FD6-FM5)))</f>
        <v>1.927467485460697</v>
      </c>
      <c r="FF6" s="17">
        <f>FE6*VLOOKUP('Données projet'!$B$16,Paramètres!$A$1:$I$89,3,0)*VLOOKUP('Données projet'!$B$16,Paramètres!$A$1:$I$89,5,0)</f>
        <v>1.152625556305497</v>
      </c>
      <c r="FG6" s="13">
        <f t="shared" si="47"/>
        <v>0.52246812247269758</v>
      </c>
      <c r="FH6" s="20">
        <f t="shared" si="22"/>
        <v>2.9174548238720219</v>
      </c>
      <c r="FI6" s="59">
        <f t="shared" si="23"/>
        <v>263.25078815720536</v>
      </c>
      <c r="FJ6" s="59">
        <f ca="1">AVERAGE(OFFSET($FI$3,0,0,'Données projet'!$E$16+1,1))-AVERAGE(OFFSET($H$3,0,0,'Données projet'!$E$16+1,1))</f>
        <v>405.42845699663462</v>
      </c>
      <c r="FK6" s="59">
        <f t="shared" si="48"/>
        <v>292.26503163353146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5.5909090909090908</v>
      </c>
      <c r="FZ6" s="12">
        <f>IF('Données projet'!$A$244&gt;35,FZ5+FY6-GH5,IF(A6&lt;'Données projet'!$A$244,$FW$205^A6,IF(A6='Données projet'!$A$244,'Données projet'!$B$244,FZ5+FY6-GH5)))</f>
        <v>1.927467485460697</v>
      </c>
      <c r="GA6" s="17">
        <f>FZ6*VLOOKUP('Données projet'!$B$17,Paramètres!$A$1:$I$89,3,0)*VLOOKUP('Données projet'!$B$17,Paramètres!$A$1:$I$89,5,0)</f>
        <v>1.152625556305497</v>
      </c>
      <c r="GB6" s="13">
        <f t="shared" si="49"/>
        <v>0.52246812247269758</v>
      </c>
      <c r="GC6" s="20">
        <f t="shared" si="25"/>
        <v>2.9174548238720219</v>
      </c>
      <c r="GD6" s="59">
        <f t="shared" si="26"/>
        <v>263.25078815720536</v>
      </c>
      <c r="GE6" s="59">
        <f ca="1">AVERAGE(OFFSET($GD$3,0,0,'Données projet'!$E$17+1,1))-AVERAGE(OFFSET($H$3,0,0,'Données projet'!$E$17+1,1))</f>
        <v>405.42845699663462</v>
      </c>
      <c r="GF6" s="59">
        <f t="shared" si="50"/>
        <v>292.26503163353146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7.9</v>
      </c>
      <c r="N7" s="13">
        <f>IF('Données projet'!$A$36&gt;35,N6+M7-V6,IF(A7&lt;'Données projet'!$A$36,$K$205^A7,IF(A7='Données projet'!$A$36,'Données projet'!$B$36,N6+M7-V6)))</f>
        <v>2.7525259203889356</v>
      </c>
      <c r="O7" s="13">
        <f>N7*VLOOKUP('Données projet'!$B$9,Paramètres!$A$1:$I$89,3,0)*VLOOKUP('Données projet'!$B$9,Paramètres!$A$1:$I$89,5,0)</f>
        <v>1.2881821307420218</v>
      </c>
      <c r="P7" s="13">
        <f t="shared" si="33"/>
        <v>0.57640532069082717</v>
      </c>
      <c r="Q7" s="20">
        <f t="shared" si="2"/>
        <v>3.2474898112455457</v>
      </c>
      <c r="R7" s="59">
        <f t="shared" si="0"/>
        <v>264.80304536680109</v>
      </c>
      <c r="S7" s="59">
        <f ca="1">AVERAGE(OFFSET($R$3,0,0,'Données projet'!$E$9+1,1))-AVERAGE(OFFSET($H$3,0,0,'Données projet'!$E$9+1,1))</f>
        <v>198.26255998041</v>
      </c>
      <c r="T7" s="59">
        <f t="shared" si="34"/>
        <v>238.62101708181166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10.119999999999999</v>
      </c>
      <c r="AI7" s="13">
        <f>IF('Données projet'!$A$62&gt;35,AI6+AH7-AQ6,IF(A7&lt;'Données projet'!$A$62,$AF$205^A7,IF(A7='Données projet'!$A$62,'Données projet'!$B$62,AI6+AH7-AQ6)))</f>
        <v>2.4238139651133301</v>
      </c>
      <c r="AJ7" s="13">
        <f>AI7*VLOOKUP('Données projet'!$B$10,Paramètres!$A$1:$I$89,3,0)*VLOOKUP('Données projet'!$B$10,Paramètres!$A$1:$I$89,5,0)</f>
        <v>1.3549120064983515</v>
      </c>
      <c r="AK7" s="13">
        <f t="shared" si="35"/>
        <v>0.60271042729604751</v>
      </c>
      <c r="AL7" s="20">
        <f t="shared" si="4"/>
        <v>3.4095257388585782</v>
      </c>
      <c r="AM7" s="59">
        <f t="shared" si="5"/>
        <v>264.96508129441412</v>
      </c>
      <c r="AN7" s="59">
        <f ca="1">AVERAGE(OFFSET($AM$3,0,0,'Données projet'!$E$10+1,1))-AVERAGE(OFFSET($H$3,0,0,'Données projet'!$E$10+1,1))</f>
        <v>347.02720636703873</v>
      </c>
      <c r="AO7" s="59">
        <f t="shared" si="36"/>
        <v>394.03759949558702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6.9411764705882355</v>
      </c>
      <c r="BD7" s="12">
        <f>IF('Données projet'!$A$88&gt;35,BD6+BC7-BL6,IF(A7&lt;'Données projet'!$A$88,$BA$205^A7,IF(A7='Données projet'!$A$88,'Données projet'!$B$88,BD6+BC7-BL6)))</f>
        <v>3.0725690301044271</v>
      </c>
      <c r="BE7" s="13">
        <f>BD7*VLOOKUP('Données projet'!$B$11,Paramètres!$A$1:$I$89,3,0)*VLOOKUP('Données projet'!$B$11,Paramètres!$A$1:$I$89,5,0)</f>
        <v>1.8373962800024475</v>
      </c>
      <c r="BF7" s="13">
        <f t="shared" si="37"/>
        <v>0.78886318355909346</v>
      </c>
      <c r="BG7" s="20">
        <f t="shared" si="7"/>
        <v>4.5740685657030165</v>
      </c>
      <c r="BH7" s="59">
        <f t="shared" si="8"/>
        <v>266.12962412125859</v>
      </c>
      <c r="BI7" s="59">
        <f ca="1">AVERAGE(OFFSET($BH$3,0,0,'Données projet'!$E$11+1,1))-AVERAGE(OFFSET($H$3,0,0,'Données projet'!$E$11+1,1))</f>
        <v>378.75660696651238</v>
      </c>
      <c r="BJ7" s="59">
        <f t="shared" si="38"/>
        <v>371.70674704563288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2.1607142857142856</v>
      </c>
      <c r="BY7" s="12">
        <f>IF('Données projet'!$A$114&gt;35,BY6+BX7-CG6,IF(A7&lt;'Données projet'!$A$114,$BV$205^A7,IF(A7='Données projet'!$A$114,'Données projet'!$B$114,BY6+BX7-CG6)))</f>
        <v>8.6428571428571423</v>
      </c>
      <c r="BZ7" s="13">
        <f>BY7*VLOOKUP('Données projet'!$B$12,Paramètres!$A$1:$I$89,3,0)*VLOOKUP('Données projet'!$B$12,Paramètres!$A$1:$I$89,5,0)</f>
        <v>8.7638571428571428</v>
      </c>
      <c r="CA7" s="13">
        <f t="shared" si="39"/>
        <v>3.1370224215994651</v>
      </c>
      <c r="CB7" s="20">
        <f t="shared" si="10"/>
        <v>20.72736524142859</v>
      </c>
      <c r="CC7" s="59">
        <f t="shared" si="11"/>
        <v>282.28292079698411</v>
      </c>
      <c r="CD7" s="59">
        <f ca="1">AVERAGE(OFFSET($CC$3,0,0,'Données projet'!$E$12+1,1))-AVERAGE(OFFSET($H$3,0,0,'Données projet'!$E$12+1,1))</f>
        <v>410.75375635525211</v>
      </c>
      <c r="CE7" s="59">
        <f t="shared" si="40"/>
        <v>183.55513001437367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</v>
      </c>
      <c r="CT7" s="12">
        <f>IF('Données projet'!$A$140&gt;35,CT6+CS7-DB6,IF(A7&lt;'Données projet'!$A$140,$CQ$205^A7,IF(A7='Données projet'!$A$140,'Données projet'!$B$140,CT6+CS7-DB6)))</f>
        <v>12</v>
      </c>
      <c r="CU7" s="17">
        <f>CT7*VLOOKUP('Données projet'!$B$13,Paramètres!$A$1:$I$89,3,0)*VLOOKUP('Données projet'!$B$13,Paramètres!$A$1:$I$89,5,0)</f>
        <v>10.8576</v>
      </c>
      <c r="CV7" s="13">
        <f t="shared" si="41"/>
        <v>3.7907617001683773</v>
      </c>
      <c r="CW7" s="20">
        <f t="shared" si="13"/>
        <v>25.512563294459923</v>
      </c>
      <c r="CX7" s="59">
        <f t="shared" si="14"/>
        <v>287.06811885001548</v>
      </c>
      <c r="CY7" s="59">
        <f ca="1">AVERAGE(OFFSET($CX$3,0,0,'Données projet'!$E$13+1,1))-AVERAGE(OFFSET($H$3,0,0,'Données projet'!$E$13+1,1))</f>
        <v>436.12708882925142</v>
      </c>
      <c r="CZ7" s="59">
        <f t="shared" si="42"/>
        <v>217.65884352525285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5.666666666666667</v>
      </c>
      <c r="DO7" s="12">
        <f>IF('Données projet'!$A$166&gt;35,DO6+DN7-DW6,IF(A7&lt;'Données projet'!$A$166,$DL$205^A7,IF(A7='Données projet'!$A$166,'Données projet'!$B$166,DO6+DN7-DW6)))</f>
        <v>3.2697286562652352</v>
      </c>
      <c r="DP7" s="17">
        <f>DO7*VLOOKUP('Données projet'!$B$14,Paramètres!$A$1:$I$89,3,0)*VLOOKUP('Données projet'!$B$14,Paramètres!$A$1:$I$89,5,0)</f>
        <v>3.1114737893019981</v>
      </c>
      <c r="DQ7" s="13">
        <f t="shared" si="43"/>
        <v>1.2564261079592229</v>
      </c>
      <c r="DR7" s="20">
        <f t="shared" si="16"/>
        <v>7.6074256543966259</v>
      </c>
      <c r="DS7" s="59">
        <f t="shared" si="17"/>
        <v>269.16298120995219</v>
      </c>
      <c r="DT7" s="59">
        <f ca="1">AVERAGE(OFFSET($DS$3,0,0,'Données projet'!$E$14+1,1))-AVERAGE(OFFSET($H$3,0,0,'Données projet'!$E$14+1,1))</f>
        <v>735.50267870886194</v>
      </c>
      <c r="DU7" s="59">
        <f t="shared" si="44"/>
        <v>525.80345400853275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2.1607142857142856</v>
      </c>
      <c r="EJ7" s="12">
        <f>IF('Données projet'!$A$192&gt;35,EJ6+EI7-ER6,IF(A7&lt;'Données projet'!$A$192,$EG$205^A7,IF(A7='Données projet'!$A$192,'Données projet'!$B$192,EJ6+EI7-ER6)))</f>
        <v>8.6428571428571423</v>
      </c>
      <c r="EK7" s="17">
        <f>EJ7*VLOOKUP('Données projet'!$B$15,Paramètres!$A$1:$I$89,3,0)*VLOOKUP('Données projet'!$B$15,Paramètres!$A$1:$I$89,5,0)</f>
        <v>5.5279714285714281</v>
      </c>
      <c r="EL7" s="13">
        <f t="shared" si="45"/>
        <v>2.0877726147505244</v>
      </c>
      <c r="EM7" s="20">
        <f t="shared" si="19"/>
        <v>13.264087542119066</v>
      </c>
      <c r="EN7" s="59">
        <f t="shared" si="20"/>
        <v>274.8196430976746</v>
      </c>
      <c r="EO7" s="59">
        <f ca="1">AVERAGE(OFFSET($EN$3,0,0,'Données projet'!$E$15+1,1))-AVERAGE(OFFSET($H$3,0,0,'Données projet'!$E$15+1,1))</f>
        <v>274.14900959323484</v>
      </c>
      <c r="EP7" s="59">
        <f t="shared" si="46"/>
        <v>130.44590390921582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5.5909090909090908</v>
      </c>
      <c r="FE7" s="12">
        <f>IF('Données projet'!$A$218&gt;35,FE6+FD7-FM6,IF(A7&lt;'Données projet'!$A$218,$FB$205^A7,IF(A7='Données projet'!$A$218,'Données projet'!$B$218,FE6+FD7-FM6)))</f>
        <v>2.3987376266268075</v>
      </c>
      <c r="FF7" s="17">
        <f>FE7*VLOOKUP('Données projet'!$B$16,Paramètres!$A$1:$I$89,3,0)*VLOOKUP('Données projet'!$B$16,Paramètres!$A$1:$I$89,5,0)</f>
        <v>1.4344451007228309</v>
      </c>
      <c r="FG7" s="13">
        <f t="shared" si="47"/>
        <v>0.63386677286612625</v>
      </c>
      <c r="FH7" s="20">
        <f t="shared" si="22"/>
        <v>3.6023098465007668</v>
      </c>
      <c r="FI7" s="59">
        <f t="shared" si="23"/>
        <v>265.1578654020563</v>
      </c>
      <c r="FJ7" s="59">
        <f ca="1">AVERAGE(OFFSET($FI$3,0,0,'Données projet'!$E$16+1,1))-AVERAGE(OFFSET($H$3,0,0,'Données projet'!$E$16+1,1))</f>
        <v>405.42845699663462</v>
      </c>
      <c r="FK7" s="59">
        <f t="shared" si="48"/>
        <v>292.26503163353146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5.5909090909090908</v>
      </c>
      <c r="FZ7" s="12">
        <f>IF('Données projet'!$A$244&gt;35,FZ6+FY7-GH6,IF(A7&lt;'Données projet'!$A$244,$FW$205^A7,IF(A7='Données projet'!$A$244,'Données projet'!$B$244,FZ6+FY7-GH6)))</f>
        <v>2.3987376266268075</v>
      </c>
      <c r="GA7" s="17">
        <f>FZ7*VLOOKUP('Données projet'!$B$17,Paramètres!$A$1:$I$89,3,0)*VLOOKUP('Données projet'!$B$17,Paramètres!$A$1:$I$89,5,0)</f>
        <v>1.4344451007228309</v>
      </c>
      <c r="GB7" s="13">
        <f t="shared" si="49"/>
        <v>0.63386677286612625</v>
      </c>
      <c r="GC7" s="20">
        <f t="shared" si="25"/>
        <v>3.6023098465007668</v>
      </c>
      <c r="GD7" s="59">
        <f t="shared" si="26"/>
        <v>265.1578654020563</v>
      </c>
      <c r="GE7" s="59">
        <f ca="1">AVERAGE(OFFSET($GD$3,0,0,'Données projet'!$E$17+1,1))-AVERAGE(OFFSET($H$3,0,0,'Données projet'!$E$17+1,1))</f>
        <v>405.42845699663462</v>
      </c>
      <c r="GF7" s="59">
        <f t="shared" si="50"/>
        <v>292.26503163353146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7.9</v>
      </c>
      <c r="N8" s="13">
        <f>IF('Données projet'!$A$36&gt;35,N7+M8-V7,IF(A8&lt;'Données projet'!$A$36,$K$205^A8,IF(A8='Données projet'!$A$36,'Données projet'!$B$36,N7+M8-V7)))</f>
        <v>3.5453920925585285</v>
      </c>
      <c r="O8" s="13">
        <f>N8*VLOOKUP('Données projet'!$B$9,Paramètres!$A$1:$I$89,3,0)*VLOOKUP('Données projet'!$B$9,Paramètres!$A$1:$I$89,5,0)</f>
        <v>1.6592434993173915</v>
      </c>
      <c r="P8" s="13">
        <f t="shared" si="33"/>
        <v>0.72088277944126433</v>
      </c>
      <c r="Q8" s="20">
        <f t="shared" si="2"/>
        <v>4.1453866021713255</v>
      </c>
      <c r="R8" s="59">
        <f t="shared" si="0"/>
        <v>266.92316437994907</v>
      </c>
      <c r="S8" s="59">
        <f ca="1">AVERAGE(OFFSET($R$3,0,0,'Données projet'!$E$9+1,1))-AVERAGE(OFFSET($H$3,0,0,'Données projet'!$E$9+1,1))</f>
        <v>198.26255998041</v>
      </c>
      <c r="T8" s="59">
        <f t="shared" si="34"/>
        <v>238.62101708181166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10.119999999999999</v>
      </c>
      <c r="AI8" s="13">
        <f>IF('Données projet'!$A$62&gt;35,AI7+AH8-AQ7,IF(A8&lt;'Données projet'!$A$62,$AF$205^A8,IF(A8='Données projet'!$A$62,'Données projet'!$B$62,AI7+AH8-AQ7)))</f>
        <v>3.0242946711869934</v>
      </c>
      <c r="AJ8" s="13">
        <f>AI8*VLOOKUP('Données projet'!$B$10,Paramètres!$A$1:$I$89,3,0)*VLOOKUP('Données projet'!$B$10,Paramètres!$A$1:$I$89,5,0)</f>
        <v>1.6905807211935295</v>
      </c>
      <c r="AK8" s="13">
        <f t="shared" si="35"/>
        <v>0.7328997892689193</v>
      </c>
      <c r="AL8" s="20">
        <f t="shared" si="4"/>
        <v>4.2208952223887648</v>
      </c>
      <c r="AM8" s="59">
        <f t="shared" si="5"/>
        <v>266.99867300016655</v>
      </c>
      <c r="AN8" s="59">
        <f ca="1">AVERAGE(OFFSET($AM$3,0,0,'Données projet'!$E$10+1,1))-AVERAGE(OFFSET($H$3,0,0,'Données projet'!$E$10+1,1))</f>
        <v>347.02720636703873</v>
      </c>
      <c r="AO8" s="59">
        <f t="shared" si="36"/>
        <v>394.03759949558702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6.9411764705882355</v>
      </c>
      <c r="BD8" s="12">
        <f>IF('Données projet'!$A$88&gt;35,BD7+BC8-BL7,IF(A8&lt;'Données projet'!$A$88,$BA$205^A8,IF(A8='Données projet'!$A$88,'Données projet'!$B$88,BD7+BC8-BL7)))</f>
        <v>4.0679636258202043</v>
      </c>
      <c r="BE8" s="13">
        <f>BD8*VLOOKUP('Données projet'!$B$11,Paramètres!$A$1:$I$89,3,0)*VLOOKUP('Données projet'!$B$11,Paramètres!$A$1:$I$89,5,0)</f>
        <v>2.4326422482404824</v>
      </c>
      <c r="BF8" s="13">
        <f t="shared" si="37"/>
        <v>1.0108595120931088</v>
      </c>
      <c r="BG8" s="20">
        <f t="shared" si="7"/>
        <v>5.9974322325810041</v>
      </c>
      <c r="BH8" s="59">
        <f t="shared" si="8"/>
        <v>268.77521001035876</v>
      </c>
      <c r="BI8" s="59">
        <f ca="1">AVERAGE(OFFSET($BH$3,0,0,'Données projet'!$E$11+1,1))-AVERAGE(OFFSET($H$3,0,0,'Données projet'!$E$11+1,1))</f>
        <v>378.75660696651238</v>
      </c>
      <c r="BJ8" s="59">
        <f t="shared" si="38"/>
        <v>371.70674704563288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2.1607142857142856</v>
      </c>
      <c r="BY8" s="12">
        <f>IF('Données projet'!$A$114&gt;35,BY7+BX8-CG7,IF(A8&lt;'Données projet'!$A$114,$BV$205^A8,IF(A8='Données projet'!$A$114,'Données projet'!$B$114,BY7+BX8-CG7)))</f>
        <v>10.803571428571427</v>
      </c>
      <c r="BZ8" s="13">
        <f>BY8*VLOOKUP('Données projet'!$B$12,Paramètres!$A$1:$I$89,3,0)*VLOOKUP('Données projet'!$B$12,Paramètres!$A$1:$I$89,5,0)</f>
        <v>10.954821428571428</v>
      </c>
      <c r="CA8" s="13">
        <f t="shared" si="39"/>
        <v>3.8207384619789706</v>
      </c>
      <c r="CB8" s="20">
        <f t="shared" si="10"/>
        <v>25.734100142708613</v>
      </c>
      <c r="CC8" s="59">
        <f t="shared" si="11"/>
        <v>288.51187792048637</v>
      </c>
      <c r="CD8" s="59">
        <f ca="1">AVERAGE(OFFSET($CC$3,0,0,'Données projet'!$E$12+1,1))-AVERAGE(OFFSET($H$3,0,0,'Données projet'!$E$12+1,1))</f>
        <v>410.75375635525211</v>
      </c>
      <c r="CE8" s="59">
        <f t="shared" si="40"/>
        <v>183.55513001437367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</v>
      </c>
      <c r="CT8" s="12">
        <f>IF('Données projet'!$A$140&gt;35,CT7+CS8-DB7,IF(A8&lt;'Données projet'!$A$140,$CQ$205^A8,IF(A8='Données projet'!$A$140,'Données projet'!$B$140,CT7+CS8-DB7)))</f>
        <v>15</v>
      </c>
      <c r="CU8" s="17">
        <f>CT8*VLOOKUP('Données projet'!$B$13,Paramètres!$A$1:$I$89,3,0)*VLOOKUP('Données projet'!$B$13,Paramètres!$A$1:$I$89,5,0)</f>
        <v>13.571999999999999</v>
      </c>
      <c r="CV8" s="13">
        <f t="shared" si="41"/>
        <v>4.6169606338501863</v>
      </c>
      <c r="CW8" s="20">
        <f t="shared" si="13"/>
        <v>31.679106437289075</v>
      </c>
      <c r="CX8" s="59">
        <f t="shared" si="14"/>
        <v>294.45688421506685</v>
      </c>
      <c r="CY8" s="59">
        <f ca="1">AVERAGE(OFFSET($CX$3,0,0,'Données projet'!$E$13+1,1))-AVERAGE(OFFSET($H$3,0,0,'Données projet'!$E$13+1,1))</f>
        <v>436.12708882925142</v>
      </c>
      <c r="CZ8" s="59">
        <f t="shared" si="42"/>
        <v>217.65884352525285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5.666666666666667</v>
      </c>
      <c r="DO8" s="12">
        <f>IF('Données projet'!$A$166&gt;35,DO7+DN8-DW7,IF(A8&lt;'Données projet'!$A$166,$DL$205^A8,IF(A8='Données projet'!$A$166,'Données projet'!$B$166,DO7+DN8-DW7)))</f>
        <v>4.3968296721581801</v>
      </c>
      <c r="DP8" s="17">
        <f>DO8*VLOOKUP('Données projet'!$B$14,Paramètres!$A$1:$I$89,3,0)*VLOOKUP('Données projet'!$B$14,Paramètres!$A$1:$I$89,5,0)</f>
        <v>4.184023116025724</v>
      </c>
      <c r="DQ8" s="13">
        <f t="shared" si="43"/>
        <v>1.6322722216649233</v>
      </c>
      <c r="DR8" s="20">
        <f t="shared" si="16"/>
        <v>10.130047713144544</v>
      </c>
      <c r="DS8" s="59">
        <f t="shared" si="17"/>
        <v>272.90782549092233</v>
      </c>
      <c r="DT8" s="59">
        <f ca="1">AVERAGE(OFFSET($DS$3,0,0,'Données projet'!$E$14+1,1))-AVERAGE(OFFSET($H$3,0,0,'Données projet'!$E$14+1,1))</f>
        <v>735.50267870886194</v>
      </c>
      <c r="DU8" s="59">
        <f t="shared" si="44"/>
        <v>525.80345400853275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2.1607142857142856</v>
      </c>
      <c r="EJ8" s="12">
        <f>IF('Données projet'!$A$192&gt;35,EJ7+EI8-ER7,IF(A8&lt;'Données projet'!$A$192,$EG$205^A8,IF(A8='Données projet'!$A$192,'Données projet'!$B$192,EJ7+EI8-ER7)))</f>
        <v>10.803571428571427</v>
      </c>
      <c r="EK8" s="17">
        <f>EJ8*VLOOKUP('Données projet'!$B$15,Paramètres!$A$1:$I$89,3,0)*VLOOKUP('Données projet'!$B$15,Paramètres!$A$1:$I$89,5,0)</f>
        <v>6.9099642857142838</v>
      </c>
      <c r="EL8" s="13">
        <f t="shared" si="45"/>
        <v>2.542803989579586</v>
      </c>
      <c r="EM8" s="20">
        <f t="shared" si="19"/>
        <v>16.463571412803493</v>
      </c>
      <c r="EN8" s="59">
        <f t="shared" si="20"/>
        <v>279.24134919058127</v>
      </c>
      <c r="EO8" s="59">
        <f ca="1">AVERAGE(OFFSET($EN$3,0,0,'Données projet'!$E$15+1,1))-AVERAGE(OFFSET($H$3,0,0,'Données projet'!$E$15+1,1))</f>
        <v>274.14900959323484</v>
      </c>
      <c r="EP8" s="59">
        <f t="shared" si="46"/>
        <v>130.44590390921582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5.5909090909090908</v>
      </c>
      <c r="FE8" s="12">
        <f>IF('Données projet'!$A$218&gt;35,FE7+FD8-FM7,IF(A8&lt;'Données projet'!$A$218,$FB$205^A8,IF(A8='Données projet'!$A$218,'Données projet'!$B$218,FE7+FD8-FM7)))</f>
        <v>2.9852343786852105</v>
      </c>
      <c r="FF8" s="17">
        <f>FE8*VLOOKUP('Données projet'!$B$16,Paramètres!$A$1:$I$89,3,0)*VLOOKUP('Données projet'!$B$16,Paramètres!$A$1:$I$89,5,0)</f>
        <v>1.785170158453756</v>
      </c>
      <c r="FG8" s="13">
        <f t="shared" si="47"/>
        <v>0.7690174164926461</v>
      </c>
      <c r="FH8" s="20">
        <f t="shared" si="22"/>
        <v>4.4485433596983173</v>
      </c>
      <c r="FI8" s="59">
        <f t="shared" si="23"/>
        <v>267.22632113747608</v>
      </c>
      <c r="FJ8" s="59">
        <f ca="1">AVERAGE(OFFSET($FI$3,0,0,'Données projet'!$E$16+1,1))-AVERAGE(OFFSET($H$3,0,0,'Données projet'!$E$16+1,1))</f>
        <v>405.42845699663462</v>
      </c>
      <c r="FK8" s="59">
        <f t="shared" si="48"/>
        <v>292.26503163353146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5.5909090909090908</v>
      </c>
      <c r="FZ8" s="12">
        <f>IF('Données projet'!$A$244&gt;35,FZ7+FY8-GH7,IF(A8&lt;'Données projet'!$A$244,$FW$205^A8,IF(A8='Données projet'!$A$244,'Données projet'!$B$244,FZ7+FY8-GH7)))</f>
        <v>2.9852343786852105</v>
      </c>
      <c r="GA8" s="17">
        <f>FZ8*VLOOKUP('Données projet'!$B$17,Paramètres!$A$1:$I$89,3,0)*VLOOKUP('Données projet'!$B$17,Paramètres!$A$1:$I$89,5,0)</f>
        <v>1.785170158453756</v>
      </c>
      <c r="GB8" s="13">
        <f t="shared" si="49"/>
        <v>0.7690174164926461</v>
      </c>
      <c r="GC8" s="20">
        <f t="shared" si="25"/>
        <v>4.4485433596983173</v>
      </c>
      <c r="GD8" s="59">
        <f t="shared" si="26"/>
        <v>267.22632113747608</v>
      </c>
      <c r="GE8" s="59">
        <f ca="1">AVERAGE(OFFSET($GD$3,0,0,'Données projet'!$E$17+1,1))-AVERAGE(OFFSET($H$3,0,0,'Données projet'!$E$17+1,1))</f>
        <v>405.42845699663462</v>
      </c>
      <c r="GF8" s="59">
        <f t="shared" si="50"/>
        <v>292.26503163353146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7.9</v>
      </c>
      <c r="N9" s="13">
        <f>IF('Données projet'!$A$36&gt;35,N8+M9-V8,IF(A9&lt;'Données projet'!$A$36,$K$205^A9,IF(A9='Données projet'!$A$36,'Données projet'!$B$36,N8+M9-V8)))</f>
        <v>4.566643676946887</v>
      </c>
      <c r="O9" s="13">
        <f>N9*VLOOKUP('Données projet'!$B$9,Paramètres!$A$1:$I$89,3,0)*VLOOKUP('Données projet'!$B$9,Paramètres!$A$1:$I$89,5,0)</f>
        <v>2.1371892408111433</v>
      </c>
      <c r="P9" s="13">
        <f t="shared" si="33"/>
        <v>0.9015738804633705</v>
      </c>
      <c r="Q9" s="20">
        <f t="shared" si="2"/>
        <v>5.292512436219778</v>
      </c>
      <c r="R9" s="59">
        <f t="shared" si="0"/>
        <v>269.29251243621979</v>
      </c>
      <c r="S9" s="59">
        <f ca="1">AVERAGE(OFFSET($R$3,0,0,'Données projet'!$E$9+1,1))-AVERAGE(OFFSET($H$3,0,0,'Données projet'!$E$9+1,1))</f>
        <v>198.26255998041</v>
      </c>
      <c r="T9" s="59">
        <f t="shared" si="34"/>
        <v>238.62101708181166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10.119999999999999</v>
      </c>
      <c r="AI9" s="13">
        <f>IF('Données projet'!$A$62&gt;35,AI8+AH9-AQ8,IF(A9&lt;'Données projet'!$A$62,$AF$205^A9,IF(A9='Données projet'!$A$62,'Données projet'!$B$62,AI8+AH9-AQ8)))</f>
        <v>3.773539714605278</v>
      </c>
      <c r="AJ9" s="13">
        <f>AI9*VLOOKUP('Données projet'!$B$10,Paramètres!$A$1:$I$89,3,0)*VLOOKUP('Données projet'!$B$10,Paramètres!$A$1:$I$89,5,0)</f>
        <v>2.1094087004643503</v>
      </c>
      <c r="AK9" s="13">
        <f t="shared" si="35"/>
        <v>0.89121089794350827</v>
      </c>
      <c r="AL9" s="20">
        <f t="shared" si="4"/>
        <v>5.2260791338936876</v>
      </c>
      <c r="AM9" s="59">
        <f t="shared" si="5"/>
        <v>269.22607913389368</v>
      </c>
      <c r="AN9" s="59">
        <f ca="1">AVERAGE(OFFSET($AM$3,0,0,'Données projet'!$E$10+1,1))-AVERAGE(OFFSET($H$3,0,0,'Données projet'!$E$10+1,1))</f>
        <v>347.02720636703873</v>
      </c>
      <c r="AO9" s="59">
        <f t="shared" si="36"/>
        <v>394.03759949558702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6.9411764705882355</v>
      </c>
      <c r="BD9" s="12">
        <f>IF('Données projet'!$A$88&gt;35,BD8+BC9-BL8,IF(A9&lt;'Données projet'!$A$88,$BA$205^A9,IF(A9='Données projet'!$A$88,'Données projet'!$B$88,BD8+BC9-BL8)))</f>
        <v>5.38582791756963</v>
      </c>
      <c r="BE9" s="13">
        <f>BD9*VLOOKUP('Données projet'!$B$11,Paramètres!$A$1:$I$89,3,0)*VLOOKUP('Données projet'!$B$11,Paramètres!$A$1:$I$89,5,0)</f>
        <v>3.2207250947066388</v>
      </c>
      <c r="BF9" s="13">
        <f t="shared" si="37"/>
        <v>1.2953284859599137</v>
      </c>
      <c r="BG9" s="20">
        <f t="shared" si="7"/>
        <v>7.8654599863275783</v>
      </c>
      <c r="BH9" s="59">
        <f t="shared" si="8"/>
        <v>271.86545998632755</v>
      </c>
      <c r="BI9" s="59">
        <f ca="1">AVERAGE(OFFSET($BH$3,0,0,'Données projet'!$E$11+1,1))-AVERAGE(OFFSET($H$3,0,0,'Données projet'!$E$11+1,1))</f>
        <v>378.75660696651238</v>
      </c>
      <c r="BJ9" s="59">
        <f t="shared" si="38"/>
        <v>371.70674704563288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2.1607142857142856</v>
      </c>
      <c r="BY9" s="12">
        <f>IF('Données projet'!$A$114&gt;35,BY8+BX9-CG8,IF(A9&lt;'Données projet'!$A$114,$BV$205^A9,IF(A9='Données projet'!$A$114,'Données projet'!$B$114,BY8+BX9-CG8)))</f>
        <v>12.964285714285712</v>
      </c>
      <c r="BZ9" s="13">
        <f>BY9*VLOOKUP('Données projet'!$B$12,Paramètres!$A$1:$I$89,3,0)*VLOOKUP('Données projet'!$B$12,Paramètres!$A$1:$I$89,5,0)</f>
        <v>13.145785714285712</v>
      </c>
      <c r="CA9" s="13">
        <f t="shared" si="39"/>
        <v>4.4886098616834307</v>
      </c>
      <c r="CB9" s="20">
        <f t="shared" si="10"/>
        <v>30.71323896147959</v>
      </c>
      <c r="CC9" s="59">
        <f t="shared" si="11"/>
        <v>294.71323896147959</v>
      </c>
      <c r="CD9" s="59">
        <f ca="1">AVERAGE(OFFSET($CC$3,0,0,'Données projet'!$E$12+1,1))-AVERAGE(OFFSET($H$3,0,0,'Données projet'!$E$12+1,1))</f>
        <v>410.75375635525211</v>
      </c>
      <c r="CE9" s="59">
        <f t="shared" si="40"/>
        <v>183.55513001437367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</v>
      </c>
      <c r="CT9" s="12">
        <f>IF('Données projet'!$A$140&gt;35,CT8+CS9-DB8,IF(A9&lt;'Données projet'!$A$140,$CQ$205^A9,IF(A9='Données projet'!$A$140,'Données projet'!$B$140,CT8+CS9-DB8)))</f>
        <v>18</v>
      </c>
      <c r="CU9" s="17">
        <f>CT9*VLOOKUP('Données projet'!$B$13,Paramètres!$A$1:$I$89,3,0)*VLOOKUP('Données projet'!$B$13,Paramètres!$A$1:$I$89,5,0)</f>
        <v>16.2864</v>
      </c>
      <c r="CV9" s="13">
        <f t="shared" si="41"/>
        <v>5.4240129855342607</v>
      </c>
      <c r="CW9" s="20">
        <f t="shared" si="13"/>
        <v>37.812302616472174</v>
      </c>
      <c r="CX9" s="59">
        <f t="shared" si="14"/>
        <v>301.81230261647215</v>
      </c>
      <c r="CY9" s="59">
        <f ca="1">AVERAGE(OFFSET($CX$3,0,0,'Données projet'!$E$13+1,1))-AVERAGE(OFFSET($H$3,0,0,'Données projet'!$E$13+1,1))</f>
        <v>436.12708882925142</v>
      </c>
      <c r="CZ9" s="59">
        <f t="shared" si="42"/>
        <v>217.65884352525285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5.666666666666667</v>
      </c>
      <c r="DO9" s="12">
        <f>IF('Données projet'!$A$166&gt;35,DO8+DN9-DW8,IF(A9&lt;'Données projet'!$A$166,$DL$205^A9,IF(A9='Données projet'!$A$166,'Données projet'!$B$166,DO8+DN9-DW8)))</f>
        <v>5.9124512148516404</v>
      </c>
      <c r="DP9" s="17">
        <f>DO9*VLOOKUP('Données projet'!$B$14,Paramètres!$A$1:$I$89,3,0)*VLOOKUP('Données projet'!$B$14,Paramètres!$A$1:$I$89,5,0)</f>
        <v>5.6262885760528212</v>
      </c>
      <c r="DQ9" s="13">
        <f t="shared" si="43"/>
        <v>2.1205485851822297</v>
      </c>
      <c r="DR9" s="20">
        <f t="shared" si="16"/>
        <v>13.492408055817714</v>
      </c>
      <c r="DS9" s="59">
        <f t="shared" si="17"/>
        <v>277.49240805581769</v>
      </c>
      <c r="DT9" s="59">
        <f ca="1">AVERAGE(OFFSET($DS$3,0,0,'Données projet'!$E$14+1,1))-AVERAGE(OFFSET($H$3,0,0,'Données projet'!$E$14+1,1))</f>
        <v>735.50267870886194</v>
      </c>
      <c r="DU9" s="59">
        <f t="shared" si="44"/>
        <v>525.80345400853275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2.1607142857142856</v>
      </c>
      <c r="EJ9" s="12">
        <f>IF('Données projet'!$A$192&gt;35,EJ8+EI9-ER8,IF(A9&lt;'Données projet'!$A$192,$EG$205^A9,IF(A9='Données projet'!$A$192,'Données projet'!$B$192,EJ8+EI9-ER8)))</f>
        <v>12.964285714285712</v>
      </c>
      <c r="EK9" s="17">
        <f>EJ9*VLOOKUP('Données projet'!$B$15,Paramètres!$A$1:$I$89,3,0)*VLOOKUP('Données projet'!$B$15,Paramètres!$A$1:$I$89,5,0)</f>
        <v>8.2919571428571412</v>
      </c>
      <c r="EL9" s="13">
        <f t="shared" si="45"/>
        <v>2.9872903307920065</v>
      </c>
      <c r="EM9" s="20">
        <f t="shared" si="19"/>
        <v>19.644689349938933</v>
      </c>
      <c r="EN9" s="59">
        <f t="shared" si="20"/>
        <v>283.64468934993891</v>
      </c>
      <c r="EO9" s="59">
        <f ca="1">AVERAGE(OFFSET($EN$3,0,0,'Données projet'!$E$15+1,1))-AVERAGE(OFFSET($H$3,0,0,'Données projet'!$E$15+1,1))</f>
        <v>274.14900959323484</v>
      </c>
      <c r="EP9" s="59">
        <f t="shared" si="46"/>
        <v>130.44590390921582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5.5909090909090908</v>
      </c>
      <c r="FE9" s="12">
        <f>IF('Données projet'!$A$218&gt;35,FE8+FD9-FM8,IF(A9&lt;'Données projet'!$A$218,$FB$205^A9,IF(A9='Données projet'!$A$218,'Données projet'!$B$218,FE8+FD9-FM8)))</f>
        <v>3.7151309075081826</v>
      </c>
      <c r="FF9" s="17">
        <f>FE9*VLOOKUP('Données projet'!$B$16,Paramètres!$A$1:$I$89,3,0)*VLOOKUP('Données projet'!$B$16,Paramètres!$A$1:$I$89,5,0)</f>
        <v>2.2216482826898933</v>
      </c>
      <c r="FG9" s="13">
        <f t="shared" si="47"/>
        <v>0.93298436230530435</v>
      </c>
      <c r="FH9" s="20">
        <f t="shared" si="22"/>
        <v>5.4943185233666361</v>
      </c>
      <c r="FI9" s="59">
        <f t="shared" si="23"/>
        <v>269.49431852336664</v>
      </c>
      <c r="FJ9" s="59">
        <f ca="1">AVERAGE(OFFSET($FI$3,0,0,'Données projet'!$E$16+1,1))-AVERAGE(OFFSET($H$3,0,0,'Données projet'!$E$16+1,1))</f>
        <v>405.42845699663462</v>
      </c>
      <c r="FK9" s="59">
        <f t="shared" si="48"/>
        <v>292.26503163353146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5.5909090909090908</v>
      </c>
      <c r="FZ9" s="12">
        <f>IF('Données projet'!$A$244&gt;35,FZ8+FY9-GH8,IF(A9&lt;'Données projet'!$A$244,$FW$205^A9,IF(A9='Données projet'!$A$244,'Données projet'!$B$244,FZ8+FY9-GH8)))</f>
        <v>3.7151309075081826</v>
      </c>
      <c r="GA9" s="17">
        <f>FZ9*VLOOKUP('Données projet'!$B$17,Paramètres!$A$1:$I$89,3,0)*VLOOKUP('Données projet'!$B$17,Paramètres!$A$1:$I$89,5,0)</f>
        <v>2.2216482826898933</v>
      </c>
      <c r="GB9" s="13">
        <f t="shared" si="49"/>
        <v>0.93298436230530435</v>
      </c>
      <c r="GC9" s="20">
        <f t="shared" si="25"/>
        <v>5.4943185233666361</v>
      </c>
      <c r="GD9" s="59">
        <f t="shared" si="26"/>
        <v>269.49431852336664</v>
      </c>
      <c r="GE9" s="59">
        <f ca="1">AVERAGE(OFFSET($GD$3,0,0,'Données projet'!$E$17+1,1))-AVERAGE(OFFSET($H$3,0,0,'Données projet'!$E$17+1,1))</f>
        <v>405.42845699663462</v>
      </c>
      <c r="GF9" s="59">
        <f t="shared" si="50"/>
        <v>292.26503163353146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7.9</v>
      </c>
      <c r="N10" s="13">
        <f>IF('Données projet'!$A$36&gt;35,N9+M10-V9,IF(A10&lt;'Données projet'!$A$36,$K$205^A10,IF(A10='Données projet'!$A$36,'Données projet'!$B$36,N9+M10-V9)))</f>
        <v>5.8820671812210037</v>
      </c>
      <c r="O10" s="13">
        <f>N10*VLOOKUP('Données projet'!$B$9,Paramètres!$A$1:$I$89,3,0)*VLOOKUP('Données projet'!$B$9,Paramètres!$A$1:$I$89,5,0)</f>
        <v>2.7528074408114294</v>
      </c>
      <c r="P10" s="13">
        <f t="shared" si="33"/>
        <v>1.1275556652411438</v>
      </c>
      <c r="Q10" s="20">
        <f t="shared" si="2"/>
        <v>6.7582990763748976</v>
      </c>
      <c r="R10" s="59">
        <f t="shared" si="0"/>
        <v>271.98052129859713</v>
      </c>
      <c r="S10" s="59">
        <f ca="1">AVERAGE(OFFSET($R$3,0,0,'Données projet'!$E$9+1,1))-AVERAGE(OFFSET($H$3,0,0,'Données projet'!$E$9+1,1))</f>
        <v>198.26255998041</v>
      </c>
      <c r="T10" s="59">
        <f t="shared" si="34"/>
        <v>238.62101708181166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10.119999999999999</v>
      </c>
      <c r="AI10" s="13">
        <f>IF('Données projet'!$A$62&gt;35,AI9+AH10-AQ9,IF(A10&lt;'Données projet'!$A$62,$AF$205^A10,IF(A10='Données projet'!$A$62,'Données projet'!$B$62,AI9+AH10-AQ9)))</f>
        <v>4.7084042812912932</v>
      </c>
      <c r="AJ10" s="13">
        <f>AI10*VLOOKUP('Données projet'!$B$10,Paramètres!$A$1:$I$89,3,0)*VLOOKUP('Données projet'!$B$10,Paramètres!$A$1:$I$89,5,0)</f>
        <v>2.6319979932418329</v>
      </c>
      <c r="AK10" s="13">
        <f t="shared" si="35"/>
        <v>1.0837182330282291</v>
      </c>
      <c r="AL10" s="20">
        <f t="shared" si="4"/>
        <v>6.4715390940870243</v>
      </c>
      <c r="AM10" s="59">
        <f t="shared" si="5"/>
        <v>271.69376131630924</v>
      </c>
      <c r="AN10" s="59">
        <f ca="1">AVERAGE(OFFSET($AM$3,0,0,'Données projet'!$E$10+1,1))-AVERAGE(OFFSET($H$3,0,0,'Données projet'!$E$10+1,1))</f>
        <v>347.02720636703873</v>
      </c>
      <c r="AO10" s="59">
        <f t="shared" si="36"/>
        <v>394.03759949558702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6.9411764705882355</v>
      </c>
      <c r="BD10" s="12">
        <f>IF('Données projet'!$A$88&gt;35,BD9+BC10-BL9,IF(A10&lt;'Données projet'!$A$88,$BA$205^A10,IF(A10='Données projet'!$A$88,'Données projet'!$B$88,BD9+BC10-BL9)))</f>
        <v>7.130629726765032</v>
      </c>
      <c r="BE10" s="13">
        <f>BD10*VLOOKUP('Données projet'!$B$11,Paramètres!$A$1:$I$89,3,0)*VLOOKUP('Données projet'!$B$11,Paramètres!$A$1:$I$89,5,0)</f>
        <v>4.26411657660549</v>
      </c>
      <c r="BF10" s="13">
        <f t="shared" si="37"/>
        <v>1.6598507175986843</v>
      </c>
      <c r="BG10" s="20">
        <f t="shared" si="7"/>
        <v>10.317576370738935</v>
      </c>
      <c r="BH10" s="59">
        <f t="shared" si="8"/>
        <v>275.53979859296118</v>
      </c>
      <c r="BI10" s="59">
        <f ca="1">AVERAGE(OFFSET($BH$3,0,0,'Données projet'!$E$11+1,1))-AVERAGE(OFFSET($H$3,0,0,'Données projet'!$E$11+1,1))</f>
        <v>378.75660696651238</v>
      </c>
      <c r="BJ10" s="59">
        <f t="shared" si="38"/>
        <v>371.70674704563288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2.1607142857142856</v>
      </c>
      <c r="BY10" s="12">
        <f>IF('Données projet'!$A$114&gt;35,BY9+BX10-CG9,IF(A10&lt;'Données projet'!$A$114,$BV$205^A10,IF(A10='Données projet'!$A$114,'Données projet'!$B$114,BY9+BX10-CG9)))</f>
        <v>15.124999999999996</v>
      </c>
      <c r="BZ10" s="13">
        <f>BY10*VLOOKUP('Données projet'!$B$12,Paramètres!$A$1:$I$89,3,0)*VLOOKUP('Données projet'!$B$12,Paramètres!$A$1:$I$89,5,0)</f>
        <v>15.336749999999997</v>
      </c>
      <c r="CA10" s="13">
        <f t="shared" si="39"/>
        <v>5.1435864386806509</v>
      </c>
      <c r="CB10" s="20">
        <f t="shared" si="10"/>
        <v>35.669919297368793</v>
      </c>
      <c r="CC10" s="59">
        <f t="shared" si="11"/>
        <v>300.89214151959101</v>
      </c>
      <c r="CD10" s="59">
        <f ca="1">AVERAGE(OFFSET($CC$3,0,0,'Données projet'!$E$12+1,1))-AVERAGE(OFFSET($H$3,0,0,'Données projet'!$E$12+1,1))</f>
        <v>410.75375635525211</v>
      </c>
      <c r="CE10" s="59">
        <f t="shared" si="40"/>
        <v>183.55513001437367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</v>
      </c>
      <c r="CT10" s="12">
        <f>IF('Données projet'!$A$140&gt;35,CT9+CS10-DB9,IF(A10&lt;'Données projet'!$A$140,$CQ$205^A10,IF(A10='Données projet'!$A$140,'Données projet'!$B$140,CT9+CS10-DB9)))</f>
        <v>21</v>
      </c>
      <c r="CU10" s="17">
        <f>CT10*VLOOKUP('Données projet'!$B$13,Paramètres!$A$1:$I$89,3,0)*VLOOKUP('Données projet'!$B$13,Paramètres!$A$1:$I$89,5,0)</f>
        <v>19.000800000000002</v>
      </c>
      <c r="CV10" s="13">
        <f t="shared" si="41"/>
        <v>6.2154833000252001</v>
      </c>
      <c r="CW10" s="20">
        <f t="shared" si="13"/>
        <v>43.918360080877228</v>
      </c>
      <c r="CX10" s="59">
        <f t="shared" si="14"/>
        <v>309.14058230309945</v>
      </c>
      <c r="CY10" s="59">
        <f ca="1">AVERAGE(OFFSET($CX$3,0,0,'Données projet'!$E$13+1,1))-AVERAGE(OFFSET($H$3,0,0,'Données projet'!$E$13+1,1))</f>
        <v>436.12708882925142</v>
      </c>
      <c r="CZ10" s="59">
        <f t="shared" si="42"/>
        <v>217.65884352525285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5.666666666666667</v>
      </c>
      <c r="DO10" s="12">
        <f>IF('Données projet'!$A$166&gt;35,DO9+DN10-DW9,IF(A10&lt;'Données projet'!$A$166,$DL$205^A10,IF(A10='Données projet'!$A$166,'Données projet'!$B$166,DO9+DN10-DW9)))</f>
        <v>7.9505193456452421</v>
      </c>
      <c r="DP10" s="17">
        <f>DO10*VLOOKUP('Données projet'!$B$14,Paramètres!$A$1:$I$89,3,0)*VLOOKUP('Données projet'!$B$14,Paramètres!$A$1:$I$89,5,0)</f>
        <v>7.5657142093160124</v>
      </c>
      <c r="DQ10" s="13">
        <f t="shared" si="43"/>
        <v>2.7548874767541407</v>
      </c>
      <c r="DR10" s="20">
        <f t="shared" si="16"/>
        <v>17.975047936572182</v>
      </c>
      <c r="DS10" s="59">
        <f t="shared" si="17"/>
        <v>283.19727015879442</v>
      </c>
      <c r="DT10" s="59">
        <f ca="1">AVERAGE(OFFSET($DS$3,0,0,'Données projet'!$E$14+1,1))-AVERAGE(OFFSET($H$3,0,0,'Données projet'!$E$14+1,1))</f>
        <v>735.50267870886194</v>
      </c>
      <c r="DU10" s="59">
        <f t="shared" si="44"/>
        <v>525.80345400853275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2.1607142857142856</v>
      </c>
      <c r="EJ10" s="12">
        <f>IF('Données projet'!$A$192&gt;35,EJ9+EI10-ER9,IF(A10&lt;'Données projet'!$A$192,$EG$205^A10,IF(A10='Données projet'!$A$192,'Données projet'!$B$192,EJ9+EI10-ER9)))</f>
        <v>15.124999999999996</v>
      </c>
      <c r="EK10" s="17">
        <f>EJ10*VLOOKUP('Données projet'!$B$15,Paramètres!$A$1:$I$89,3,0)*VLOOKUP('Données projet'!$B$15,Paramètres!$A$1:$I$89,5,0)</f>
        <v>9.6739499999999978</v>
      </c>
      <c r="EL10" s="13">
        <f t="shared" si="45"/>
        <v>3.423194821414238</v>
      </c>
      <c r="EM10" s="20">
        <f t="shared" si="19"/>
        <v>22.810860563963129</v>
      </c>
      <c r="EN10" s="59">
        <f t="shared" si="20"/>
        <v>288.03308278618533</v>
      </c>
      <c r="EO10" s="59">
        <f ca="1">AVERAGE(OFFSET($EN$3,0,0,'Données projet'!$E$15+1,1))-AVERAGE(OFFSET($H$3,0,0,'Données projet'!$E$15+1,1))</f>
        <v>274.14900959323484</v>
      </c>
      <c r="EP10" s="59">
        <f t="shared" si="46"/>
        <v>130.44590390921582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5.5909090909090908</v>
      </c>
      <c r="FE10" s="12">
        <f>IF('Données projet'!$A$218&gt;35,FE9+FD10-FM9,IF(A10&lt;'Données projet'!$A$218,$FB$205^A10,IF(A10='Données projet'!$A$218,'Données projet'!$B$218,FE9+FD10-FM9)))</f>
        <v>4.6234887814743333</v>
      </c>
      <c r="FF10" s="17">
        <f>FE10*VLOOKUP('Données projet'!$B$16,Paramètres!$A$1:$I$89,3,0)*VLOOKUP('Données projet'!$B$16,Paramètres!$A$1:$I$89,5,0)</f>
        <v>2.7648462913216516</v>
      </c>
      <c r="FG10" s="13">
        <f t="shared" si="47"/>
        <v>1.1319117118000401</v>
      </c>
      <c r="FH10" s="20">
        <f t="shared" si="22"/>
        <v>6.7868535221036126</v>
      </c>
      <c r="FI10" s="59">
        <f t="shared" si="23"/>
        <v>272.00907574432586</v>
      </c>
      <c r="FJ10" s="59">
        <f ca="1">AVERAGE(OFFSET($FI$3,0,0,'Données projet'!$E$16+1,1))-AVERAGE(OFFSET($H$3,0,0,'Données projet'!$E$16+1,1))</f>
        <v>405.42845699663462</v>
      </c>
      <c r="FK10" s="59">
        <f t="shared" si="48"/>
        <v>292.26503163353146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5.5909090909090908</v>
      </c>
      <c r="FZ10" s="12">
        <f>IF('Données projet'!$A$244&gt;35,FZ9+FY10-GH9,IF(A10&lt;'Données projet'!$A$244,$FW$205^A10,IF(A10='Données projet'!$A$244,'Données projet'!$B$244,FZ9+FY10-GH9)))</f>
        <v>4.6234887814743333</v>
      </c>
      <c r="GA10" s="17">
        <f>FZ10*VLOOKUP('Données projet'!$B$17,Paramètres!$A$1:$I$89,3,0)*VLOOKUP('Données projet'!$B$17,Paramètres!$A$1:$I$89,5,0)</f>
        <v>2.7648462913216516</v>
      </c>
      <c r="GB10" s="13">
        <f t="shared" si="49"/>
        <v>1.1319117118000401</v>
      </c>
      <c r="GC10" s="20">
        <f t="shared" si="25"/>
        <v>6.7868535221036126</v>
      </c>
      <c r="GD10" s="59">
        <f t="shared" si="26"/>
        <v>272.00907574432586</v>
      </c>
      <c r="GE10" s="59">
        <f ca="1">AVERAGE(OFFSET($GD$3,0,0,'Données projet'!$E$17+1,1))-AVERAGE(OFFSET($H$3,0,0,'Données projet'!$E$17+1,1))</f>
        <v>405.42845699663462</v>
      </c>
      <c r="GF10" s="59">
        <f t="shared" si="50"/>
        <v>292.26503163353146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7.9</v>
      </c>
      <c r="N11" s="13">
        <f>IF('Données projet'!$A$36&gt;35,N10+M11-V10,IF(A11&lt;'Données projet'!$A$36,$K$205^A11,IF(A11='Données projet'!$A$36,'Données projet'!$B$36,N10+M11-V10)))</f>
        <v>7.5763989424129567</v>
      </c>
      <c r="O11" s="13">
        <f>N11*VLOOKUP('Données projet'!$B$9,Paramètres!$A$1:$I$89,3,0)*VLOOKUP('Données projet'!$B$9,Paramètres!$A$1:$I$89,5,0)</f>
        <v>3.5457547050492639</v>
      </c>
      <c r="P11" s="13">
        <f t="shared" si="33"/>
        <v>1.4101803587787649</v>
      </c>
      <c r="Q11" s="20">
        <f t="shared" si="2"/>
        <v>8.631586902833817</v>
      </c>
      <c r="R11" s="59">
        <f t="shared" si="0"/>
        <v>275.07603134727827</v>
      </c>
      <c r="S11" s="59">
        <f ca="1">AVERAGE(OFFSET($R$3,0,0,'Données projet'!$E$9+1,1))-AVERAGE(OFFSET($H$3,0,0,'Données projet'!$E$9+1,1))</f>
        <v>198.26255998041</v>
      </c>
      <c r="T11" s="59">
        <f t="shared" si="34"/>
        <v>238.62101708181166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10.119999999999999</v>
      </c>
      <c r="AI11" s="13">
        <f>IF('Données projet'!$A$62&gt;35,AI10+AH11-AQ10,IF(A11&lt;'Données projet'!$A$62,$AF$205^A11,IF(A11='Données projet'!$A$62,'Données projet'!$B$62,AI10+AH11-AQ10)))</f>
        <v>5.8748741374784039</v>
      </c>
      <c r="AJ11" s="13">
        <f>AI11*VLOOKUP('Données projet'!$B$10,Paramètres!$A$1:$I$89,3,0)*VLOOKUP('Données projet'!$B$10,Paramètres!$A$1:$I$89,5,0)</f>
        <v>3.2840546428504278</v>
      </c>
      <c r="AK11" s="13">
        <f t="shared" si="35"/>
        <v>1.3178084012525983</v>
      </c>
      <c r="AL11" s="20">
        <f t="shared" si="4"/>
        <v>8.0149114684794363</v>
      </c>
      <c r="AM11" s="59">
        <f t="shared" si="5"/>
        <v>274.45935591292391</v>
      </c>
      <c r="AN11" s="59">
        <f ca="1">AVERAGE(OFFSET($AM$3,0,0,'Données projet'!$E$10+1,1))-AVERAGE(OFFSET($H$3,0,0,'Données projet'!$E$10+1,1))</f>
        <v>347.02720636703873</v>
      </c>
      <c r="AO11" s="59">
        <f t="shared" si="36"/>
        <v>394.03759949558702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6.9411764705882355</v>
      </c>
      <c r="BD11" s="12">
        <f>IF('Données projet'!$A$88&gt;35,BD10+BC11-BL10,IF(A11&lt;'Données projet'!$A$88,$BA$205^A11,IF(A11='Données projet'!$A$88,'Données projet'!$B$88,BD10+BC11-BL10)))</f>
        <v>9.4406804447568593</v>
      </c>
      <c r="BE11" s="13">
        <f>BD11*VLOOKUP('Données projet'!$B$11,Paramètres!$A$1:$I$89,3,0)*VLOOKUP('Données projet'!$B$11,Paramètres!$A$1:$I$89,5,0)</f>
        <v>5.6455269059646023</v>
      </c>
      <c r="BF11" s="13">
        <f t="shared" si="37"/>
        <v>2.1269542317454508</v>
      </c>
      <c r="BG11" s="20">
        <f t="shared" si="7"/>
        <v>13.53707131484501</v>
      </c>
      <c r="BH11" s="59">
        <f t="shared" si="8"/>
        <v>279.98151575928949</v>
      </c>
      <c r="BI11" s="59">
        <f ca="1">AVERAGE(OFFSET($BH$3,0,0,'Données projet'!$E$11+1,1))-AVERAGE(OFFSET($H$3,0,0,'Données projet'!$E$11+1,1))</f>
        <v>378.75660696651238</v>
      </c>
      <c r="BJ11" s="59">
        <f t="shared" si="38"/>
        <v>371.70674704563288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2.1607142857142856</v>
      </c>
      <c r="BY11" s="12">
        <f>IF('Données projet'!$A$114&gt;35,BY10+BX11-CG10,IF(A11&lt;'Données projet'!$A$114,$BV$205^A11,IF(A11='Données projet'!$A$114,'Données projet'!$B$114,BY10+BX11-CG10)))</f>
        <v>17.285714285714281</v>
      </c>
      <c r="BZ11" s="13">
        <f>BY11*VLOOKUP('Données projet'!$B$12,Paramètres!$A$1:$I$89,3,0)*VLOOKUP('Données projet'!$B$12,Paramètres!$A$1:$I$89,5,0)</f>
        <v>17.527714285714282</v>
      </c>
      <c r="CA11" s="13">
        <f t="shared" si="39"/>
        <v>5.7877228576439608</v>
      </c>
      <c r="CB11" s="20">
        <f t="shared" si="10"/>
        <v>40.607719691348933</v>
      </c>
      <c r="CC11" s="59">
        <f t="shared" si="11"/>
        <v>307.05216413579342</v>
      </c>
      <c r="CD11" s="59">
        <f ca="1">AVERAGE(OFFSET($CC$3,0,0,'Données projet'!$E$12+1,1))-AVERAGE(OFFSET($H$3,0,0,'Données projet'!$E$12+1,1))</f>
        <v>410.75375635525211</v>
      </c>
      <c r="CE11" s="59">
        <f t="shared" si="40"/>
        <v>183.55513001437367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</v>
      </c>
      <c r="CT11" s="12">
        <f>IF('Données projet'!$A$140&gt;35,CT10+CS11-DB10,IF(A11&lt;'Données projet'!$A$140,$CQ$205^A11,IF(A11='Données projet'!$A$140,'Données projet'!$B$140,CT10+CS11-DB10)))</f>
        <v>24</v>
      </c>
      <c r="CU11" s="17">
        <f>CT11*VLOOKUP('Données projet'!$B$13,Paramètres!$A$1:$I$89,3,0)*VLOOKUP('Données projet'!$B$13,Paramètres!$A$1:$I$89,5,0)</f>
        <v>21.715199999999999</v>
      </c>
      <c r="CV11" s="13">
        <f t="shared" si="41"/>
        <v>6.9938544235075568</v>
      </c>
      <c r="CW11" s="20">
        <f t="shared" si="13"/>
        <v>50.00160312094232</v>
      </c>
      <c r="CX11" s="59">
        <f t="shared" si="14"/>
        <v>316.44604756538678</v>
      </c>
      <c r="CY11" s="59">
        <f ca="1">AVERAGE(OFFSET($CX$3,0,0,'Données projet'!$E$13+1,1))-AVERAGE(OFFSET($H$3,0,0,'Données projet'!$E$13+1,1))</f>
        <v>436.12708882925142</v>
      </c>
      <c r="CZ11" s="59">
        <f t="shared" si="42"/>
        <v>217.65884352525285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5.666666666666667</v>
      </c>
      <c r="DO11" s="12">
        <f>IF('Données projet'!$A$166&gt;35,DO10+DN11-DW10,IF(A11&lt;'Données projet'!$A$166,$DL$205^A11,IF(A11='Données projet'!$A$166,'Données projet'!$B$166,DO10+DN11-DW10)))</f>
        <v>10.691125485602061</v>
      </c>
      <c r="DP11" s="17">
        <f>DO11*VLOOKUP('Données projet'!$B$14,Paramètres!$A$1:$I$89,3,0)*VLOOKUP('Données projet'!$B$14,Paramètres!$A$1:$I$89,5,0)</f>
        <v>10.173675012098922</v>
      </c>
      <c r="DQ11" s="13">
        <f t="shared" si="43"/>
        <v>3.5789819024234224</v>
      </c>
      <c r="DR11" s="20">
        <f t="shared" si="16"/>
        <v>23.952544126126416</v>
      </c>
      <c r="DS11" s="59">
        <f t="shared" si="17"/>
        <v>290.3969885705709</v>
      </c>
      <c r="DT11" s="59">
        <f ca="1">AVERAGE(OFFSET($DS$3,0,0,'Données projet'!$E$14+1,1))-AVERAGE(OFFSET($H$3,0,0,'Données projet'!$E$14+1,1))</f>
        <v>735.50267870886194</v>
      </c>
      <c r="DU11" s="59">
        <f t="shared" si="44"/>
        <v>525.80345400853275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2.1607142857142856</v>
      </c>
      <c r="EJ11" s="12">
        <f>IF('Données projet'!$A$192&gt;35,EJ10+EI11-ER10,IF(A11&lt;'Données projet'!$A$192,$EG$205^A11,IF(A11='Données projet'!$A$192,'Données projet'!$B$192,EJ10+EI11-ER10)))</f>
        <v>17.285714285714281</v>
      </c>
      <c r="EK11" s="17">
        <f>EJ11*VLOOKUP('Données projet'!$B$15,Paramètres!$A$1:$I$89,3,0)*VLOOKUP('Données projet'!$B$15,Paramètres!$A$1:$I$89,5,0)</f>
        <v>11.055942857142853</v>
      </c>
      <c r="EL11" s="13">
        <f t="shared" si="45"/>
        <v>3.8518848959306289</v>
      </c>
      <c r="EM11" s="20">
        <f t="shared" si="19"/>
        <v>25.964466669936314</v>
      </c>
      <c r="EN11" s="59">
        <f t="shared" si="20"/>
        <v>292.40891111438077</v>
      </c>
      <c r="EO11" s="59">
        <f ca="1">AVERAGE(OFFSET($EN$3,0,0,'Données projet'!$E$15+1,1))-AVERAGE(OFFSET($H$3,0,0,'Données projet'!$E$15+1,1))</f>
        <v>274.14900959323484</v>
      </c>
      <c r="EP11" s="59">
        <f t="shared" si="46"/>
        <v>130.44590390921582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5.5909090909090908</v>
      </c>
      <c r="FE11" s="12">
        <f>IF('Données projet'!$A$218&gt;35,FE10+FD11-FM10,IF(A11&lt;'Données projet'!$A$218,$FB$205^A11,IF(A11='Données projet'!$A$218,'Données projet'!$B$218,FE10+FD11-FM10)))</f>
        <v>5.7539422013952093</v>
      </c>
      <c r="FF11" s="17">
        <f>FE11*VLOOKUP('Données projet'!$B$16,Paramètres!$A$1:$I$89,3,0)*VLOOKUP('Données projet'!$B$16,Paramètres!$A$1:$I$89,5,0)</f>
        <v>3.4408574364343356</v>
      </c>
      <c r="FG11" s="13">
        <f t="shared" si="47"/>
        <v>1.3732535882427113</v>
      </c>
      <c r="FH11" s="20">
        <f t="shared" si="22"/>
        <v>8.3845767013125236</v>
      </c>
      <c r="FI11" s="59">
        <f t="shared" si="23"/>
        <v>274.829021145757</v>
      </c>
      <c r="FJ11" s="59">
        <f ca="1">AVERAGE(OFFSET($FI$3,0,0,'Données projet'!$E$16+1,1))-AVERAGE(OFFSET($H$3,0,0,'Données projet'!$E$16+1,1))</f>
        <v>405.42845699663462</v>
      </c>
      <c r="FK11" s="59">
        <f t="shared" si="48"/>
        <v>292.26503163353146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5.5909090909090908</v>
      </c>
      <c r="FZ11" s="12">
        <f>IF('Données projet'!$A$244&gt;35,FZ10+FY11-GH10,IF(A11&lt;'Données projet'!$A$244,$FW$205^A11,IF(A11='Données projet'!$A$244,'Données projet'!$B$244,FZ10+FY11-GH10)))</f>
        <v>5.7539422013952093</v>
      </c>
      <c r="GA11" s="17">
        <f>FZ11*VLOOKUP('Données projet'!$B$17,Paramètres!$A$1:$I$89,3,0)*VLOOKUP('Données projet'!$B$17,Paramètres!$A$1:$I$89,5,0)</f>
        <v>3.4408574364343356</v>
      </c>
      <c r="GB11" s="13">
        <f t="shared" si="49"/>
        <v>1.3732535882427113</v>
      </c>
      <c r="GC11" s="20">
        <f t="shared" si="25"/>
        <v>8.3845767013125236</v>
      </c>
      <c r="GD11" s="59">
        <f t="shared" si="26"/>
        <v>274.829021145757</v>
      </c>
      <c r="GE11" s="59">
        <f ca="1">AVERAGE(OFFSET($GD$3,0,0,'Données projet'!$E$17+1,1))-AVERAGE(OFFSET($H$3,0,0,'Données projet'!$E$17+1,1))</f>
        <v>405.42845699663462</v>
      </c>
      <c r="GF11" s="59">
        <f t="shared" si="50"/>
        <v>292.26503163353146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7.9</v>
      </c>
      <c r="N12" s="13">
        <f>IF('Données projet'!$A$36&gt;35,N11+M12-V11,IF(A12&lt;'Données projet'!$A$36,$K$205^A12,IF(A12='Données projet'!$A$36,'Données projet'!$B$36,N11+M12-V11)))</f>
        <v>9.7587836327093171</v>
      </c>
      <c r="O12" s="13">
        <f>N12*VLOOKUP('Données projet'!$B$9,Paramètres!$A$1:$I$89,3,0)*VLOOKUP('Données projet'!$B$9,Paramètres!$A$1:$I$89,5,0)</f>
        <v>4.5671107401079603</v>
      </c>
      <c r="P12" s="13">
        <f t="shared" si="33"/>
        <v>1.763645650133036</v>
      </c>
      <c r="Q12" s="20">
        <f t="shared" si="2"/>
        <v>11.026067379669733</v>
      </c>
      <c r="R12" s="59">
        <f t="shared" si="0"/>
        <v>278.6927340463364</v>
      </c>
      <c r="S12" s="59">
        <f ca="1">AVERAGE(OFFSET($R$3,0,0,'Données projet'!$E$9+1,1))-AVERAGE(OFFSET($H$3,0,0,'Données projet'!$E$9+1,1))</f>
        <v>198.26255998041</v>
      </c>
      <c r="T12" s="59">
        <f t="shared" si="34"/>
        <v>238.62101708181166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10.119999999999999</v>
      </c>
      <c r="AI12" s="13">
        <f>IF('Données projet'!$A$62&gt;35,AI11+AH12-AQ11,IF(A12&lt;'Données projet'!$A$62,$AF$205^A12,IF(A12='Données projet'!$A$62,'Données projet'!$B$62,AI11+AH12-AQ11)))</f>
        <v>7.3303276586408614</v>
      </c>
      <c r="AJ12" s="13">
        <f>AI12*VLOOKUP('Données projet'!$B$10,Paramètres!$A$1:$I$89,3,0)*VLOOKUP('Données projet'!$B$10,Paramètres!$A$1:$I$89,5,0)</f>
        <v>4.0976531611802418</v>
      </c>
      <c r="AK12" s="13">
        <f t="shared" si="35"/>
        <v>1.6024635643153309</v>
      </c>
      <c r="AL12" s="20">
        <f t="shared" si="4"/>
        <v>9.927703296904788</v>
      </c>
      <c r="AM12" s="59">
        <f t="shared" si="5"/>
        <v>277.59436996357147</v>
      </c>
      <c r="AN12" s="59">
        <f ca="1">AVERAGE(OFFSET($AM$3,0,0,'Données projet'!$E$10+1,1))-AVERAGE(OFFSET($H$3,0,0,'Données projet'!$E$10+1,1))</f>
        <v>347.02720636703873</v>
      </c>
      <c r="AO12" s="59">
        <f t="shared" si="36"/>
        <v>394.03759949558702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6.9411764705882355</v>
      </c>
      <c r="BD12" s="12">
        <f>IF('Données projet'!$A$88&gt;35,BD11+BC12-BL11,IF(A12&lt;'Données projet'!$A$88,$BA$205^A12,IF(A12='Données projet'!$A$88,'Données projet'!$B$88,BD11+BC12-BL11)))</f>
        <v>12.499099052286473</v>
      </c>
      <c r="BE12" s="13">
        <f>BD12*VLOOKUP('Données projet'!$B$11,Paramètres!$A$1:$I$89,3,0)*VLOOKUP('Données projet'!$B$11,Paramètres!$A$1:$I$89,5,0)</f>
        <v>7.474461233267311</v>
      </c>
      <c r="BF12" s="13">
        <f t="shared" si="37"/>
        <v>2.7255067314033421</v>
      </c>
      <c r="BG12" s="20">
        <f t="shared" si="7"/>
        <v>17.764944205134721</v>
      </c>
      <c r="BH12" s="59">
        <f t="shared" si="8"/>
        <v>285.43161087180141</v>
      </c>
      <c r="BI12" s="59">
        <f ca="1">AVERAGE(OFFSET($BH$3,0,0,'Données projet'!$E$11+1,1))-AVERAGE(OFFSET($H$3,0,0,'Données projet'!$E$11+1,1))</f>
        <v>378.75660696651238</v>
      </c>
      <c r="BJ12" s="59">
        <f t="shared" si="38"/>
        <v>371.70674704563288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2.1607142857142856</v>
      </c>
      <c r="BY12" s="12">
        <f>IF('Données projet'!$A$114&gt;35,BY11+BX12-CG11,IF(A12&lt;'Données projet'!$A$114,$BV$205^A12,IF(A12='Données projet'!$A$114,'Données projet'!$B$114,BY11+BX12-CG11)))</f>
        <v>19.446428571428566</v>
      </c>
      <c r="BZ12" s="13">
        <f>BY12*VLOOKUP('Données projet'!$B$12,Paramètres!$A$1:$I$89,3,0)*VLOOKUP('Données projet'!$B$12,Paramètres!$A$1:$I$89,5,0)</f>
        <v>19.718678571428569</v>
      </c>
      <c r="CA12" s="13">
        <f t="shared" si="39"/>
        <v>6.4225293232456817</v>
      </c>
      <c r="CB12" s="20">
        <f t="shared" si="10"/>
        <v>45.529270416557658</v>
      </c>
      <c r="CC12" s="59">
        <f t="shared" si="11"/>
        <v>313.19593708322435</v>
      </c>
      <c r="CD12" s="59">
        <f ca="1">AVERAGE(OFFSET($CC$3,0,0,'Données projet'!$E$12+1,1))-AVERAGE(OFFSET($H$3,0,0,'Données projet'!$E$12+1,1))</f>
        <v>410.75375635525211</v>
      </c>
      <c r="CE12" s="59">
        <f t="shared" si="40"/>
        <v>183.55513001437367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</v>
      </c>
      <c r="CT12" s="12">
        <f>IF('Données projet'!$A$140&gt;35,CT11+CS12-DB11,IF(A12&lt;'Données projet'!$A$140,$CQ$205^A12,IF(A12='Données projet'!$A$140,'Données projet'!$B$140,CT11+CS12-DB11)))</f>
        <v>27</v>
      </c>
      <c r="CU12" s="17">
        <f>CT12*VLOOKUP('Données projet'!$B$13,Paramètres!$A$1:$I$89,3,0)*VLOOKUP('Données projet'!$B$13,Paramètres!$A$1:$I$89,5,0)</f>
        <v>24.429599999999997</v>
      </c>
      <c r="CV12" s="13">
        <f t="shared" si="41"/>
        <v>7.7609512795113149</v>
      </c>
      <c r="CW12" s="20">
        <f t="shared" si="13"/>
        <v>56.06521014514886</v>
      </c>
      <c r="CX12" s="59">
        <f t="shared" si="14"/>
        <v>323.73187681181554</v>
      </c>
      <c r="CY12" s="59">
        <f ca="1">AVERAGE(OFFSET($CX$3,0,0,'Données projet'!$E$13+1,1))-AVERAGE(OFFSET($H$3,0,0,'Données projet'!$E$13+1,1))</f>
        <v>436.12708882925142</v>
      </c>
      <c r="CZ12" s="59">
        <f t="shared" si="42"/>
        <v>217.65884352525285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5.666666666666667</v>
      </c>
      <c r="DO12" s="12">
        <f>IF('Données projet'!$A$166&gt;35,DO11+DN12-DW11,IF(A12&lt;'Données projet'!$A$166,$DL$205^A12,IF(A12='Données projet'!$A$166,'Données projet'!$B$166,DO11+DN12-DW11)))</f>
        <v>14.376439975772882</v>
      </c>
      <c r="DP12" s="17">
        <f>DO12*VLOOKUP('Données projet'!$B$14,Paramètres!$A$1:$I$89,3,0)*VLOOKUP('Données projet'!$B$14,Paramètres!$A$1:$I$89,5,0)</f>
        <v>13.680620280945474</v>
      </c>
      <c r="DQ12" s="13">
        <f t="shared" si="43"/>
        <v>4.6495951525999581</v>
      </c>
      <c r="DR12" s="20">
        <f t="shared" si="16"/>
        <v>31.925125213424959</v>
      </c>
      <c r="DS12" s="59">
        <f t="shared" si="17"/>
        <v>299.59179188009165</v>
      </c>
      <c r="DT12" s="59">
        <f ca="1">AVERAGE(OFFSET($DS$3,0,0,'Données projet'!$E$14+1,1))-AVERAGE(OFFSET($H$3,0,0,'Données projet'!$E$14+1,1))</f>
        <v>735.50267870886194</v>
      </c>
      <c r="DU12" s="59">
        <f t="shared" si="44"/>
        <v>525.80345400853275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2.1607142857142856</v>
      </c>
      <c r="EJ12" s="12">
        <f>IF('Données projet'!$A$192&gt;35,EJ11+EI12-ER11,IF(A12&lt;'Données projet'!$A$192,$EG$205^A12,IF(A12='Données projet'!$A$192,'Données projet'!$B$192,EJ11+EI12-ER11)))</f>
        <v>19.446428571428566</v>
      </c>
      <c r="EK12" s="17">
        <f>EJ12*VLOOKUP('Données projet'!$B$15,Paramètres!$A$1:$I$89,3,0)*VLOOKUP('Données projet'!$B$15,Paramètres!$A$1:$I$89,5,0)</f>
        <v>12.437935714285711</v>
      </c>
      <c r="EL12" s="13">
        <f t="shared" si="45"/>
        <v>4.2743656360823383</v>
      </c>
      <c r="EM12" s="20">
        <f t="shared" si="19"/>
        <v>29.107258185224353</v>
      </c>
      <c r="EN12" s="59">
        <f t="shared" si="20"/>
        <v>296.77392485189102</v>
      </c>
      <c r="EO12" s="59">
        <f ca="1">AVERAGE(OFFSET($EN$3,0,0,'Données projet'!$E$15+1,1))-AVERAGE(OFFSET($H$3,0,0,'Données projet'!$E$15+1,1))</f>
        <v>274.14900959323484</v>
      </c>
      <c r="EP12" s="59">
        <f t="shared" si="46"/>
        <v>130.44590390921582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5.5909090909090908</v>
      </c>
      <c r="FE12" s="12">
        <f>IF('Données projet'!$A$218&gt;35,FE11+FD12-FM11,IF(A12&lt;'Données projet'!$A$218,$FB$205^A12,IF(A12='Données projet'!$A$218,'Données projet'!$B$218,FE11+FD12-FM11)))</f>
        <v>7.1607940284521145</v>
      </c>
      <c r="FF12" s="17">
        <f>FE12*VLOOKUP('Données projet'!$B$16,Paramètres!$A$1:$I$89,3,0)*VLOOKUP('Données projet'!$B$16,Paramètres!$A$1:$I$89,5,0)</f>
        <v>4.2821548290143649</v>
      </c>
      <c r="FG12" s="13">
        <f t="shared" si="47"/>
        <v>1.6660534544894132</v>
      </c>
      <c r="FH12" s="20">
        <f t="shared" si="22"/>
        <v>10.359796093769079</v>
      </c>
      <c r="FI12" s="59">
        <f t="shared" si="23"/>
        <v>278.02646276043578</v>
      </c>
      <c r="FJ12" s="59">
        <f ca="1">AVERAGE(OFFSET($FI$3,0,0,'Données projet'!$E$16+1,1))-AVERAGE(OFFSET($H$3,0,0,'Données projet'!$E$16+1,1))</f>
        <v>405.42845699663462</v>
      </c>
      <c r="FK12" s="59">
        <f t="shared" si="48"/>
        <v>292.26503163353146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5.5909090909090908</v>
      </c>
      <c r="FZ12" s="12">
        <f>IF('Données projet'!$A$244&gt;35,FZ11+FY12-GH11,IF(A12&lt;'Données projet'!$A$244,$FW$205^A12,IF(A12='Données projet'!$A$244,'Données projet'!$B$244,FZ11+FY12-GH11)))</f>
        <v>7.1607940284521145</v>
      </c>
      <c r="GA12" s="17">
        <f>FZ12*VLOOKUP('Données projet'!$B$17,Paramètres!$A$1:$I$89,3,0)*VLOOKUP('Données projet'!$B$17,Paramètres!$A$1:$I$89,5,0)</f>
        <v>4.2821548290143649</v>
      </c>
      <c r="GB12" s="13">
        <f t="shared" si="49"/>
        <v>1.6660534544894132</v>
      </c>
      <c r="GC12" s="20">
        <f t="shared" si="25"/>
        <v>10.359796093769079</v>
      </c>
      <c r="GD12" s="59">
        <f t="shared" si="26"/>
        <v>278.02646276043578</v>
      </c>
      <c r="GE12" s="59">
        <f ca="1">AVERAGE(OFFSET($GD$3,0,0,'Données projet'!$E$17+1,1))-AVERAGE(OFFSET($H$3,0,0,'Données projet'!$E$17+1,1))</f>
        <v>405.42845699663462</v>
      </c>
      <c r="GF12" s="59">
        <f t="shared" si="50"/>
        <v>292.26503163353146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7.9</v>
      </c>
      <c r="N13" s="13">
        <f>IF('Données projet'!$A$36&gt;35,N12+M13-V12,IF(A13&lt;'Données projet'!$A$36,$K$205^A13,IF(A13='Données projet'!$A$36,'Données projet'!$B$36,N12+M13-V12)))</f>
        <v>12.569805089976542</v>
      </c>
      <c r="O13" s="13">
        <f>N13*VLOOKUP('Données projet'!$B$9,Paramètres!$A$1:$I$89,3,0)*VLOOKUP('Données projet'!$B$9,Paramètres!$A$1:$I$89,5,0)</f>
        <v>5.8826687821090227</v>
      </c>
      <c r="P13" s="13">
        <f t="shared" si="33"/>
        <v>2.2057079152108381</v>
      </c>
      <c r="Q13" s="20">
        <f t="shared" si="2"/>
        <v>14.087256081165423</v>
      </c>
      <c r="R13" s="59">
        <f t="shared" si="0"/>
        <v>282.97614497005429</v>
      </c>
      <c r="S13" s="59">
        <f ca="1">AVERAGE(OFFSET($R$3,0,0,'Données projet'!$E$9+1,1))-AVERAGE(OFFSET($H$3,0,0,'Données projet'!$E$9+1,1))</f>
        <v>198.26255998041</v>
      </c>
      <c r="T13" s="59">
        <f t="shared" si="34"/>
        <v>238.62101708181166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10.119999999999999</v>
      </c>
      <c r="AI13" s="13">
        <f>IF('Données projet'!$A$62&gt;35,AI12+AH13-AQ12,IF(A13&lt;'Données projet'!$A$62,$AF$205^A13,IF(A13='Données projet'!$A$62,'Données projet'!$B$62,AI12+AH13-AQ12)))</f>
        <v>9.1463582581700447</v>
      </c>
      <c r="AJ13" s="13">
        <f>AI13*VLOOKUP('Données projet'!$B$10,Paramètres!$A$1:$I$89,3,0)*VLOOKUP('Données projet'!$B$10,Paramètres!$A$1:$I$89,5,0)</f>
        <v>5.1128142663170548</v>
      </c>
      <c r="AK13" s="13">
        <f t="shared" si="35"/>
        <v>1.9486060891077752</v>
      </c>
      <c r="AL13" s="20">
        <f t="shared" si="4"/>
        <v>12.298640452364912</v>
      </c>
      <c r="AM13" s="59">
        <f t="shared" si="5"/>
        <v>281.18752934125376</v>
      </c>
      <c r="AN13" s="59">
        <f ca="1">AVERAGE(OFFSET($AM$3,0,0,'Données projet'!$E$10+1,1))-AVERAGE(OFFSET($H$3,0,0,'Données projet'!$E$10+1,1))</f>
        <v>347.02720636703873</v>
      </c>
      <c r="AO13" s="59">
        <f t="shared" si="36"/>
        <v>394.03759949558702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6.9411764705882355</v>
      </c>
      <c r="BD13" s="12">
        <f>IF('Données projet'!$A$88&gt;35,BD12+BC13-BL12,IF(A13&lt;'Données projet'!$A$88,$BA$205^A13,IF(A13='Données projet'!$A$88,'Données projet'!$B$88,BD12+BC13-BL12)))</f>
        <v>16.548328060996262</v>
      </c>
      <c r="BE13" s="13">
        <f>BD13*VLOOKUP('Données projet'!$B$11,Paramètres!$A$1:$I$89,3,0)*VLOOKUP('Données projet'!$B$11,Paramètres!$A$1:$I$89,5,0)</f>
        <v>9.8959001804757651</v>
      </c>
      <c r="BF13" s="13">
        <f t="shared" si="37"/>
        <v>3.4924996655094662</v>
      </c>
      <c r="BG13" s="20">
        <f t="shared" si="7"/>
        <v>23.318129731757608</v>
      </c>
      <c r="BH13" s="59">
        <f t="shared" si="8"/>
        <v>292.20701862064647</v>
      </c>
      <c r="BI13" s="59">
        <f ca="1">AVERAGE(OFFSET($BH$3,0,0,'Données projet'!$E$11+1,1))-AVERAGE(OFFSET($H$3,0,0,'Données projet'!$E$11+1,1))</f>
        <v>378.75660696651238</v>
      </c>
      <c r="BJ13" s="59">
        <f t="shared" si="38"/>
        <v>371.70674704563288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2.1607142857142856</v>
      </c>
      <c r="BY13" s="12">
        <f>IF('Données projet'!$A$114&gt;35,BY12+BX13-CG12,IF(A13&lt;'Données projet'!$A$114,$BV$205^A13,IF(A13='Données projet'!$A$114,'Données projet'!$B$114,BY12+BX13-CG12)))</f>
        <v>21.607142857142851</v>
      </c>
      <c r="BZ13" s="13">
        <f>BY13*VLOOKUP('Données projet'!$B$12,Paramètres!$A$1:$I$89,3,0)*VLOOKUP('Données projet'!$B$12,Paramètres!$A$1:$I$89,5,0)</f>
        <v>21.909642857142853</v>
      </c>
      <c r="CA13" s="13">
        <f t="shared" si="39"/>
        <v>7.0491607510411871</v>
      </c>
      <c r="CB13" s="20">
        <f t="shared" si="10"/>
        <v>50.436582950920531</v>
      </c>
      <c r="CC13" s="59">
        <f t="shared" si="11"/>
        <v>319.32547183980938</v>
      </c>
      <c r="CD13" s="59">
        <f ca="1">AVERAGE(OFFSET($CC$3,0,0,'Données projet'!$E$12+1,1))-AVERAGE(OFFSET($H$3,0,0,'Données projet'!$E$12+1,1))</f>
        <v>410.75375635525211</v>
      </c>
      <c r="CE13" s="59">
        <f t="shared" si="40"/>
        <v>183.55513001437367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</v>
      </c>
      <c r="CT13" s="12">
        <f>IF('Données projet'!$A$140&gt;35,CT12+CS13-DB12,IF(A13&lt;'Données projet'!$A$140,$CQ$205^A13,IF(A13='Données projet'!$A$140,'Données projet'!$B$140,CT12+CS13-DB12)))</f>
        <v>30</v>
      </c>
      <c r="CU13" s="17">
        <f>CT13*VLOOKUP('Données projet'!$B$13,Paramètres!$A$1:$I$89,3,0)*VLOOKUP('Données projet'!$B$13,Paramètres!$A$1:$I$89,5,0)</f>
        <v>27.143999999999998</v>
      </c>
      <c r="CV13" s="13">
        <f t="shared" si="41"/>
        <v>8.5181694620316346</v>
      </c>
      <c r="CW13" s="20">
        <f t="shared" si="13"/>
        <v>62.111611813038422</v>
      </c>
      <c r="CX13" s="59">
        <f t="shared" si="14"/>
        <v>331.00050070192731</v>
      </c>
      <c r="CY13" s="59">
        <f ca="1">AVERAGE(OFFSET($CX$3,0,0,'Données projet'!$E$13+1,1))-AVERAGE(OFFSET($H$3,0,0,'Données projet'!$E$13+1,1))</f>
        <v>436.12708882925142</v>
      </c>
      <c r="CZ13" s="59">
        <f t="shared" si="42"/>
        <v>217.65884352525285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5.666666666666667</v>
      </c>
      <c r="DO13" s="12">
        <f>IF('Données projet'!$A$166&gt;35,DO12+DN13-DW12,IF(A13&lt;'Données projet'!$A$166,$DL$205^A13,IF(A13='Données projet'!$A$166,'Données projet'!$B$166,DO12+DN13-DW12)))</f>
        <v>19.332111165970613</v>
      </c>
      <c r="DP13" s="17">
        <f>DO13*VLOOKUP('Données projet'!$B$14,Paramètres!$A$1:$I$89,3,0)*VLOOKUP('Données projet'!$B$14,Paramètres!$A$1:$I$89,5,0)</f>
        <v>18.396436985537637</v>
      </c>
      <c r="DQ13" s="13">
        <f t="shared" si="43"/>
        <v>6.0404706345238637</v>
      </c>
      <c r="DR13" s="20">
        <f t="shared" si="16"/>
        <v>42.560947438273779</v>
      </c>
      <c r="DS13" s="59">
        <f t="shared" si="17"/>
        <v>311.44983632716264</v>
      </c>
      <c r="DT13" s="59">
        <f ca="1">AVERAGE(OFFSET($DS$3,0,0,'Données projet'!$E$14+1,1))-AVERAGE(OFFSET($H$3,0,0,'Données projet'!$E$14+1,1))</f>
        <v>735.50267870886194</v>
      </c>
      <c r="DU13" s="59">
        <f t="shared" si="44"/>
        <v>525.80345400853275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2.1607142857142856</v>
      </c>
      <c r="EJ13" s="12">
        <f>IF('Données projet'!$A$192&gt;35,EJ12+EI13-ER12,IF(A13&lt;'Données projet'!$A$192,$EG$205^A13,IF(A13='Données projet'!$A$192,'Données projet'!$B$192,EJ12+EI13-ER12)))</f>
        <v>21.607142857142851</v>
      </c>
      <c r="EK13" s="17">
        <f>EJ13*VLOOKUP('Données projet'!$B$15,Paramètres!$A$1:$I$89,3,0)*VLOOKUP('Données projet'!$B$15,Paramètres!$A$1:$I$89,5,0)</f>
        <v>13.819928571428568</v>
      </c>
      <c r="EL13" s="13">
        <f t="shared" si="45"/>
        <v>4.6914056691677368</v>
      </c>
      <c r="EM13" s="20">
        <f t="shared" si="19"/>
        <v>32.240573802371898</v>
      </c>
      <c r="EN13" s="59">
        <f t="shared" si="20"/>
        <v>301.12946269126076</v>
      </c>
      <c r="EO13" s="59">
        <f ca="1">AVERAGE(OFFSET($EN$3,0,0,'Données projet'!$E$15+1,1))-AVERAGE(OFFSET($H$3,0,0,'Données projet'!$E$15+1,1))</f>
        <v>274.14900959323484</v>
      </c>
      <c r="EP13" s="59">
        <f t="shared" si="46"/>
        <v>130.44590390921582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5.5909090909090908</v>
      </c>
      <c r="FE13" s="12">
        <f>IF('Données projet'!$A$218&gt;35,FE12+FD13-FM12,IF(A13&lt;'Données projet'!$A$218,$FB$205^A13,IF(A13='Données projet'!$A$218,'Données projet'!$B$218,FE12+FD13-FM12)))</f>
        <v>8.9116242956840761</v>
      </c>
      <c r="FF13" s="17">
        <f>FE13*VLOOKUP('Données projet'!$B$16,Paramètres!$A$1:$I$89,3,0)*VLOOKUP('Données projet'!$B$16,Paramètres!$A$1:$I$89,5,0)</f>
        <v>5.3291513288190782</v>
      </c>
      <c r="FG13" s="13">
        <f t="shared" si="47"/>
        <v>2.0212829858817885</v>
      </c>
      <c r="FH13" s="20">
        <f t="shared" si="22"/>
        <v>12.802006431437341</v>
      </c>
      <c r="FI13" s="59">
        <f t="shared" si="23"/>
        <v>281.69089532032621</v>
      </c>
      <c r="FJ13" s="59">
        <f ca="1">AVERAGE(OFFSET($FI$3,0,0,'Données projet'!$E$16+1,1))-AVERAGE(OFFSET($H$3,0,0,'Données projet'!$E$16+1,1))</f>
        <v>405.42845699663462</v>
      </c>
      <c r="FK13" s="59">
        <f t="shared" si="48"/>
        <v>292.26503163353146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5.5909090909090908</v>
      </c>
      <c r="FZ13" s="12">
        <f>IF('Données projet'!$A$244&gt;35,FZ12+FY13-GH12,IF(A13&lt;'Données projet'!$A$244,$FW$205^A13,IF(A13='Données projet'!$A$244,'Données projet'!$B$244,FZ12+FY13-GH12)))</f>
        <v>8.9116242956840761</v>
      </c>
      <c r="GA13" s="17">
        <f>FZ13*VLOOKUP('Données projet'!$B$17,Paramètres!$A$1:$I$89,3,0)*VLOOKUP('Données projet'!$B$17,Paramètres!$A$1:$I$89,5,0)</f>
        <v>5.3291513288190782</v>
      </c>
      <c r="GB13" s="13">
        <f t="shared" si="49"/>
        <v>2.0212829858817885</v>
      </c>
      <c r="GC13" s="20">
        <f t="shared" si="25"/>
        <v>12.802006431437341</v>
      </c>
      <c r="GD13" s="59">
        <f t="shared" si="26"/>
        <v>281.69089532032621</v>
      </c>
      <c r="GE13" s="59">
        <f ca="1">AVERAGE(OFFSET($GD$3,0,0,'Données projet'!$E$17+1,1))-AVERAGE(OFFSET($H$3,0,0,'Données projet'!$E$17+1,1))</f>
        <v>405.42845699663462</v>
      </c>
      <c r="GF13" s="59">
        <f t="shared" si="50"/>
        <v>292.26503163353146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7.9</v>
      </c>
      <c r="N14" s="13">
        <f>IF('Données projet'!$A$36&gt;35,N13+M14-V13,IF(A14&lt;'Données projet'!$A$36,$K$205^A14,IF(A14='Données projet'!$A$36,'Données projet'!$B$36,N13+M14-V13)))</f>
        <v>16.190542381779895</v>
      </c>
      <c r="O14" s="13">
        <f>N14*VLOOKUP('Données projet'!$B$9,Paramètres!$A$1:$I$89,3,0)*VLOOKUP('Données projet'!$B$9,Paramètres!$A$1:$I$89,5,0)</f>
        <v>7.5771738346729904</v>
      </c>
      <c r="P14" s="13">
        <f t="shared" si="33"/>
        <v>2.7585742106736397</v>
      </c>
      <c r="Q14" s="20">
        <f t="shared" si="2"/>
        <v>18.001427845645381</v>
      </c>
      <c r="R14" s="59">
        <f t="shared" si="0"/>
        <v>288.11253895675651</v>
      </c>
      <c r="S14" s="59">
        <f ca="1">AVERAGE(OFFSET($R$3,0,0,'Données projet'!$E$9+1,1))-AVERAGE(OFFSET($H$3,0,0,'Données projet'!$E$9+1,1))</f>
        <v>198.26255998041</v>
      </c>
      <c r="T14" s="59">
        <f t="shared" si="34"/>
        <v>238.62101708181166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10.119999999999999</v>
      </c>
      <c r="AI14" s="13">
        <f>IF('Données projet'!$A$62&gt;35,AI13+AH14-AQ13,IF(A14&lt;'Données projet'!$A$62,$AF$205^A14,IF(A14='Données projet'!$A$62,'Données projet'!$B$62,AI13+AH14-AQ13)))</f>
        <v>11.41229605039323</v>
      </c>
      <c r="AJ14" s="13">
        <f>AI14*VLOOKUP('Données projet'!$B$10,Paramètres!$A$1:$I$89,3,0)*VLOOKUP('Données projet'!$B$10,Paramètres!$A$1:$I$89,5,0)</f>
        <v>6.379473492169816</v>
      </c>
      <c r="AK14" s="13">
        <f t="shared" si="35"/>
        <v>2.3695176446212898</v>
      </c>
      <c r="AL14" s="20">
        <f t="shared" si="4"/>
        <v>15.237826229911176</v>
      </c>
      <c r="AM14" s="59">
        <f t="shared" si="5"/>
        <v>285.34893734102229</v>
      </c>
      <c r="AN14" s="59">
        <f ca="1">AVERAGE(OFFSET($AM$3,0,0,'Données projet'!$E$10+1,1))-AVERAGE(OFFSET($H$3,0,0,'Données projet'!$E$10+1,1))</f>
        <v>347.02720636703873</v>
      </c>
      <c r="AO14" s="59">
        <f t="shared" si="36"/>
        <v>394.03759949558702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6.9411764705882355</v>
      </c>
      <c r="BD14" s="12">
        <f>IF('Données projet'!$A$88&gt;35,BD13+BC14-BL13,IF(A14&lt;'Données projet'!$A$88,$BA$205^A14,IF(A14='Données projet'!$A$88,'Données projet'!$B$88,BD13+BC14-BL13)))</f>
        <v>21.909352063600231</v>
      </c>
      <c r="BE14" s="13">
        <f>BD14*VLOOKUP('Données projet'!$B$11,Paramètres!$A$1:$I$89,3,0)*VLOOKUP('Données projet'!$B$11,Paramètres!$A$1:$I$89,5,0)</f>
        <v>13.101792534032938</v>
      </c>
      <c r="BF14" s="13">
        <f t="shared" si="37"/>
        <v>4.4753343563761101</v>
      </c>
      <c r="BG14" s="20">
        <f t="shared" si="7"/>
        <v>30.613496000795752</v>
      </c>
      <c r="BH14" s="59">
        <f t="shared" si="8"/>
        <v>300.72460711190689</v>
      </c>
      <c r="BI14" s="59">
        <f ca="1">AVERAGE(OFFSET($BH$3,0,0,'Données projet'!$E$11+1,1))-AVERAGE(OFFSET($H$3,0,0,'Données projet'!$E$11+1,1))</f>
        <v>378.75660696651238</v>
      </c>
      <c r="BJ14" s="59">
        <f t="shared" si="38"/>
        <v>371.70674704563288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2.1607142857142856</v>
      </c>
      <c r="BY14" s="12">
        <f>IF('Données projet'!$A$114&gt;35,BY13+BX14-CG13,IF(A14&lt;'Données projet'!$A$114,$BV$205^A14,IF(A14='Données projet'!$A$114,'Données projet'!$B$114,BY13+BX14-CG13)))</f>
        <v>23.767857142857135</v>
      </c>
      <c r="BZ14" s="13">
        <f>BY14*VLOOKUP('Données projet'!$B$12,Paramètres!$A$1:$I$89,3,0)*VLOOKUP('Données projet'!$B$12,Paramètres!$A$1:$I$89,5,0)</f>
        <v>24.10060714285714</v>
      </c>
      <c r="CA14" s="13">
        <f t="shared" si="39"/>
        <v>7.6685277070994751</v>
      </c>
      <c r="CB14" s="20">
        <f t="shared" si="10"/>
        <v>55.331243197007772</v>
      </c>
      <c r="CC14" s="59">
        <f t="shared" si="11"/>
        <v>325.44235430811892</v>
      </c>
      <c r="CD14" s="59">
        <f ca="1">AVERAGE(OFFSET($CC$3,0,0,'Données projet'!$E$12+1,1))-AVERAGE(OFFSET($H$3,0,0,'Données projet'!$E$12+1,1))</f>
        <v>410.75375635525211</v>
      </c>
      <c r="CE14" s="59">
        <f t="shared" si="40"/>
        <v>183.55513001437367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</v>
      </c>
      <c r="CT14" s="12">
        <f>IF('Données projet'!$A$140&gt;35,CT13+CS14-DB13,IF(A14&lt;'Données projet'!$A$140,$CQ$205^A14,IF(A14='Données projet'!$A$140,'Données projet'!$B$140,CT13+CS14-DB13)))</f>
        <v>33</v>
      </c>
      <c r="CU14" s="17">
        <f>CT14*VLOOKUP('Données projet'!$B$13,Paramètres!$A$1:$I$89,3,0)*VLOOKUP('Données projet'!$B$13,Paramètres!$A$1:$I$89,5,0)</f>
        <v>29.858399999999996</v>
      </c>
      <c r="CV14" s="13">
        <f t="shared" si="41"/>
        <v>9.2666092944057148</v>
      </c>
      <c r="CW14" s="20">
        <f t="shared" si="13"/>
        <v>68.14272452108996</v>
      </c>
      <c r="CX14" s="59">
        <f t="shared" si="14"/>
        <v>338.25383563220112</v>
      </c>
      <c r="CY14" s="59">
        <f ca="1">AVERAGE(OFFSET($CX$3,0,0,'Données projet'!$E$13+1,1))-AVERAGE(OFFSET($H$3,0,0,'Données projet'!$E$13+1,1))</f>
        <v>436.12708882925142</v>
      </c>
      <c r="CZ14" s="59">
        <f t="shared" si="42"/>
        <v>217.65884352525285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5.666666666666667</v>
      </c>
      <c r="DO14" s="12">
        <f>IF('Données projet'!$A$166&gt;35,DO13+DN14-DW13,IF(A14&lt;'Données projet'!$A$166,$DL$205^A14,IF(A14='Données projet'!$A$166,'Données projet'!$B$166,DO13+DN14-DW13)))</f>
        <v>25.996040936647375</v>
      </c>
      <c r="DP14" s="17">
        <f>DO14*VLOOKUP('Données projet'!$B$14,Paramètres!$A$1:$I$89,3,0)*VLOOKUP('Données projet'!$B$14,Paramètres!$A$1:$I$89,5,0)</f>
        <v>24.737832555313641</v>
      </c>
      <c r="DQ14" s="13">
        <f t="shared" si="43"/>
        <v>7.8474112883015517</v>
      </c>
      <c r="DR14" s="20">
        <f t="shared" si="16"/>
        <v>56.752633027629798</v>
      </c>
      <c r="DS14" s="59">
        <f t="shared" si="17"/>
        <v>326.86374413874091</v>
      </c>
      <c r="DT14" s="59">
        <f ca="1">AVERAGE(OFFSET($DS$3,0,0,'Données projet'!$E$14+1,1))-AVERAGE(OFFSET($H$3,0,0,'Données projet'!$E$14+1,1))</f>
        <v>735.50267870886194</v>
      </c>
      <c r="DU14" s="59">
        <f t="shared" si="44"/>
        <v>525.80345400853275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2.1607142857142856</v>
      </c>
      <c r="EJ14" s="12">
        <f>IF('Données projet'!$A$192&gt;35,EJ13+EI14-ER13,IF(A14&lt;'Données projet'!$A$192,$EG$205^A14,IF(A14='Données projet'!$A$192,'Données projet'!$B$192,EJ13+EI14-ER13)))</f>
        <v>23.767857142857135</v>
      </c>
      <c r="EK14" s="17">
        <f>EJ14*VLOOKUP('Données projet'!$B$15,Paramètres!$A$1:$I$89,3,0)*VLOOKUP('Données projet'!$B$15,Paramètres!$A$1:$I$89,5,0)</f>
        <v>15.201921428571424</v>
      </c>
      <c r="EL14" s="13">
        <f t="shared" si="45"/>
        <v>5.1036110013440306</v>
      </c>
      <c r="EM14" s="20">
        <f t="shared" si="19"/>
        <v>35.365468982102755</v>
      </c>
      <c r="EN14" s="59">
        <f t="shared" si="20"/>
        <v>305.4765800932139</v>
      </c>
      <c r="EO14" s="59">
        <f ca="1">AVERAGE(OFFSET($EN$3,0,0,'Données projet'!$E$15+1,1))-AVERAGE(OFFSET($H$3,0,0,'Données projet'!$E$15+1,1))</f>
        <v>274.14900959323484</v>
      </c>
      <c r="EP14" s="59">
        <f t="shared" si="46"/>
        <v>130.44590390921582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5.5909090909090908</v>
      </c>
      <c r="FE14" s="12">
        <f>IF('Données projet'!$A$218&gt;35,FE13+FD14-FM13,IF(A14&lt;'Données projet'!$A$218,$FB$205^A14,IF(A14='Données projet'!$A$218,'Données projet'!$B$218,FE13+FD14-FM13)))</f>
        <v>11.090536506409412</v>
      </c>
      <c r="FF14" s="17">
        <f>FE14*VLOOKUP('Données projet'!$B$16,Paramètres!$A$1:$I$89,3,0)*VLOOKUP('Données projet'!$B$16,Paramètres!$A$1:$I$89,5,0)</f>
        <v>6.6321408308328289</v>
      </c>
      <c r="FG14" s="13">
        <f t="shared" si="47"/>
        <v>2.4522531963221348</v>
      </c>
      <c r="FH14" s="20">
        <f t="shared" si="22"/>
        <v>15.821986263961561</v>
      </c>
      <c r="FI14" s="59">
        <f t="shared" si="23"/>
        <v>285.93309737507269</v>
      </c>
      <c r="FJ14" s="59">
        <f ca="1">AVERAGE(OFFSET($FI$3,0,0,'Données projet'!$E$16+1,1))-AVERAGE(OFFSET($H$3,0,0,'Données projet'!$E$16+1,1))</f>
        <v>405.42845699663462</v>
      </c>
      <c r="FK14" s="59">
        <f t="shared" si="48"/>
        <v>292.26503163353146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5.5909090909090908</v>
      </c>
      <c r="FZ14" s="12">
        <f>IF('Données projet'!$A$244&gt;35,FZ13+FY14-GH13,IF(A14&lt;'Données projet'!$A$244,$FW$205^A14,IF(A14='Données projet'!$A$244,'Données projet'!$B$244,FZ13+FY14-GH13)))</f>
        <v>11.090536506409412</v>
      </c>
      <c r="GA14" s="17">
        <f>FZ14*VLOOKUP('Données projet'!$B$17,Paramètres!$A$1:$I$89,3,0)*VLOOKUP('Données projet'!$B$17,Paramètres!$A$1:$I$89,5,0)</f>
        <v>6.6321408308328289</v>
      </c>
      <c r="GB14" s="13">
        <f t="shared" si="49"/>
        <v>2.4522531963221348</v>
      </c>
      <c r="GC14" s="20">
        <f t="shared" si="25"/>
        <v>15.821986263961561</v>
      </c>
      <c r="GD14" s="59">
        <f t="shared" si="26"/>
        <v>285.93309737507269</v>
      </c>
      <c r="GE14" s="59">
        <f ca="1">AVERAGE(OFFSET($GD$3,0,0,'Données projet'!$E$17+1,1))-AVERAGE(OFFSET($H$3,0,0,'Données projet'!$E$17+1,1))</f>
        <v>405.42845699663462</v>
      </c>
      <c r="GF14" s="59">
        <f t="shared" si="50"/>
        <v>292.26503163353146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7.9</v>
      </c>
      <c r="N15" s="13">
        <f>IF('Données projet'!$A$36&gt;35,N14+M15-V14,IF(A15&lt;'Données projet'!$A$36,$K$205^A15,IF(A15='Données projet'!$A$36,'Données projet'!$B$36,N14+M15-V14)))</f>
        <v>20.854234472198982</v>
      </c>
      <c r="O15" s="13">
        <f>N15*VLOOKUP('Données projet'!$B$9,Paramètres!$A$1:$I$89,3,0)*VLOOKUP('Données projet'!$B$9,Paramètres!$A$1:$I$89,5,0)</f>
        <v>9.7597817329891239</v>
      </c>
      <c r="P15" s="13">
        <f t="shared" si="33"/>
        <v>3.4500178483814818</v>
      </c>
      <c r="Q15" s="20">
        <f t="shared" si="2"/>
        <v>23.00706760422047</v>
      </c>
      <c r="R15" s="59">
        <f t="shared" si="0"/>
        <v>294.3404009375538</v>
      </c>
      <c r="S15" s="59">
        <f ca="1">AVERAGE(OFFSET($R$3,0,0,'Données projet'!$E$9+1,1))-AVERAGE(OFFSET($H$3,0,0,'Données projet'!$E$9+1,1))</f>
        <v>198.26255998041</v>
      </c>
      <c r="T15" s="59">
        <f t="shared" si="34"/>
        <v>238.62101708181166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10.119999999999999</v>
      </c>
      <c r="AI15" s="13">
        <f>IF('Données projet'!$A$62&gt;35,AI14+AH15-AQ14,IF(A15&lt;'Données projet'!$A$62,$AF$205^A15,IF(A15='Données projet'!$A$62,'Données projet'!$B$62,AI14+AH15-AQ14)))</f>
        <v>14.239601977703286</v>
      </c>
      <c r="AJ15" s="13">
        <f>AI15*VLOOKUP('Données projet'!$B$10,Paramètres!$A$1:$I$89,3,0)*VLOOKUP('Données projet'!$B$10,Paramètres!$A$1:$I$89,5,0)</f>
        <v>7.9599375055361374</v>
      </c>
      <c r="AK15" s="13">
        <f t="shared" si="35"/>
        <v>2.8813488265052238</v>
      </c>
      <c r="AL15" s="20">
        <f t="shared" si="4"/>
        <v>18.88190702830537</v>
      </c>
      <c r="AM15" s="59">
        <f t="shared" si="5"/>
        <v>290.21524036163868</v>
      </c>
      <c r="AN15" s="59">
        <f ca="1">AVERAGE(OFFSET($AM$3,0,0,'Données projet'!$E$10+1,1))-AVERAGE(OFFSET($H$3,0,0,'Données projet'!$E$10+1,1))</f>
        <v>347.02720636703873</v>
      </c>
      <c r="AO15" s="59">
        <f t="shared" si="36"/>
        <v>394.03759949558702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6.9411764705882355</v>
      </c>
      <c r="BD15" s="12">
        <f>IF('Données projet'!$A$88&gt;35,BD14+BC15-BL14,IF(A15&lt;'Données projet'!$A$88,$BA$205^A15,IF(A15='Données projet'!$A$88,'Données projet'!$B$88,BD14+BC15-BL14)))</f>
        <v>29.007142357672414</v>
      </c>
      <c r="BE15" s="13">
        <f>BD15*VLOOKUP('Données projet'!$B$11,Paramètres!$A$1:$I$89,3,0)*VLOOKUP('Données projet'!$B$11,Paramètres!$A$1:$I$89,5,0)</f>
        <v>17.346271129888105</v>
      </c>
      <c r="BF15" s="13">
        <f t="shared" si="37"/>
        <v>5.7347514730366376</v>
      </c>
      <c r="BG15" s="20">
        <f t="shared" si="7"/>
        <v>40.19944770009392</v>
      </c>
      <c r="BH15" s="59">
        <f t="shared" si="8"/>
        <v>311.53278103342723</v>
      </c>
      <c r="BI15" s="59">
        <f ca="1">AVERAGE(OFFSET($BH$3,0,0,'Données projet'!$E$11+1,1))-AVERAGE(OFFSET($H$3,0,0,'Données projet'!$E$11+1,1))</f>
        <v>378.75660696651238</v>
      </c>
      <c r="BJ15" s="59">
        <f t="shared" si="38"/>
        <v>371.70674704563288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2.1607142857142856</v>
      </c>
      <c r="BY15" s="12">
        <f>IF('Données projet'!$A$114&gt;35,BY14+BX15-CG14,IF(A15&lt;'Données projet'!$A$114,$BV$205^A15,IF(A15='Données projet'!$A$114,'Données projet'!$B$114,BY14+BX15-CG14)))</f>
        <v>25.92857142857142</v>
      </c>
      <c r="BZ15" s="13">
        <f>BY15*VLOOKUP('Données projet'!$B$12,Paramètres!$A$1:$I$89,3,0)*VLOOKUP('Données projet'!$B$12,Paramètres!$A$1:$I$89,5,0)</f>
        <v>26.291571428571423</v>
      </c>
      <c r="CA15" s="13">
        <f t="shared" si="39"/>
        <v>8.2813657041907671</v>
      </c>
      <c r="CB15" s="20">
        <f t="shared" si="10"/>
        <v>60.214532172894138</v>
      </c>
      <c r="CC15" s="59">
        <f t="shared" si="11"/>
        <v>331.54786550622748</v>
      </c>
      <c r="CD15" s="59">
        <f ca="1">AVERAGE(OFFSET($CC$3,0,0,'Données projet'!$E$12+1,1))-AVERAGE(OFFSET($H$3,0,0,'Données projet'!$E$12+1,1))</f>
        <v>410.75375635525211</v>
      </c>
      <c r="CE15" s="59">
        <f t="shared" si="40"/>
        <v>183.55513001437367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</v>
      </c>
      <c r="CT15" s="12">
        <f>IF('Données projet'!$A$140&gt;35,CT14+CS15-DB14,IF(A15&lt;'Données projet'!$A$140,$CQ$205^A15,IF(A15='Données projet'!$A$140,'Données projet'!$B$140,CT14+CS15-DB14)))</f>
        <v>36</v>
      </c>
      <c r="CU15" s="17">
        <f>CT15*VLOOKUP('Données projet'!$B$13,Paramètres!$A$1:$I$89,3,0)*VLOOKUP('Données projet'!$B$13,Paramètres!$A$1:$I$89,5,0)</f>
        <v>32.572800000000001</v>
      </c>
      <c r="CV15" s="13">
        <f t="shared" si="41"/>
        <v>10.007159566468195</v>
      </c>
      <c r="CW15" s="20">
        <f t="shared" si="13"/>
        <v>74.160096244932106</v>
      </c>
      <c r="CX15" s="59">
        <f t="shared" si="14"/>
        <v>345.49342957826542</v>
      </c>
      <c r="CY15" s="59">
        <f ca="1">AVERAGE(OFFSET($CX$3,0,0,'Données projet'!$E$13+1,1))-AVERAGE(OFFSET($H$3,0,0,'Données projet'!$E$13+1,1))</f>
        <v>436.12708882925142</v>
      </c>
      <c r="CZ15" s="59">
        <f t="shared" si="42"/>
        <v>217.65884352525285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5.666666666666667</v>
      </c>
      <c r="DO15" s="12">
        <f>IF('Données projet'!$A$166&gt;35,DO14+DN15-DW14,IF(A15&lt;'Données projet'!$A$166,$DL$205^A15,IF(A15='Données projet'!$A$166,'Données projet'!$B$166,DO14+DN15-DW14)))</f>
        <v>34.957079368000635</v>
      </c>
      <c r="DP15" s="17">
        <f>DO15*VLOOKUP('Données projet'!$B$14,Paramètres!$A$1:$I$89,3,0)*VLOOKUP('Données projet'!$B$14,Paramètres!$A$1:$I$89,5,0)</f>
        <v>33.265156726589403</v>
      </c>
      <c r="DQ15" s="13">
        <f t="shared" si="43"/>
        <v>10.194878454634992</v>
      </c>
      <c r="DR15" s="20">
        <f t="shared" si="16"/>
        <v>75.692894607299152</v>
      </c>
      <c r="DS15" s="59">
        <f t="shared" si="17"/>
        <v>347.02622794063245</v>
      </c>
      <c r="DT15" s="59">
        <f ca="1">AVERAGE(OFFSET($DS$3,0,0,'Données projet'!$E$14+1,1))-AVERAGE(OFFSET($H$3,0,0,'Données projet'!$E$14+1,1))</f>
        <v>735.50267870886194</v>
      </c>
      <c r="DU15" s="59">
        <f t="shared" si="44"/>
        <v>525.80345400853275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2.1607142857142856</v>
      </c>
      <c r="EJ15" s="12">
        <f>IF('Données projet'!$A$192&gt;35,EJ14+EI15-ER14,IF(A15&lt;'Données projet'!$A$192,$EG$205^A15,IF(A15='Données projet'!$A$192,'Données projet'!$B$192,EJ14+EI15-ER14)))</f>
        <v>25.92857142857142</v>
      </c>
      <c r="EK15" s="17">
        <f>EJ15*VLOOKUP('Données projet'!$B$15,Paramètres!$A$1:$I$89,3,0)*VLOOKUP('Données projet'!$B$15,Paramètres!$A$1:$I$89,5,0)</f>
        <v>16.583914285714279</v>
      </c>
      <c r="EL15" s="13">
        <f t="shared" si="45"/>
        <v>5.5114711360999058</v>
      </c>
      <c r="EM15" s="20">
        <f t="shared" si="19"/>
        <v>38.482796276326376</v>
      </c>
      <c r="EN15" s="59">
        <f t="shared" si="20"/>
        <v>309.8161296096597</v>
      </c>
      <c r="EO15" s="59">
        <f ca="1">AVERAGE(OFFSET($EN$3,0,0,'Données projet'!$E$15+1,1))-AVERAGE(OFFSET($H$3,0,0,'Données projet'!$E$15+1,1))</f>
        <v>274.14900959323484</v>
      </c>
      <c r="EP15" s="59">
        <f t="shared" si="46"/>
        <v>130.44590390921582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5.5909090909090908</v>
      </c>
      <c r="FE15" s="12">
        <f>IF('Données projet'!$A$218&gt;35,FE14+FD15-FM14,IF(A15&lt;'Données projet'!$A$218,$FB$205^A15,IF(A15='Données projet'!$A$218,'Données projet'!$B$218,FE14+FD15-FM14)))</f>
        <v>13.802197659922571</v>
      </c>
      <c r="FF15" s="17">
        <f>FE15*VLOOKUP('Données projet'!$B$16,Paramètres!$A$1:$I$89,3,0)*VLOOKUP('Données projet'!$B$16,Paramètres!$A$1:$I$89,5,0)</f>
        <v>8.2537142006336985</v>
      </c>
      <c r="FG15" s="13">
        <f t="shared" si="47"/>
        <v>2.9751132230743558</v>
      </c>
      <c r="FH15" s="20">
        <f t="shared" si="22"/>
        <v>19.556874429624859</v>
      </c>
      <c r="FI15" s="59">
        <f t="shared" si="23"/>
        <v>290.8902077629582</v>
      </c>
      <c r="FJ15" s="59">
        <f ca="1">AVERAGE(OFFSET($FI$3,0,0,'Données projet'!$E$16+1,1))-AVERAGE(OFFSET($H$3,0,0,'Données projet'!$E$16+1,1))</f>
        <v>405.42845699663462</v>
      </c>
      <c r="FK15" s="59">
        <f t="shared" si="48"/>
        <v>292.26503163353146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5.5909090909090908</v>
      </c>
      <c r="FZ15" s="12">
        <f>IF('Données projet'!$A$244&gt;35,FZ14+FY15-GH14,IF(A15&lt;'Données projet'!$A$244,$FW$205^A15,IF(A15='Données projet'!$A$244,'Données projet'!$B$244,FZ14+FY15-GH14)))</f>
        <v>13.802197659922571</v>
      </c>
      <c r="GA15" s="17">
        <f>FZ15*VLOOKUP('Données projet'!$B$17,Paramètres!$A$1:$I$89,3,0)*VLOOKUP('Données projet'!$B$17,Paramètres!$A$1:$I$89,5,0)</f>
        <v>8.2537142006336985</v>
      </c>
      <c r="GB15" s="13">
        <f t="shared" si="49"/>
        <v>2.9751132230743558</v>
      </c>
      <c r="GC15" s="20">
        <f t="shared" si="25"/>
        <v>19.556874429624859</v>
      </c>
      <c r="GD15" s="59">
        <f t="shared" si="26"/>
        <v>290.8902077629582</v>
      </c>
      <c r="GE15" s="59">
        <f ca="1">AVERAGE(OFFSET($GD$3,0,0,'Données projet'!$E$17+1,1))-AVERAGE(OFFSET($H$3,0,0,'Données projet'!$E$17+1,1))</f>
        <v>405.42845699663462</v>
      </c>
      <c r="GF15" s="59">
        <f t="shared" si="50"/>
        <v>292.26503163353146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7.9</v>
      </c>
      <c r="N16" s="13">
        <f>IF('Données projet'!$A$36&gt;35,N15+M16-V15,IF(A16&lt;'Données projet'!$A$36,$K$205^A16,IF(A16='Données projet'!$A$36,'Données projet'!$B$36,N15+M16-V15)))</f>
        <v>26.861304900499697</v>
      </c>
      <c r="O16" s="13">
        <f>N16*VLOOKUP('Données projet'!$B$9,Paramètres!$A$1:$I$89,3,0)*VLOOKUP('Données projet'!$B$9,Paramètres!$A$1:$I$89,5,0)</f>
        <v>12.571090693433858</v>
      </c>
      <c r="P16" s="13">
        <f t="shared" si="33"/>
        <v>4.3147735914069099</v>
      </c>
      <c r="Q16" s="20">
        <f t="shared" si="2"/>
        <v>29.409546962764335</v>
      </c>
      <c r="R16" s="59">
        <f t="shared" si="0"/>
        <v>301.9651025183199</v>
      </c>
      <c r="S16" s="59">
        <f ca="1">AVERAGE(OFFSET($R$3,0,0,'Données projet'!$E$9+1,1))-AVERAGE(OFFSET($H$3,0,0,'Données projet'!$E$9+1,1))</f>
        <v>198.26255998041</v>
      </c>
      <c r="T16" s="59">
        <f t="shared" si="34"/>
        <v>238.62101708181166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10.119999999999999</v>
      </c>
      <c r="AI16" s="13">
        <f>IF('Données projet'!$A$62&gt;35,AI15+AH16-AQ15,IF(A16&lt;'Données projet'!$A$62,$AF$205^A16,IF(A16='Données projet'!$A$62,'Données projet'!$B$62,AI15+AH16-AQ15)))</f>
        <v>17.767350547870222</v>
      </c>
      <c r="AJ16" s="13">
        <f>AI16*VLOOKUP('Données projet'!$B$10,Paramètres!$A$1:$I$89,3,0)*VLOOKUP('Données projet'!$B$10,Paramètres!$A$1:$I$89,5,0)</f>
        <v>9.9319489562594541</v>
      </c>
      <c r="AK16" s="13">
        <f t="shared" si="35"/>
        <v>3.5037388638352742</v>
      </c>
      <c r="AL16" s="20">
        <f t="shared" si="4"/>
        <v>23.400489619998314</v>
      </c>
      <c r="AM16" s="59">
        <f t="shared" si="5"/>
        <v>295.95604517555387</v>
      </c>
      <c r="AN16" s="59">
        <f ca="1">AVERAGE(OFFSET($AM$3,0,0,'Données projet'!$E$10+1,1))-AVERAGE(OFFSET($H$3,0,0,'Données projet'!$E$10+1,1))</f>
        <v>347.02720636703873</v>
      </c>
      <c r="AO16" s="59">
        <f t="shared" si="36"/>
        <v>394.03759949558702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6.9411764705882355</v>
      </c>
      <c r="BD16" s="12">
        <f>IF('Données projet'!$A$88&gt;35,BD15+BC16-BL15,IF(A16&lt;'Données projet'!$A$88,$BA$205^A16,IF(A16='Données projet'!$A$88,'Données projet'!$B$88,BD15+BC16-BL15)))</f>
        <v>38.404344652263013</v>
      </c>
      <c r="BE16" s="13">
        <f>BD16*VLOOKUP('Données projet'!$B$11,Paramètres!$A$1:$I$89,3,0)*VLOOKUP('Données projet'!$B$11,Paramètres!$A$1:$I$89,5,0)</f>
        <v>22.965798102053284</v>
      </c>
      <c r="BF16" s="13">
        <f t="shared" si="37"/>
        <v>7.3485848963755025</v>
      </c>
      <c r="BG16" s="20">
        <f t="shared" si="7"/>
        <v>52.797550388930141</v>
      </c>
      <c r="BH16" s="59">
        <f t="shared" si="8"/>
        <v>325.35310594448566</v>
      </c>
      <c r="BI16" s="59">
        <f ca="1">AVERAGE(OFFSET($BH$3,0,0,'Données projet'!$E$11+1,1))-AVERAGE(OFFSET($H$3,0,0,'Données projet'!$E$11+1,1))</f>
        <v>378.75660696651238</v>
      </c>
      <c r="BJ16" s="59">
        <f t="shared" si="38"/>
        <v>371.70674704563288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2.1607142857142856</v>
      </c>
      <c r="BY16" s="12">
        <f>IF('Données projet'!$A$114&gt;35,BY15+BX16-CG15,IF(A16&lt;'Données projet'!$A$114,$BV$205^A16,IF(A16='Données projet'!$A$114,'Données projet'!$B$114,BY15+BX16-CG15)))</f>
        <v>28.089285714285705</v>
      </c>
      <c r="BZ16" s="13">
        <f>BY16*VLOOKUP('Données projet'!$B$12,Paramètres!$A$1:$I$89,3,0)*VLOOKUP('Données projet'!$B$12,Paramètres!$A$1:$I$89,5,0)</f>
        <v>28.482535714285703</v>
      </c>
      <c r="CA16" s="13">
        <f t="shared" si="39"/>
        <v>8.88828067928333</v>
      </c>
      <c r="CB16" s="20">
        <f t="shared" si="10"/>
        <v>65.087505218799393</v>
      </c>
      <c r="CC16" s="59">
        <f t="shared" si="11"/>
        <v>337.64306077435492</v>
      </c>
      <c r="CD16" s="59">
        <f ca="1">AVERAGE(OFFSET($CC$3,0,0,'Données projet'!$E$12+1,1))-AVERAGE(OFFSET($H$3,0,0,'Données projet'!$E$12+1,1))</f>
        <v>410.75375635525211</v>
      </c>
      <c r="CE16" s="59">
        <f t="shared" si="40"/>
        <v>183.55513001437367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</v>
      </c>
      <c r="CT16" s="12">
        <f>IF('Données projet'!$A$140&gt;35,CT15+CS16-DB15,IF(A16&lt;'Données projet'!$A$140,$CQ$205^A16,IF(A16='Données projet'!$A$140,'Données projet'!$B$140,CT15+CS16-DB15)))</f>
        <v>39</v>
      </c>
      <c r="CU16" s="17">
        <f>CT16*VLOOKUP('Données projet'!$B$13,Paramètres!$A$1:$I$89,3,0)*VLOOKUP('Données projet'!$B$13,Paramètres!$A$1:$I$89,5,0)</f>
        <v>35.287199999999999</v>
      </c>
      <c r="CV16" s="13">
        <f t="shared" si="41"/>
        <v>10.740552489323523</v>
      </c>
      <c r="CW16" s="20">
        <f t="shared" si="13"/>
        <v>80.165002252238452</v>
      </c>
      <c r="CX16" s="59">
        <f t="shared" si="14"/>
        <v>352.72055780779397</v>
      </c>
      <c r="CY16" s="59">
        <f ca="1">AVERAGE(OFFSET($CX$3,0,0,'Données projet'!$E$13+1,1))-AVERAGE(OFFSET($H$3,0,0,'Données projet'!$E$13+1,1))</f>
        <v>436.12708882925142</v>
      </c>
      <c r="CZ16" s="59">
        <f t="shared" si="42"/>
        <v>217.65884352525285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5.666666666666667</v>
      </c>
      <c r="DO16" s="12">
        <f>IF('Données projet'!$A$166&gt;35,DO15+DN16-DW15,IF(A16&lt;'Données projet'!$A$166,$DL$205^A16,IF(A16='Données projet'!$A$166,'Données projet'!$B$166,DO15+DN16-DW15)))</f>
        <v>47.007057763861674</v>
      </c>
      <c r="DP16" s="17">
        <f>DO16*VLOOKUP('Données projet'!$B$14,Paramètres!$A$1:$I$89,3,0)*VLOOKUP('Données projet'!$B$14,Paramètres!$A$1:$I$89,5,0)</f>
        <v>44.73191616809077</v>
      </c>
      <c r="DQ16" s="13">
        <f t="shared" si="43"/>
        <v>13.244564721581696</v>
      </c>
      <c r="DR16" s="20">
        <f t="shared" si="16"/>
        <v>100.97570421617955</v>
      </c>
      <c r="DS16" s="59">
        <f t="shared" si="17"/>
        <v>373.53125977173511</v>
      </c>
      <c r="DT16" s="59">
        <f ca="1">AVERAGE(OFFSET($DS$3,0,0,'Données projet'!$E$14+1,1))-AVERAGE(OFFSET($H$3,0,0,'Données projet'!$E$14+1,1))</f>
        <v>735.50267870886194</v>
      </c>
      <c r="DU16" s="59">
        <f t="shared" si="44"/>
        <v>525.80345400853275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2.1607142857142856</v>
      </c>
      <c r="EJ16" s="12">
        <f>IF('Données projet'!$A$192&gt;35,EJ15+EI16-ER15,IF(A16&lt;'Données projet'!$A$192,$EG$205^A16,IF(A16='Données projet'!$A$192,'Données projet'!$B$192,EJ15+EI16-ER15)))</f>
        <v>28.089285714285705</v>
      </c>
      <c r="EK16" s="17">
        <f>EJ16*VLOOKUP('Données projet'!$B$15,Paramètres!$A$1:$I$89,3,0)*VLOOKUP('Données projet'!$B$15,Paramètres!$A$1:$I$89,5,0)</f>
        <v>17.965907142857137</v>
      </c>
      <c r="EL16" s="13">
        <f t="shared" si="45"/>
        <v>5.9153893407502238</v>
      </c>
      <c r="EM16" s="20">
        <f t="shared" si="19"/>
        <v>41.59325804228282</v>
      </c>
      <c r="EN16" s="59">
        <f t="shared" si="20"/>
        <v>314.14881359783834</v>
      </c>
      <c r="EO16" s="59">
        <f ca="1">AVERAGE(OFFSET($EN$3,0,0,'Données projet'!$E$15+1,1))-AVERAGE(OFFSET($H$3,0,0,'Données projet'!$E$15+1,1))</f>
        <v>274.14900959323484</v>
      </c>
      <c r="EP16" s="59">
        <f t="shared" si="46"/>
        <v>130.44590390921582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5.5909090909090908</v>
      </c>
      <c r="FE16" s="12">
        <f>IF('Données projet'!$A$218&gt;35,FE15+FD16-FM15,IF(A16&lt;'Données projet'!$A$218,$FB$205^A16,IF(A16='Données projet'!$A$218,'Données projet'!$B$218,FE15+FD16-FM15)))</f>
        <v>17.17686607257264</v>
      </c>
      <c r="FF16" s="17">
        <f>FE16*VLOOKUP('Données projet'!$B$16,Paramètres!$A$1:$I$89,3,0)*VLOOKUP('Données projet'!$B$16,Paramètres!$A$1:$I$89,5,0)</f>
        <v>10.27176591139844</v>
      </c>
      <c r="FG16" s="13">
        <f t="shared" si="47"/>
        <v>3.609455460548272</v>
      </c>
      <c r="FH16" s="20">
        <f t="shared" si="22"/>
        <v>24.176460556140523</v>
      </c>
      <c r="FI16" s="59">
        <f t="shared" si="23"/>
        <v>296.73201611169605</v>
      </c>
      <c r="FJ16" s="59">
        <f ca="1">AVERAGE(OFFSET($FI$3,0,0,'Données projet'!$E$16+1,1))-AVERAGE(OFFSET($H$3,0,0,'Données projet'!$E$16+1,1))</f>
        <v>405.42845699663462</v>
      </c>
      <c r="FK16" s="59">
        <f t="shared" si="48"/>
        <v>292.26503163353146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5.5909090909090908</v>
      </c>
      <c r="FZ16" s="12">
        <f>IF('Données projet'!$A$244&gt;35,FZ15+FY16-GH15,IF(A16&lt;'Données projet'!$A$244,$FW$205^A16,IF(A16='Données projet'!$A$244,'Données projet'!$B$244,FZ15+FY16-GH15)))</f>
        <v>17.17686607257264</v>
      </c>
      <c r="GA16" s="17">
        <f>FZ16*VLOOKUP('Données projet'!$B$17,Paramètres!$A$1:$I$89,3,0)*VLOOKUP('Données projet'!$B$17,Paramètres!$A$1:$I$89,5,0)</f>
        <v>10.27176591139844</v>
      </c>
      <c r="GB16" s="13">
        <f t="shared" si="49"/>
        <v>3.609455460548272</v>
      </c>
      <c r="GC16" s="20">
        <f t="shared" si="25"/>
        <v>24.176460556140523</v>
      </c>
      <c r="GD16" s="59">
        <f t="shared" si="26"/>
        <v>296.73201611169605</v>
      </c>
      <c r="GE16" s="59">
        <f ca="1">AVERAGE(OFFSET($GD$3,0,0,'Données projet'!$E$17+1,1))-AVERAGE(OFFSET($H$3,0,0,'Données projet'!$E$17+1,1))</f>
        <v>405.42845699663462</v>
      </c>
      <c r="GF16" s="59">
        <f t="shared" si="50"/>
        <v>292.26503163353146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7.9</v>
      </c>
      <c r="N17" s="13">
        <f>IF('Données projet'!$A$36&gt;35,N16+M17-V16,IF(A17&lt;'Données projet'!$A$36,$K$205^A17,IF(A17='Données projet'!$A$36,'Données projet'!$B$36,N16+M17-V16)))</f>
        <v>34.598714324397214</v>
      </c>
      <c r="O17" s="13">
        <f>N17*VLOOKUP('Données projet'!$B$9,Paramètres!$A$1:$I$89,3,0)*VLOOKUP('Données projet'!$B$9,Paramètres!$A$1:$I$89,5,0)</f>
        <v>16.192198303817896</v>
      </c>
      <c r="P17" s="13">
        <f t="shared" si="33"/>
        <v>5.3962825594761723</v>
      </c>
      <c r="Q17" s="20">
        <f t="shared" si="2"/>
        <v>37.599937503570509</v>
      </c>
      <c r="R17" s="59">
        <f t="shared" si="0"/>
        <v>311.37771528134829</v>
      </c>
      <c r="S17" s="59">
        <f ca="1">AVERAGE(OFFSET($R$3,0,0,'Données projet'!$E$9+1,1))-AVERAGE(OFFSET($H$3,0,0,'Données projet'!$E$9+1,1))</f>
        <v>198.26255998041</v>
      </c>
      <c r="T17" s="59">
        <f t="shared" si="34"/>
        <v>238.62101708181166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10.119999999999999</v>
      </c>
      <c r="AI17" s="13">
        <f>IF('Données projet'!$A$62&gt;35,AI16+AH17-AQ16,IF(A17&lt;'Données projet'!$A$62,$AF$205^A17,IF(A17='Données projet'!$A$62,'Données projet'!$B$62,AI16+AH17-AQ16)))</f>
        <v>22.169070876082184</v>
      </c>
      <c r="AJ17" s="13">
        <f>AI17*VLOOKUP('Données projet'!$B$10,Paramètres!$A$1:$I$89,3,0)*VLOOKUP('Données projet'!$B$10,Paramètres!$A$1:$I$89,5,0)</f>
        <v>12.392510619729942</v>
      </c>
      <c r="AK17" s="13">
        <f t="shared" si="35"/>
        <v>4.260569186563723</v>
      </c>
      <c r="AL17" s="20">
        <f t="shared" si="4"/>
        <v>29.004113995961465</v>
      </c>
      <c r="AM17" s="59">
        <f t="shared" si="5"/>
        <v>302.78189177373923</v>
      </c>
      <c r="AN17" s="59">
        <f ca="1">AVERAGE(OFFSET($AM$3,0,0,'Données projet'!$E$10+1,1))-AVERAGE(OFFSET($H$3,0,0,'Données projet'!$E$10+1,1))</f>
        <v>347.02720636703873</v>
      </c>
      <c r="AO17" s="59">
        <f t="shared" si="36"/>
        <v>394.03759949558702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6.9411764705882355</v>
      </c>
      <c r="BD17" s="12">
        <f>IF('Données projet'!$A$88&gt;35,BD16+BC17-BL16,IF(A17&lt;'Données projet'!$A$88,$BA$205^A17,IF(A17='Données projet'!$A$88,'Données projet'!$B$88,BD16+BC17-BL16)))</f>
        <v>50.845880300225161</v>
      </c>
      <c r="BE17" s="13">
        <f>BD17*VLOOKUP('Données projet'!$B$11,Paramètres!$A$1:$I$89,3,0)*VLOOKUP('Données projet'!$B$11,Paramètres!$A$1:$I$89,5,0)</f>
        <v>30.405836419534648</v>
      </c>
      <c r="BF17" s="13">
        <f t="shared" si="37"/>
        <v>9.4165719705798292</v>
      </c>
      <c r="BG17" s="20">
        <f t="shared" si="7"/>
        <v>69.357361279449364</v>
      </c>
      <c r="BH17" s="59">
        <f t="shared" si="8"/>
        <v>343.13513905722715</v>
      </c>
      <c r="BI17" s="59">
        <f ca="1">AVERAGE(OFFSET($BH$3,0,0,'Données projet'!$E$11+1,1))-AVERAGE(OFFSET($H$3,0,0,'Données projet'!$E$11+1,1))</f>
        <v>378.75660696651238</v>
      </c>
      <c r="BJ17" s="59">
        <f t="shared" si="38"/>
        <v>371.70674704563288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2.1607142857142856</v>
      </c>
      <c r="BY17" s="12">
        <f>IF('Données projet'!$A$114&gt;35,BY16+BX17-CG16,IF(A17&lt;'Données projet'!$A$114,$BV$205^A17,IF(A17='Données projet'!$A$114,'Données projet'!$B$114,BY16+BX17-CG16)))</f>
        <v>30.249999999999989</v>
      </c>
      <c r="BZ17" s="13">
        <f>BY17*VLOOKUP('Données projet'!$B$12,Paramètres!$A$1:$I$89,3,0)*VLOOKUP('Données projet'!$B$12,Paramètres!$A$1:$I$89,5,0)</f>
        <v>30.673499999999994</v>
      </c>
      <c r="CA17" s="13">
        <f t="shared" si="39"/>
        <v>9.4897800527166556</v>
      </c>
      <c r="CB17" s="20">
        <f t="shared" si="10"/>
        <v>69.951046091814831</v>
      </c>
      <c r="CC17" s="59">
        <f t="shared" si="11"/>
        <v>343.72882386959259</v>
      </c>
      <c r="CD17" s="59">
        <f ca="1">AVERAGE(OFFSET($CC$3,0,0,'Données projet'!$E$12+1,1))-AVERAGE(OFFSET($H$3,0,0,'Données projet'!$E$12+1,1))</f>
        <v>410.75375635525211</v>
      </c>
      <c r="CE17" s="59">
        <f t="shared" si="40"/>
        <v>183.55513001437367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</v>
      </c>
      <c r="CT17" s="12">
        <f>IF('Données projet'!$A$140&gt;35,CT16+CS17-DB16,IF(A17&lt;'Données projet'!$A$140,$CQ$205^A17,IF(A17='Données projet'!$A$140,'Données projet'!$B$140,CT16+CS17-DB16)))</f>
        <v>42</v>
      </c>
      <c r="CU17" s="17">
        <f>CT17*VLOOKUP('Données projet'!$B$13,Paramètres!$A$1:$I$89,3,0)*VLOOKUP('Données projet'!$B$13,Paramètres!$A$1:$I$89,5,0)</f>
        <v>38.001600000000003</v>
      </c>
      <c r="CV17" s="13">
        <f t="shared" si="41"/>
        <v>11.467401227090512</v>
      </c>
      <c r="CW17" s="20">
        <f t="shared" si="13"/>
        <v>86.158510470515978</v>
      </c>
      <c r="CX17" s="59">
        <f t="shared" si="14"/>
        <v>359.93628824829375</v>
      </c>
      <c r="CY17" s="59">
        <f ca="1">AVERAGE(OFFSET($CX$3,0,0,'Données projet'!$E$13+1,1))-AVERAGE(OFFSET($H$3,0,0,'Données projet'!$E$13+1,1))</f>
        <v>436.12708882925142</v>
      </c>
      <c r="CZ17" s="59">
        <f t="shared" si="42"/>
        <v>217.65884352525285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5.666666666666667</v>
      </c>
      <c r="DO17" s="12">
        <f>IF('Données projet'!$A$166&gt;35,DO16+DN17-DW16,IF(A17&lt;'Données projet'!$A$166,$DL$205^A17,IF(A17='Données projet'!$A$166,'Données projet'!$B$166,DO16+DN17-DW16)))</f>
        <v>63.210757865479238</v>
      </c>
      <c r="DP17" s="17">
        <f>DO17*VLOOKUP('Données projet'!$B$14,Paramètres!$A$1:$I$89,3,0)*VLOOKUP('Données projet'!$B$14,Paramètres!$A$1:$I$89,5,0)</f>
        <v>60.151357184790051</v>
      </c>
      <c r="DQ17" s="13">
        <f t="shared" si="43"/>
        <v>17.206531244559791</v>
      </c>
      <c r="DR17" s="20">
        <f t="shared" si="16"/>
        <v>134.73165568111764</v>
      </c>
      <c r="DS17" s="59">
        <f t="shared" si="17"/>
        <v>408.50943345889539</v>
      </c>
      <c r="DT17" s="59">
        <f ca="1">AVERAGE(OFFSET($DS$3,0,0,'Données projet'!$E$14+1,1))-AVERAGE(OFFSET($H$3,0,0,'Données projet'!$E$14+1,1))</f>
        <v>735.50267870886194</v>
      </c>
      <c r="DU17" s="59">
        <f t="shared" si="44"/>
        <v>525.80345400853275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2.1607142857142856</v>
      </c>
      <c r="EJ17" s="12">
        <f>IF('Données projet'!$A$192&gt;35,EJ16+EI17-ER16,IF(A17&lt;'Données projet'!$A$192,$EG$205^A17,IF(A17='Données projet'!$A$192,'Données projet'!$B$192,EJ16+EI17-ER16)))</f>
        <v>30.249999999999989</v>
      </c>
      <c r="EK17" s="17">
        <f>EJ17*VLOOKUP('Données projet'!$B$15,Paramètres!$A$1:$I$89,3,0)*VLOOKUP('Données projet'!$B$15,Paramètres!$A$1:$I$89,5,0)</f>
        <v>19.347899999999992</v>
      </c>
      <c r="EL17" s="13">
        <f t="shared" si="45"/>
        <v>6.3157033171493477</v>
      </c>
      <c r="EM17" s="20">
        <f t="shared" si="19"/>
        <v>44.69744244403509</v>
      </c>
      <c r="EN17" s="59">
        <f t="shared" si="20"/>
        <v>318.47522022181283</v>
      </c>
      <c r="EO17" s="59">
        <f ca="1">AVERAGE(OFFSET($EN$3,0,0,'Données projet'!$E$15+1,1))-AVERAGE(OFFSET($H$3,0,0,'Données projet'!$E$15+1,1))</f>
        <v>274.14900959323484</v>
      </c>
      <c r="EP17" s="59">
        <f t="shared" si="46"/>
        <v>130.44590390921582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5.5909090909090908</v>
      </c>
      <c r="FE17" s="12">
        <f>IF('Données projet'!$A$218&gt;35,FE16+FD17-FM16,IF(A17&lt;'Données projet'!$A$218,$FB$205^A17,IF(A17='Données projet'!$A$218,'Données projet'!$B$218,FE16+FD17-FM16)))</f>
        <v>21.376648512419013</v>
      </c>
      <c r="FF17" s="17">
        <f>FE17*VLOOKUP('Données projet'!$B$16,Paramètres!$A$1:$I$89,3,0)*VLOOKUP('Données projet'!$B$16,Paramètres!$A$1:$I$89,5,0)</f>
        <v>12.783235810426572</v>
      </c>
      <c r="FG17" s="13">
        <f t="shared" si="47"/>
        <v>4.3790497183898731</v>
      </c>
      <c r="FH17" s="20">
        <f t="shared" si="22"/>
        <v>29.890980629355308</v>
      </c>
      <c r="FI17" s="59">
        <f t="shared" si="23"/>
        <v>303.66875840713305</v>
      </c>
      <c r="FJ17" s="59">
        <f ca="1">AVERAGE(OFFSET($FI$3,0,0,'Données projet'!$E$16+1,1))-AVERAGE(OFFSET($H$3,0,0,'Données projet'!$E$16+1,1))</f>
        <v>405.42845699663462</v>
      </c>
      <c r="FK17" s="59">
        <f t="shared" si="48"/>
        <v>292.26503163353146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5.5909090909090908</v>
      </c>
      <c r="FZ17" s="12">
        <f>IF('Données projet'!$A$244&gt;35,FZ16+FY17-GH16,IF(A17&lt;'Données projet'!$A$244,$FW$205^A17,IF(A17='Données projet'!$A$244,'Données projet'!$B$244,FZ16+FY17-GH16)))</f>
        <v>21.376648512419013</v>
      </c>
      <c r="GA17" s="17">
        <f>FZ17*VLOOKUP('Données projet'!$B$17,Paramètres!$A$1:$I$89,3,0)*VLOOKUP('Données projet'!$B$17,Paramètres!$A$1:$I$89,5,0)</f>
        <v>12.783235810426572</v>
      </c>
      <c r="GB17" s="13">
        <f t="shared" si="49"/>
        <v>4.3790497183898731</v>
      </c>
      <c r="GC17" s="20">
        <f t="shared" si="25"/>
        <v>29.890980629355308</v>
      </c>
      <c r="GD17" s="59">
        <f t="shared" si="26"/>
        <v>303.66875840713305</v>
      </c>
      <c r="GE17" s="59">
        <f ca="1">AVERAGE(OFFSET($GD$3,0,0,'Données projet'!$E$17+1,1))-AVERAGE(OFFSET($H$3,0,0,'Données projet'!$E$17+1,1))</f>
        <v>405.42845699663462</v>
      </c>
      <c r="GF17" s="59">
        <f t="shared" si="50"/>
        <v>292.26503163353146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7.9</v>
      </c>
      <c r="N18" s="13">
        <f>IF('Données projet'!$A$36&gt;35,N17+M18-V17,IF(A18&lt;'Données projet'!$A$36,$K$205^A18,IF(A18='Données projet'!$A$36,'Données projet'!$B$36,N17+M18-V17)))</f>
        <v>44.564887571004775</v>
      </c>
      <c r="O18" s="13">
        <f>N18*VLOOKUP('Données projet'!$B$9,Paramètres!$A$1:$I$89,3,0)*VLOOKUP('Données projet'!$B$9,Paramètres!$A$1:$I$89,5,0)</f>
        <v>20.856367383230236</v>
      </c>
      <c r="P18" s="13">
        <f t="shared" si="33"/>
        <v>6.7488744993944465</v>
      </c>
      <c r="Q18" s="20">
        <f t="shared" si="2"/>
        <v>48.079129612237985</v>
      </c>
      <c r="R18" s="59">
        <f t="shared" si="0"/>
        <v>323.07912961223798</v>
      </c>
      <c r="S18" s="59">
        <f ca="1">AVERAGE(OFFSET($R$3,0,0,'Données projet'!$E$9+1,1))-AVERAGE(OFFSET($H$3,0,0,'Données projet'!$E$9+1,1))</f>
        <v>198.26255998041</v>
      </c>
      <c r="T18" s="59">
        <f t="shared" si="34"/>
        <v>238.62101708181166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10.119999999999999</v>
      </c>
      <c r="AI18" s="13">
        <f>IF('Données projet'!$A$62&gt;35,AI17+AH18-AQ17,IF(A18&lt;'Données projet'!$A$62,$AF$205^A18,IF(A18='Données projet'!$A$62,'Données projet'!$B$62,AI17+AH18-AQ17)))</f>
        <v>27.661282540950811</v>
      </c>
      <c r="AJ18" s="13">
        <f>AI18*VLOOKUP('Données projet'!$B$10,Paramètres!$A$1:$I$89,3,0)*VLOOKUP('Données projet'!$B$10,Paramètres!$A$1:$I$89,5,0)</f>
        <v>15.462656940391502</v>
      </c>
      <c r="AK18" s="13">
        <f t="shared" si="35"/>
        <v>5.1808797684271957</v>
      </c>
      <c r="AL18" s="20">
        <f t="shared" si="4"/>
        <v>35.954159767859231</v>
      </c>
      <c r="AM18" s="59">
        <f t="shared" si="5"/>
        <v>310.95415976785921</v>
      </c>
      <c r="AN18" s="59">
        <f ca="1">AVERAGE(OFFSET($AM$3,0,0,'Données projet'!$E$10+1,1))-AVERAGE(OFFSET($H$3,0,0,'Données projet'!$E$10+1,1))</f>
        <v>347.02720636703873</v>
      </c>
      <c r="AO18" s="59">
        <f t="shared" si="36"/>
        <v>394.03759949558702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6.9411764705882355</v>
      </c>
      <c r="BD18" s="12">
        <f>IF('Données projet'!$A$88&gt;35,BD17+BC18-BL17,IF(A18&lt;'Données projet'!$A$88,$BA$205^A18,IF(A18='Données projet'!$A$88,'Données projet'!$B$88,BD17+BC18-BL17)))</f>
        <v>67.317996620272581</v>
      </c>
      <c r="BE18" s="13">
        <f>BD18*VLOOKUP('Données projet'!$B$11,Paramètres!$A$1:$I$89,3,0)*VLOOKUP('Données projet'!$B$11,Paramètres!$A$1:$I$89,5,0)</f>
        <v>40.256161978923011</v>
      </c>
      <c r="BF18" s="13">
        <f t="shared" si="37"/>
        <v>12.066517421720839</v>
      </c>
      <c r="BG18" s="20">
        <f t="shared" si="7"/>
        <v>91.128666622788032</v>
      </c>
      <c r="BH18" s="59">
        <f t="shared" si="8"/>
        <v>366.12866662278805</v>
      </c>
      <c r="BI18" s="59">
        <f ca="1">AVERAGE(OFFSET($BH$3,0,0,'Données projet'!$E$11+1,1))-AVERAGE(OFFSET($H$3,0,0,'Données projet'!$E$11+1,1))</f>
        <v>378.75660696651238</v>
      </c>
      <c r="BJ18" s="59">
        <f t="shared" si="38"/>
        <v>371.70674704563288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2.1607142857142856</v>
      </c>
      <c r="BY18" s="12">
        <f>IF('Données projet'!$A$114&gt;35,BY17+BX18-CG17,IF(A18&lt;'Données projet'!$A$114,$BV$205^A18,IF(A18='Données projet'!$A$114,'Données projet'!$B$114,BY17+BX18-CG17)))</f>
        <v>32.410714285714278</v>
      </c>
      <c r="BZ18" s="13">
        <f>BY18*VLOOKUP('Données projet'!$B$12,Paramètres!$A$1:$I$89,3,0)*VLOOKUP('Données projet'!$B$12,Paramètres!$A$1:$I$89,5,0)</f>
        <v>32.864464285714277</v>
      </c>
      <c r="CA18" s="13">
        <f t="shared" si="39"/>
        <v>10.086294648663227</v>
      </c>
      <c r="CB18" s="20">
        <f t="shared" si="10"/>
        <v>74.805905144040807</v>
      </c>
      <c r="CC18" s="59">
        <f t="shared" si="11"/>
        <v>349.80590514404082</v>
      </c>
      <c r="CD18" s="59">
        <f ca="1">AVERAGE(OFFSET($CC$3,0,0,'Données projet'!$E$12+1,1))-AVERAGE(OFFSET($H$3,0,0,'Données projet'!$E$12+1,1))</f>
        <v>410.75375635525211</v>
      </c>
      <c r="CE18" s="59">
        <f t="shared" si="40"/>
        <v>183.55513001437367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3</v>
      </c>
      <c r="CT18" s="12">
        <f>IF('Données projet'!$A$140&gt;35,CT17+CS18-DB17,IF(A18&lt;'Données projet'!$A$140,$CQ$205^A18,IF(A18='Données projet'!$A$140,'Données projet'!$B$140,CT17+CS18-DB17)))</f>
        <v>45</v>
      </c>
      <c r="CU18" s="17">
        <f>CT18*VLOOKUP('Données projet'!$B$13,Paramètres!$A$1:$I$89,3,0)*VLOOKUP('Données projet'!$B$13,Paramètres!$A$1:$I$89,5,0)</f>
        <v>40.716000000000001</v>
      </c>
      <c r="CV18" s="13">
        <f t="shared" si="41"/>
        <v>12.188226385475176</v>
      </c>
      <c r="CW18" s="20">
        <f t="shared" si="13"/>
        <v>92.141527621369264</v>
      </c>
      <c r="CX18" s="59">
        <f t="shared" si="14"/>
        <v>367.14152762136928</v>
      </c>
      <c r="CY18" s="59">
        <f ca="1">AVERAGE(OFFSET($CX$3,0,0,'Données projet'!$E$13+1,1))-AVERAGE(OFFSET($H$3,0,0,'Données projet'!$E$13+1,1))</f>
        <v>436.12708882925142</v>
      </c>
      <c r="CZ18" s="59">
        <f t="shared" si="42"/>
        <v>217.65884352525285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85</v>
      </c>
      <c r="DM18" s="12">
        <f>VLOOKUP(A18,'Données projet'!$A$165:$I$185,9,0)</f>
        <v>5.666666666666667</v>
      </c>
      <c r="DN18" s="12">
        <f t="array" ref="DN18">INDEX(DM:DM,MIN(IF(ISNUMBER(DM18:DM214),ROW(DM18:DM214),"")))</f>
        <v>5.666666666666667</v>
      </c>
      <c r="DO18" s="12">
        <f>IF('Données projet'!$A$166&gt;35,DO17+DN18-DW17,IF(A18&lt;'Données projet'!$A$166,$DL$205^A18,IF(A18='Données projet'!$A$166,'Données projet'!$B$166,DO17+DN18-DW17)))</f>
        <v>85</v>
      </c>
      <c r="DP18" s="17">
        <f>DO18*VLOOKUP('Données projet'!$B$14,Paramètres!$A$1:$I$89,3,0)*VLOOKUP('Données projet'!$B$14,Paramètres!$A$1:$I$89,5,0)</f>
        <v>80.88600000000001</v>
      </c>
      <c r="DQ18" s="13">
        <f t="shared" si="43"/>
        <v>22.353676673691066</v>
      </c>
      <c r="DR18" s="20">
        <f t="shared" si="16"/>
        <v>179.80910354001196</v>
      </c>
      <c r="DS18" s="59">
        <f t="shared" si="17"/>
        <v>454.80910354001196</v>
      </c>
      <c r="DT18" s="59">
        <f ca="1">AVERAGE(OFFSET($DS$3,0,0,'Données projet'!$E$14+1,1))-AVERAGE(OFFSET($H$3,0,0,'Données projet'!$E$14+1,1))</f>
        <v>735.50267870886194</v>
      </c>
      <c r="DU18" s="59">
        <f t="shared" si="44"/>
        <v>525.80345400853275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12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2.1607142857142856</v>
      </c>
      <c r="EJ18" s="12">
        <f>IF('Données projet'!$A$192&gt;35,EJ17+EI18-ER17,IF(A18&lt;'Données projet'!$A$192,$EG$205^A18,IF(A18='Données projet'!$A$192,'Données projet'!$B$192,EJ17+EI18-ER17)))</f>
        <v>32.410714285714278</v>
      </c>
      <c r="EK18" s="17">
        <f>EJ18*VLOOKUP('Données projet'!$B$15,Paramètres!$A$1:$I$89,3,0)*VLOOKUP('Données projet'!$B$15,Paramètres!$A$1:$I$89,5,0)</f>
        <v>20.72989285714285</v>
      </c>
      <c r="EL18" s="13">
        <f t="shared" si="45"/>
        <v>6.7126997903467727</v>
      </c>
      <c r="EM18" s="20">
        <f t="shared" si="19"/>
        <v>47.795848861044426</v>
      </c>
      <c r="EN18" s="59">
        <f t="shared" si="20"/>
        <v>322.79584886104442</v>
      </c>
      <c r="EO18" s="59">
        <f ca="1">AVERAGE(OFFSET($EN$3,0,0,'Données projet'!$E$15+1,1))-AVERAGE(OFFSET($H$3,0,0,'Données projet'!$E$15+1,1))</f>
        <v>274.14900959323484</v>
      </c>
      <c r="EP18" s="59">
        <f t="shared" si="46"/>
        <v>130.44590390921582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5.5909090909090908</v>
      </c>
      <c r="FE18" s="12">
        <f>IF('Données projet'!$A$218&gt;35,FE17+FD18-FM17,IF(A18&lt;'Données projet'!$A$218,$FB$205^A18,IF(A18='Données projet'!$A$218,'Données projet'!$B$218,FE17+FD18-FM17)))</f>
        <v>26.603287217402478</v>
      </c>
      <c r="FF18" s="17">
        <f>FE18*VLOOKUP('Données projet'!$B$16,Paramètres!$A$1:$I$89,3,0)*VLOOKUP('Données projet'!$B$16,Paramètres!$A$1:$I$89,5,0)</f>
        <v>15.908765756006684</v>
      </c>
      <c r="FG18" s="13">
        <f t="shared" si="47"/>
        <v>5.312733913945455</v>
      </c>
      <c r="FH18" s="20">
        <f t="shared" si="22"/>
        <v>36.960778591833304</v>
      </c>
      <c r="FI18" s="59">
        <f t="shared" si="23"/>
        <v>311.96077859183333</v>
      </c>
      <c r="FJ18" s="59">
        <f ca="1">AVERAGE(OFFSET($FI$3,0,0,'Données projet'!$E$16+1,1))-AVERAGE(OFFSET($H$3,0,0,'Données projet'!$E$16+1,1))</f>
        <v>405.42845699663462</v>
      </c>
      <c r="FK18" s="59">
        <f t="shared" si="48"/>
        <v>292.26503163353146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5.5909090909090908</v>
      </c>
      <c r="FZ18" s="12">
        <f>IF('Données projet'!$A$244&gt;35,FZ17+FY18-GH17,IF(A18&lt;'Données projet'!$A$244,$FW$205^A18,IF(A18='Données projet'!$A$244,'Données projet'!$B$244,FZ17+FY18-GH17)))</f>
        <v>26.603287217402478</v>
      </c>
      <c r="GA18" s="17">
        <f>FZ18*VLOOKUP('Données projet'!$B$17,Paramètres!$A$1:$I$89,3,0)*VLOOKUP('Données projet'!$B$17,Paramètres!$A$1:$I$89,5,0)</f>
        <v>15.908765756006684</v>
      </c>
      <c r="GB18" s="13">
        <f t="shared" si="49"/>
        <v>5.312733913945455</v>
      </c>
      <c r="GC18" s="20">
        <f t="shared" si="25"/>
        <v>36.960778591833304</v>
      </c>
      <c r="GD18" s="59">
        <f t="shared" si="26"/>
        <v>311.96077859183333</v>
      </c>
      <c r="GE18" s="59">
        <f ca="1">AVERAGE(OFFSET($GD$3,0,0,'Données projet'!$E$17+1,1))-AVERAGE(OFFSET($H$3,0,0,'Données projet'!$E$17+1,1))</f>
        <v>405.42845699663462</v>
      </c>
      <c r="GF18" s="59">
        <f t="shared" si="50"/>
        <v>292.26503163353146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7.9</v>
      </c>
      <c r="N19" s="13">
        <f>IF('Données projet'!$A$36&gt;35,N18+M19-V18,IF(A19&lt;'Données projet'!$A$36,$K$205^A19,IF(A19='Données projet'!$A$36,'Données projet'!$B$36,N18+M19-V18)))</f>
        <v>57.401820934596167</v>
      </c>
      <c r="O19" s="13">
        <f>N19*VLOOKUP('Données projet'!$B$9,Paramètres!$A$1:$I$89,3,0)*VLOOKUP('Données projet'!$B$9,Paramètres!$A$1:$I$89,5,0)</f>
        <v>26.864052197391008</v>
      </c>
      <c r="P19" s="13">
        <f t="shared" si="33"/>
        <v>8.4404970471001413</v>
      </c>
      <c r="Q19" s="20">
        <f t="shared" si="2"/>
        <v>61.488756600822086</v>
      </c>
      <c r="R19" s="59">
        <f t="shared" si="0"/>
        <v>337.71097882304434</v>
      </c>
      <c r="S19" s="59">
        <f ca="1">AVERAGE(OFFSET($R$3,0,0,'Données projet'!$E$9+1,1))-AVERAGE(OFFSET($H$3,0,0,'Données projet'!$E$9+1,1))</f>
        <v>198.26255998041</v>
      </c>
      <c r="T19" s="59">
        <f t="shared" si="34"/>
        <v>238.62101708181166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10.119999999999999</v>
      </c>
      <c r="AI19" s="13">
        <f>IF('Données projet'!$A$62&gt;35,AI18+AH19-AQ18,IF(A19&lt;'Données projet'!$A$62,$AF$205^A19,IF(A19='Données projet'!$A$62,'Données projet'!$B$62,AI18+AH19-AQ18)))</f>
        <v>34.51414613121262</v>
      </c>
      <c r="AJ19" s="13">
        <f>AI19*VLOOKUP('Données projet'!$B$10,Paramètres!$A$1:$I$89,3,0)*VLOOKUP('Données projet'!$B$10,Paramètres!$A$1:$I$89,5,0)</f>
        <v>19.293407687347855</v>
      </c>
      <c r="AK19" s="13">
        <f t="shared" si="35"/>
        <v>6.2999834058666524</v>
      </c>
      <c r="AL19" s="20">
        <f t="shared" si="4"/>
        <v>44.575156154015268</v>
      </c>
      <c r="AM19" s="59">
        <f t="shared" si="5"/>
        <v>320.79737837623748</v>
      </c>
      <c r="AN19" s="59">
        <f ca="1">AVERAGE(OFFSET($AM$3,0,0,'Données projet'!$E$10+1,1))-AVERAGE(OFFSET($H$3,0,0,'Données projet'!$E$10+1,1))</f>
        <v>347.02720636703873</v>
      </c>
      <c r="AO19" s="59">
        <f t="shared" si="36"/>
        <v>394.03759949558702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6.9411764705882355</v>
      </c>
      <c r="BD19" s="12">
        <f>IF('Données projet'!$A$88&gt;35,BD18+BC19-BL18,IF(A19&lt;'Données projet'!$A$88,$BA$205^A19,IF(A19='Données projet'!$A$88,'Données projet'!$B$88,BD18+BC19-BL18)))</f>
        <v>89.126447260014572</v>
      </c>
      <c r="BE19" s="13">
        <f>BD19*VLOOKUP('Données projet'!$B$11,Paramètres!$A$1:$I$89,3,0)*VLOOKUP('Données projet'!$B$11,Paramètres!$A$1:$I$89,5,0)</f>
        <v>53.297615461488718</v>
      </c>
      <c r="BF19" s="13">
        <f t="shared" si="37"/>
        <v>15.46219188294774</v>
      </c>
      <c r="BG19" s="20">
        <f t="shared" si="7"/>
        <v>119.75666445822681</v>
      </c>
      <c r="BH19" s="59">
        <f t="shared" si="8"/>
        <v>395.97888668044902</v>
      </c>
      <c r="BI19" s="59">
        <f ca="1">AVERAGE(OFFSET($BH$3,0,0,'Données projet'!$E$11+1,1))-AVERAGE(OFFSET($H$3,0,0,'Données projet'!$E$11+1,1))</f>
        <v>378.75660696651238</v>
      </c>
      <c r="BJ19" s="59">
        <f t="shared" si="38"/>
        <v>371.70674704563288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2.1607142857142856</v>
      </c>
      <c r="BY19" s="12">
        <f>IF('Données projet'!$A$114&gt;35,BY18+BX19-CG18,IF(A19&lt;'Données projet'!$A$114,$BV$205^A19,IF(A19='Données projet'!$A$114,'Données projet'!$B$114,BY18+BX19-CG18)))</f>
        <v>34.571428571428562</v>
      </c>
      <c r="BZ19" s="13">
        <f>BY19*VLOOKUP('Données projet'!$B$12,Paramètres!$A$1:$I$89,3,0)*VLOOKUP('Données projet'!$B$12,Paramètres!$A$1:$I$89,5,0)</f>
        <v>35.055428571428564</v>
      </c>
      <c r="CA19" s="13">
        <f t="shared" si="39"/>
        <v>10.678194598244209</v>
      </c>
      <c r="CB19" s="20">
        <f t="shared" si="10"/>
        <v>79.65272702051341</v>
      </c>
      <c r="CC19" s="59">
        <f t="shared" si="11"/>
        <v>355.87494924273562</v>
      </c>
      <c r="CD19" s="59">
        <f ca="1">AVERAGE(OFFSET($CC$3,0,0,'Données projet'!$E$12+1,1))-AVERAGE(OFFSET($H$3,0,0,'Données projet'!$E$12+1,1))</f>
        <v>410.75375635525211</v>
      </c>
      <c r="CE19" s="59">
        <f t="shared" si="40"/>
        <v>183.55513001437367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3</v>
      </c>
      <c r="CT19" s="12">
        <f>IF('Données projet'!$A$140&gt;35,CT18+CS19-DB18,IF(A19&lt;'Données projet'!$A$140,$CQ$205^A19,IF(A19='Données projet'!$A$140,'Données projet'!$B$140,CT18+CS19-DB18)))</f>
        <v>48</v>
      </c>
      <c r="CU19" s="17">
        <f>CT19*VLOOKUP('Données projet'!$B$13,Paramètres!$A$1:$I$89,3,0)*VLOOKUP('Données projet'!$B$13,Paramètres!$A$1:$I$89,5,0)</f>
        <v>43.430399999999999</v>
      </c>
      <c r="CV19" s="13">
        <f t="shared" si="41"/>
        <v>12.903475229013621</v>
      </c>
      <c r="CW19" s="20">
        <f t="shared" si="13"/>
        <v>98.114832690532054</v>
      </c>
      <c r="CX19" s="59">
        <f t="shared" si="14"/>
        <v>374.3370549127543</v>
      </c>
      <c r="CY19" s="59">
        <f ca="1">AVERAGE(OFFSET($CX$3,0,0,'Données projet'!$E$13+1,1))-AVERAGE(OFFSET($H$3,0,0,'Données projet'!$E$13+1,1))</f>
        <v>436.12708882925142</v>
      </c>
      <c r="CZ19" s="59">
        <f t="shared" si="42"/>
        <v>217.65884352525285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10.4</v>
      </c>
      <c r="DO19" s="12">
        <f>IF('Données projet'!$A$166&gt;35,DO18+DN19-DW18,IF(A19&lt;'Données projet'!$A$166,$DL$205^A19,IF(A19='Données projet'!$A$166,'Données projet'!$B$166,DO18+DN19-DW18)))</f>
        <v>83.4</v>
      </c>
      <c r="DP19" s="17">
        <f>DO19*VLOOKUP('Données projet'!$B$14,Paramètres!$A$1:$I$89,3,0)*VLOOKUP('Données projet'!$B$14,Paramètres!$A$1:$I$89,5,0)</f>
        <v>79.363440000000011</v>
      </c>
      <c r="DQ19" s="13">
        <f t="shared" si="43"/>
        <v>21.981469607535278</v>
      </c>
      <c r="DR19" s="20">
        <f t="shared" si="16"/>
        <v>176.50905089979062</v>
      </c>
      <c r="DS19" s="59">
        <f t="shared" si="17"/>
        <v>452.73127312201285</v>
      </c>
      <c r="DT19" s="59">
        <f ca="1">AVERAGE(OFFSET($DS$3,0,0,'Données projet'!$E$14+1,1))-AVERAGE(OFFSET($H$3,0,0,'Données projet'!$E$14+1,1))</f>
        <v>735.50267870886194</v>
      </c>
      <c r="DU19" s="59">
        <f t="shared" si="44"/>
        <v>525.80345400853275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2.1607142857142856</v>
      </c>
      <c r="EJ19" s="12">
        <f>IF('Données projet'!$A$192&gt;35,EJ18+EI19-ER18,IF(A19&lt;'Données projet'!$A$192,$EG$205^A19,IF(A19='Données projet'!$A$192,'Données projet'!$B$192,EJ18+EI19-ER18)))</f>
        <v>34.571428571428562</v>
      </c>
      <c r="EK19" s="17">
        <f>EJ19*VLOOKUP('Données projet'!$B$15,Paramètres!$A$1:$I$89,3,0)*VLOOKUP('Données projet'!$B$15,Paramètres!$A$1:$I$89,5,0)</f>
        <v>22.111885714285705</v>
      </c>
      <c r="EL19" s="13">
        <f t="shared" si="45"/>
        <v>7.1066250925374161</v>
      </c>
      <c r="EM19" s="20">
        <f t="shared" si="19"/>
        <v>50.888906321883603</v>
      </c>
      <c r="EN19" s="59">
        <f t="shared" si="20"/>
        <v>327.11112854410584</v>
      </c>
      <c r="EO19" s="59">
        <f ca="1">AVERAGE(OFFSET($EN$3,0,0,'Données projet'!$E$15+1,1))-AVERAGE(OFFSET($H$3,0,0,'Données projet'!$E$15+1,1))</f>
        <v>274.14900959323484</v>
      </c>
      <c r="EP19" s="59">
        <f t="shared" si="46"/>
        <v>130.44590390921582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5.5909090909090908</v>
      </c>
      <c r="FE19" s="12">
        <f>IF('Données projet'!$A$218&gt;35,FE18+FD19-FM18,IF(A19&lt;'Données projet'!$A$218,$FB$205^A19,IF(A19='Données projet'!$A$218,'Données projet'!$B$218,FE18+FD19-FM18)))</f>
        <v>33.107850856996748</v>
      </c>
      <c r="FF19" s="17">
        <f>FE19*VLOOKUP('Données projet'!$B$16,Paramètres!$A$1:$I$89,3,0)*VLOOKUP('Données projet'!$B$16,Paramètres!$A$1:$I$89,5,0)</f>
        <v>19.798494812484059</v>
      </c>
      <c r="FG19" s="13">
        <f t="shared" si="47"/>
        <v>6.4454946747588586</v>
      </c>
      <c r="FH19" s="20">
        <f t="shared" si="22"/>
        <v>45.70828169028141</v>
      </c>
      <c r="FI19" s="59">
        <f t="shared" si="23"/>
        <v>321.93050391250364</v>
      </c>
      <c r="FJ19" s="59">
        <f ca="1">AVERAGE(OFFSET($FI$3,0,0,'Données projet'!$E$16+1,1))-AVERAGE(OFFSET($H$3,0,0,'Données projet'!$E$16+1,1))</f>
        <v>405.42845699663462</v>
      </c>
      <c r="FK19" s="59">
        <f t="shared" si="48"/>
        <v>292.26503163353146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5.5909090909090908</v>
      </c>
      <c r="FZ19" s="12">
        <f>IF('Données projet'!$A$244&gt;35,FZ18+FY19-GH18,IF(A19&lt;'Données projet'!$A$244,$FW$205^A19,IF(A19='Données projet'!$A$244,'Données projet'!$B$244,FZ18+FY19-GH18)))</f>
        <v>33.107850856996748</v>
      </c>
      <c r="GA19" s="17">
        <f>FZ19*VLOOKUP('Données projet'!$B$17,Paramètres!$A$1:$I$89,3,0)*VLOOKUP('Données projet'!$B$17,Paramètres!$A$1:$I$89,5,0)</f>
        <v>19.798494812484059</v>
      </c>
      <c r="GB19" s="13">
        <f t="shared" si="49"/>
        <v>6.4454946747588586</v>
      </c>
      <c r="GC19" s="20">
        <f t="shared" si="25"/>
        <v>45.70828169028141</v>
      </c>
      <c r="GD19" s="59">
        <f t="shared" si="26"/>
        <v>321.93050391250364</v>
      </c>
      <c r="GE19" s="59">
        <f ca="1">AVERAGE(OFFSET($GD$3,0,0,'Données projet'!$E$17+1,1))-AVERAGE(OFFSET($H$3,0,0,'Données projet'!$E$17+1,1))</f>
        <v>405.42845699663462</v>
      </c>
      <c r="GF19" s="59">
        <f t="shared" si="50"/>
        <v>292.26503163353146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7.9</v>
      </c>
      <c r="N20" s="13">
        <f>IF('Données projet'!$A$36&gt;35,N19+M20-V19,IF(A20&lt;'Données projet'!$A$36,$K$205^A20,IF(A20='Données projet'!$A$36,'Données projet'!$B$36,N19+M20-V19)))</f>
        <v>73.936437994095741</v>
      </c>
      <c r="O20" s="13">
        <f>N20*VLOOKUP('Données projet'!$B$9,Paramètres!$A$1:$I$89,3,0)*VLOOKUP('Données projet'!$B$9,Paramètres!$A$1:$I$89,5,0)</f>
        <v>34.602252981236802</v>
      </c>
      <c r="P20" s="13">
        <f t="shared" si="33"/>
        <v>10.556129086190376</v>
      </c>
      <c r="Q20" s="20">
        <f t="shared" si="2"/>
        <v>78.650848767435647</v>
      </c>
      <c r="R20" s="59">
        <f t="shared" si="0"/>
        <v>356.09529321188012</v>
      </c>
      <c r="S20" s="59">
        <f ca="1">AVERAGE(OFFSET($R$3,0,0,'Données projet'!$E$9+1,1))-AVERAGE(OFFSET($H$3,0,0,'Données projet'!$E$9+1,1))</f>
        <v>198.26255998041</v>
      </c>
      <c r="T20" s="59">
        <f t="shared" si="34"/>
        <v>238.62101708181166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10.119999999999999</v>
      </c>
      <c r="AI20" s="13">
        <f>IF('Données projet'!$A$62&gt;35,AI19+AH20-AQ19,IF(A20&lt;'Données projet'!$A$62,$AF$205^A20,IF(A20='Données projet'!$A$62,'Données projet'!$B$62,AI19+AH20-AQ19)))</f>
        <v>43.06475238099182</v>
      </c>
      <c r="AJ20" s="13">
        <f>AI20*VLOOKUP('Données projet'!$B$10,Paramètres!$A$1:$I$89,3,0)*VLOOKUP('Données projet'!$B$10,Paramètres!$A$1:$I$89,5,0)</f>
        <v>24.073196580974429</v>
      </c>
      <c r="AK20" s="13">
        <f t="shared" si="35"/>
        <v>7.6608206884222216</v>
      </c>
      <c r="AL20" s="20">
        <f t="shared" si="4"/>
        <v>55.270080077532498</v>
      </c>
      <c r="AM20" s="59">
        <f t="shared" si="5"/>
        <v>332.71452452197695</v>
      </c>
      <c r="AN20" s="59">
        <f ca="1">AVERAGE(OFFSET($AM$3,0,0,'Données projet'!$E$10+1,1))-AVERAGE(OFFSET($H$3,0,0,'Données projet'!$E$10+1,1))</f>
        <v>347.02720636703873</v>
      </c>
      <c r="AO20" s="59">
        <f t="shared" si="36"/>
        <v>394.03759949558702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>
        <f>VLOOKUP(A20,'Données projet'!$A$87:$I$107,2,0)</f>
        <v>118</v>
      </c>
      <c r="BB20" s="12">
        <f>VLOOKUP(A20,'Données projet'!$A$87:$I$107,9,0)</f>
        <v>6.9411764705882355</v>
      </c>
      <c r="BC20" s="12">
        <f t="array" ref="BC20">INDEX(BB:BB,MIN(IF(ISNUMBER(BB20:BB216),ROW(BB20:BB216),"")))</f>
        <v>6.9411764705882355</v>
      </c>
      <c r="BD20" s="12">
        <f>IF('Données projet'!$A$88&gt;35,BD19+BC20-BL19,IF(A20&lt;'Données projet'!$A$88,$BA$205^A20,IF(A20='Données projet'!$A$88,'Données projet'!$B$88,BD19+BC20-BL19)))</f>
        <v>118</v>
      </c>
      <c r="BE20" s="13">
        <f>BD20*VLOOKUP('Données projet'!$B$11,Paramètres!$A$1:$I$89,3,0)*VLOOKUP('Données projet'!$B$11,Paramètres!$A$1:$I$89,5,0)</f>
        <v>70.564000000000007</v>
      </c>
      <c r="BF20" s="13">
        <f t="shared" si="37"/>
        <v>19.813453167086163</v>
      </c>
      <c r="BG20" s="20">
        <f t="shared" si="7"/>
        <v>157.40739759934175</v>
      </c>
      <c r="BH20" s="59">
        <f t="shared" si="8"/>
        <v>434.85184204378618</v>
      </c>
      <c r="BI20" s="59">
        <f ca="1">AVERAGE(OFFSET($BH$3,0,0,'Données projet'!$E$11+1,1))-AVERAGE(OFFSET($H$3,0,0,'Données projet'!$E$11+1,1))</f>
        <v>378.75660696651238</v>
      </c>
      <c r="BJ20" s="59">
        <f t="shared" si="38"/>
        <v>371.70674704563288</v>
      </c>
      <c r="BK20" s="15">
        <f>IF(ISNA(VLOOKUP(A20,'Données projet'!$A$87:$I$107,3,0)),0,VLOOKUP(A20,'Données projet'!$A$87:$I$107,3,0))</f>
        <v>1</v>
      </c>
      <c r="BL20" s="15">
        <f>IF(ISNA(VLOOKUP(A20,'Données projet'!$A$87:$I$107,4,0)),0,VLOOKUP(A20,'Données projet'!$A$87:$I$107,4,0))</f>
        <v>15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0.45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5.3335940190698592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5.3335940190698592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2.1607142857142856</v>
      </c>
      <c r="BY20" s="12">
        <f>IF('Données projet'!$A$114&gt;35,BY19+BX20-CG19,IF(A20&lt;'Données projet'!$A$114,$BV$205^A20,IF(A20='Données projet'!$A$114,'Données projet'!$B$114,BY19+BX20-CG19)))</f>
        <v>36.732142857142847</v>
      </c>
      <c r="BZ20" s="13">
        <f>BY20*VLOOKUP('Données projet'!$B$12,Paramètres!$A$1:$I$89,3,0)*VLOOKUP('Données projet'!$B$12,Paramètres!$A$1:$I$89,5,0)</f>
        <v>37.246392857142851</v>
      </c>
      <c r="CA20" s="13">
        <f t="shared" si="39"/>
        <v>11.265801151205823</v>
      </c>
      <c r="CB20" s="20">
        <f t="shared" si="10"/>
        <v>84.492071231207262</v>
      </c>
      <c r="CC20" s="59">
        <f t="shared" si="11"/>
        <v>361.93651567565172</v>
      </c>
      <c r="CD20" s="59">
        <f ca="1">AVERAGE(OFFSET($CC$3,0,0,'Données projet'!$E$12+1,1))-AVERAGE(OFFSET($H$3,0,0,'Données projet'!$E$12+1,1))</f>
        <v>410.75375635525211</v>
      </c>
      <c r="CE20" s="59">
        <f t="shared" si="40"/>
        <v>183.55513001437367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3</v>
      </c>
      <c r="CT20" s="12">
        <f>IF('Données projet'!$A$140&gt;35,CT19+CS20-DB19,IF(A20&lt;'Données projet'!$A$140,$CQ$205^A20,IF(A20='Données projet'!$A$140,'Données projet'!$B$140,CT19+CS20-DB19)))</f>
        <v>51</v>
      </c>
      <c r="CU20" s="17">
        <f>CT20*VLOOKUP('Données projet'!$B$13,Paramètres!$A$1:$I$89,3,0)*VLOOKUP('Données projet'!$B$13,Paramètres!$A$1:$I$89,5,0)</f>
        <v>46.144799999999996</v>
      </c>
      <c r="CV20" s="13">
        <f t="shared" si="41"/>
        <v>13.613535954240801</v>
      </c>
      <c r="CW20" s="20">
        <f t="shared" si="13"/>
        <v>104.07910178696937</v>
      </c>
      <c r="CX20" s="59">
        <f t="shared" si="14"/>
        <v>381.52354623141383</v>
      </c>
      <c r="CY20" s="59">
        <f ca="1">AVERAGE(OFFSET($CX$3,0,0,'Données projet'!$E$13+1,1))-AVERAGE(OFFSET($H$3,0,0,'Données projet'!$E$13+1,1))</f>
        <v>436.12708882925142</v>
      </c>
      <c r="CZ20" s="59">
        <f t="shared" si="42"/>
        <v>217.65884352525285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10.4</v>
      </c>
      <c r="DO20" s="12">
        <f>IF('Données projet'!$A$166&gt;35,DO19+DN20-DW19,IF(A20&lt;'Données projet'!$A$166,$DL$205^A20,IF(A20='Données projet'!$A$166,'Données projet'!$B$166,DO19+DN20-DW19)))</f>
        <v>93.800000000000011</v>
      </c>
      <c r="DP20" s="17">
        <f>DO20*VLOOKUP('Données projet'!$B$14,Paramètres!$A$1:$I$89,3,0)*VLOOKUP('Données projet'!$B$14,Paramètres!$A$1:$I$89,5,0)</f>
        <v>89.260080000000002</v>
      </c>
      <c r="DQ20" s="13">
        <f t="shared" si="43"/>
        <v>24.386688459306022</v>
      </c>
      <c r="DR20" s="20">
        <f t="shared" si="16"/>
        <v>197.93478839995802</v>
      </c>
      <c r="DS20" s="59">
        <f t="shared" si="17"/>
        <v>475.37923284440251</v>
      </c>
      <c r="DT20" s="59">
        <f ca="1">AVERAGE(OFFSET($DS$3,0,0,'Données projet'!$E$14+1,1))-AVERAGE(OFFSET($H$3,0,0,'Données projet'!$E$14+1,1))</f>
        <v>735.50267870886194</v>
      </c>
      <c r="DU20" s="59">
        <f t="shared" si="44"/>
        <v>525.80345400853275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2.1607142857142856</v>
      </c>
      <c r="EJ20" s="12">
        <f>IF('Données projet'!$A$192&gt;35,EJ19+EI20-ER19,IF(A20&lt;'Données projet'!$A$192,$EG$205^A20,IF(A20='Données projet'!$A$192,'Données projet'!$B$192,EJ19+EI20-ER19)))</f>
        <v>36.732142857142847</v>
      </c>
      <c r="EK20" s="17">
        <f>EJ20*VLOOKUP('Données projet'!$B$15,Paramètres!$A$1:$I$89,3,0)*VLOOKUP('Données projet'!$B$15,Paramètres!$A$1:$I$89,5,0)</f>
        <v>23.493878571428567</v>
      </c>
      <c r="EL20" s="13">
        <f t="shared" si="45"/>
        <v>7.4976930240492718</v>
      </c>
      <c r="EM20" s="20">
        <f t="shared" si="19"/>
        <v>53.976987195457234</v>
      </c>
      <c r="EN20" s="59">
        <f t="shared" si="20"/>
        <v>331.4214316399017</v>
      </c>
      <c r="EO20" s="59">
        <f ca="1">AVERAGE(OFFSET($EN$3,0,0,'Données projet'!$E$15+1,1))-AVERAGE(OFFSET($H$3,0,0,'Données projet'!$E$15+1,1))</f>
        <v>274.14900959323484</v>
      </c>
      <c r="EP20" s="59">
        <f t="shared" si="46"/>
        <v>130.44590390921582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5.5909090909090908</v>
      </c>
      <c r="FE20" s="12">
        <f>IF('Données projet'!$A$218&gt;35,FE19+FD20-FM19,IF(A20&lt;'Données projet'!$A$218,$FB$205^A20,IF(A20='Données projet'!$A$218,'Données projet'!$B$218,FE19+FD20-FM19)))</f>
        <v>41.202794955809431</v>
      </c>
      <c r="FF20" s="17">
        <f>FE20*VLOOKUP('Données projet'!$B$16,Paramètres!$A$1:$I$89,3,0)*VLOOKUP('Données projet'!$B$16,Paramètres!$A$1:$I$89,5,0)</f>
        <v>24.639271383574041</v>
      </c>
      <c r="FG20" s="13">
        <f t="shared" si="47"/>
        <v>7.8197783429910519</v>
      </c>
      <c r="FH20" s="20">
        <f t="shared" si="22"/>
        <v>56.532844940434195</v>
      </c>
      <c r="FI20" s="59">
        <f t="shared" si="23"/>
        <v>333.97728938487865</v>
      </c>
      <c r="FJ20" s="59">
        <f ca="1">AVERAGE(OFFSET($FI$3,0,0,'Données projet'!$E$16+1,1))-AVERAGE(OFFSET($H$3,0,0,'Données projet'!$E$16+1,1))</f>
        <v>405.42845699663462</v>
      </c>
      <c r="FK20" s="59">
        <f t="shared" si="48"/>
        <v>292.26503163353146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5.5909090909090908</v>
      </c>
      <c r="FZ20" s="12">
        <f>IF('Données projet'!$A$244&gt;35,FZ19+FY20-GH19,IF(A20&lt;'Données projet'!$A$244,$FW$205^A20,IF(A20='Données projet'!$A$244,'Données projet'!$B$244,FZ19+FY20-GH19)))</f>
        <v>41.202794955809431</v>
      </c>
      <c r="GA20" s="17">
        <f>FZ20*VLOOKUP('Données projet'!$B$17,Paramètres!$A$1:$I$89,3,0)*VLOOKUP('Données projet'!$B$17,Paramètres!$A$1:$I$89,5,0)</f>
        <v>24.639271383574041</v>
      </c>
      <c r="GB20" s="13">
        <f t="shared" si="49"/>
        <v>7.8197783429910519</v>
      </c>
      <c r="GC20" s="20">
        <f t="shared" si="25"/>
        <v>56.532844940434195</v>
      </c>
      <c r="GD20" s="59">
        <f t="shared" si="26"/>
        <v>333.97728938487865</v>
      </c>
      <c r="GE20" s="59">
        <f ca="1">AVERAGE(OFFSET($GD$3,0,0,'Données projet'!$E$17+1,1))-AVERAGE(OFFSET($H$3,0,0,'Données projet'!$E$17+1,1))</f>
        <v>405.42845699663462</v>
      </c>
      <c r="GF20" s="59">
        <f t="shared" si="50"/>
        <v>292.26503163353146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7.9</v>
      </c>
      <c r="N21" s="13">
        <f>IF('Données projet'!$A$36&gt;35,N20+M21-V20,IF(A21&lt;'Données projet'!$A$36,$K$205^A21,IF(A21='Données projet'!$A$36,'Données projet'!$B$36,N20+M21-V20)))</f>
        <v>95.233857990035276</v>
      </c>
      <c r="O21" s="13">
        <f>N21*VLOOKUP('Données projet'!$B$9,Paramètres!$A$1:$I$89,3,0)*VLOOKUP('Données projet'!$B$9,Paramètres!$A$1:$I$89,5,0)</f>
        <v>44.569445539336513</v>
      </c>
      <c r="P21" s="13">
        <f t="shared" si="33"/>
        <v>13.202049673437019</v>
      </c>
      <c r="Q21" s="20">
        <f t="shared" si="2"/>
        <v>100.61868749558056</v>
      </c>
      <c r="R21" s="59">
        <f t="shared" si="0"/>
        <v>379.28535416224724</v>
      </c>
      <c r="S21" s="59">
        <f ca="1">AVERAGE(OFFSET($R$3,0,0,'Données projet'!$E$9+1,1))-AVERAGE(OFFSET($H$3,0,0,'Données projet'!$E$9+1,1))</f>
        <v>198.26255998041</v>
      </c>
      <c r="T21" s="59">
        <f t="shared" si="34"/>
        <v>238.62101708181166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10.119999999999999</v>
      </c>
      <c r="AI21" s="13">
        <f>IF('Données projet'!$A$62&gt;35,AI20+AH21-AQ20,IF(A21&lt;'Données projet'!$A$62,$AF$205^A21,IF(A21='Données projet'!$A$62,'Données projet'!$B$62,AI20+AH21-AQ20)))</f>
        <v>53.733703583035215</v>
      </c>
      <c r="AJ21" s="13">
        <f>AI21*VLOOKUP('Données projet'!$B$10,Paramètres!$A$1:$I$89,3,0)*VLOOKUP('Données projet'!$B$10,Paramètres!$A$1:$I$89,5,0)</f>
        <v>30.037140302916686</v>
      </c>
      <c r="AK21" s="13">
        <f t="shared" si="35"/>
        <v>9.315607651522777</v>
      </c>
      <c r="AL21" s="20">
        <f t="shared" si="4"/>
        <v>68.539369353982067</v>
      </c>
      <c r="AM21" s="59">
        <f t="shared" si="5"/>
        <v>347.20603602064875</v>
      </c>
      <c r="AN21" s="59">
        <f ca="1">AVERAGE(OFFSET($AM$3,0,0,'Données projet'!$E$10+1,1))-AVERAGE(OFFSET($H$3,0,0,'Données projet'!$E$10+1,1))</f>
        <v>347.02720636703873</v>
      </c>
      <c r="AO21" s="59">
        <f t="shared" si="36"/>
        <v>394.03759949558702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11.333333333333334</v>
      </c>
      <c r="BD21" s="12">
        <f>IF('Données projet'!$A$88&gt;35,BD20+BC21-BL20,IF(A21&lt;'Données projet'!$A$88,$BA$205^A21,IF(A21='Données projet'!$A$88,'Données projet'!$B$88,BD20+BC21-BL20)))</f>
        <v>114.33333333333334</v>
      </c>
      <c r="BE21" s="13">
        <f>BD21*VLOOKUP('Données projet'!$B$11,Paramètres!$A$1:$I$89,3,0)*VLOOKUP('Données projet'!$B$11,Paramètres!$A$1:$I$89,5,0)</f>
        <v>68.37133333333334</v>
      </c>
      <c r="BF21" s="13">
        <f t="shared" si="37"/>
        <v>19.268449754335993</v>
      </c>
      <c r="BG21" s="20">
        <f t="shared" si="7"/>
        <v>152.63928887769075</v>
      </c>
      <c r="BH21" s="59">
        <f t="shared" si="8"/>
        <v>431.3059555443574</v>
      </c>
      <c r="BI21" s="59">
        <f ca="1">AVERAGE(OFFSET($BH$3,0,0,'Données projet'!$E$11+1,1))-AVERAGE(OFFSET($H$3,0,0,'Données projet'!$E$11+1,1))</f>
        <v>378.75660696651238</v>
      </c>
      <c r="BJ21" s="59">
        <f t="shared" si="38"/>
        <v>371.70674704563288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5.1877466101368741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5.1877466101368741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2.1607142857142856</v>
      </c>
      <c r="BY21" s="12">
        <f>IF('Données projet'!$A$114&gt;35,BY20+BX21-CG20,IF(A21&lt;'Données projet'!$A$114,$BV$205^A21,IF(A21='Données projet'!$A$114,'Données projet'!$B$114,BY20+BX21-CG20)))</f>
        <v>38.892857142857132</v>
      </c>
      <c r="BZ21" s="13">
        <f>BY21*VLOOKUP('Données projet'!$B$12,Paramètres!$A$1:$I$89,3,0)*VLOOKUP('Données projet'!$B$12,Paramètres!$A$1:$I$89,5,0)</f>
        <v>39.437357142857138</v>
      </c>
      <c r="CA21" s="13">
        <f t="shared" si="39"/>
        <v>11.849395628190933</v>
      </c>
      <c r="CB21" s="20">
        <f t="shared" si="10"/>
        <v>89.324427742908711</v>
      </c>
      <c r="CC21" s="59">
        <f t="shared" si="11"/>
        <v>367.9910944095754</v>
      </c>
      <c r="CD21" s="59">
        <f ca="1">AVERAGE(OFFSET($CC$3,0,0,'Données projet'!$E$12+1,1))-AVERAGE(OFFSET($H$3,0,0,'Données projet'!$E$12+1,1))</f>
        <v>410.75375635525211</v>
      </c>
      <c r="CE21" s="59">
        <f t="shared" si="40"/>
        <v>183.55513001437367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3</v>
      </c>
      <c r="CT21" s="12">
        <f>IF('Données projet'!$A$140&gt;35,CT20+CS21-DB20,IF(A21&lt;'Données projet'!$A$140,$CQ$205^A21,IF(A21='Données projet'!$A$140,'Données projet'!$B$140,CT20+CS21-DB20)))</f>
        <v>54</v>
      </c>
      <c r="CU21" s="17">
        <f>CT21*VLOOKUP('Données projet'!$B$13,Paramètres!$A$1:$I$89,3,0)*VLOOKUP('Données projet'!$B$13,Paramètres!$A$1:$I$89,5,0)</f>
        <v>48.859199999999994</v>
      </c>
      <c r="CV21" s="13">
        <f t="shared" si="41"/>
        <v>14.318748507569314</v>
      </c>
      <c r="CW21" s="20">
        <f t="shared" si="13"/>
        <v>110.03492698401654</v>
      </c>
      <c r="CX21" s="59">
        <f t="shared" si="14"/>
        <v>388.70159365068321</v>
      </c>
      <c r="CY21" s="59">
        <f ca="1">AVERAGE(OFFSET($CX$3,0,0,'Données projet'!$E$13+1,1))-AVERAGE(OFFSET($H$3,0,0,'Données projet'!$E$13+1,1))</f>
        <v>436.12708882925142</v>
      </c>
      <c r="CZ21" s="59">
        <f t="shared" si="42"/>
        <v>217.65884352525285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10.4</v>
      </c>
      <c r="DO21" s="12">
        <f>IF('Données projet'!$A$166&gt;35,DO20+DN21-DW20,IF(A21&lt;'Données projet'!$A$166,$DL$205^A21,IF(A21='Données projet'!$A$166,'Données projet'!$B$166,DO20+DN21-DW20)))</f>
        <v>104.20000000000002</v>
      </c>
      <c r="DP21" s="17">
        <f>DO21*VLOOKUP('Données projet'!$B$14,Paramètres!$A$1:$I$89,3,0)*VLOOKUP('Données projet'!$B$14,Paramètres!$A$1:$I$89,5,0)</f>
        <v>99.156720000000021</v>
      </c>
      <c r="DQ21" s="13">
        <f t="shared" si="43"/>
        <v>26.7609988066732</v>
      </c>
      <c r="DR21" s="20">
        <f t="shared" si="16"/>
        <v>219.30669358828922</v>
      </c>
      <c r="DS21" s="59">
        <f t="shared" si="17"/>
        <v>497.97336025495588</v>
      </c>
      <c r="DT21" s="59">
        <f ca="1">AVERAGE(OFFSET($DS$3,0,0,'Données projet'!$E$14+1,1))-AVERAGE(OFFSET($H$3,0,0,'Données projet'!$E$14+1,1))</f>
        <v>735.50267870886194</v>
      </c>
      <c r="DU21" s="59">
        <f t="shared" si="44"/>
        <v>525.80345400853275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2.1607142857142856</v>
      </c>
      <c r="EJ21" s="12">
        <f>IF('Données projet'!$A$192&gt;35,EJ20+EI21-ER20,IF(A21&lt;'Données projet'!$A$192,$EG$205^A21,IF(A21='Données projet'!$A$192,'Données projet'!$B$192,EJ20+EI21-ER20)))</f>
        <v>38.892857142857132</v>
      </c>
      <c r="EK21" s="17">
        <f>EJ21*VLOOKUP('Données projet'!$B$15,Paramètres!$A$1:$I$89,3,0)*VLOOKUP('Données projet'!$B$15,Paramètres!$A$1:$I$89,5,0)</f>
        <v>24.875871428571422</v>
      </c>
      <c r="EL21" s="13">
        <f t="shared" si="45"/>
        <v>7.8860908113204031</v>
      </c>
      <c r="EM21" s="20">
        <f t="shared" si="19"/>
        <v>57.060417567811584</v>
      </c>
      <c r="EN21" s="59">
        <f t="shared" si="20"/>
        <v>335.7270842344783</v>
      </c>
      <c r="EO21" s="59">
        <f ca="1">AVERAGE(OFFSET($EN$3,0,0,'Données projet'!$E$15+1,1))-AVERAGE(OFFSET($H$3,0,0,'Données projet'!$E$15+1,1))</f>
        <v>274.14900959323484</v>
      </c>
      <c r="EP21" s="59">
        <f t="shared" si="46"/>
        <v>130.44590390921582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5.5909090909090908</v>
      </c>
      <c r="FE21" s="12">
        <f>IF('Données projet'!$A$218&gt;35,FE20+FD21-FM20,IF(A21&lt;'Données projet'!$A$218,$FB$205^A21,IF(A21='Données projet'!$A$218,'Données projet'!$B$218,FE20+FD21-FM20)))</f>
        <v>51.276971117915458</v>
      </c>
      <c r="FF21" s="17">
        <f>FE21*VLOOKUP('Données projet'!$B$16,Paramètres!$A$1:$I$89,3,0)*VLOOKUP('Données projet'!$B$16,Paramètres!$A$1:$I$89,5,0)</f>
        <v>30.663628728513448</v>
      </c>
      <c r="FG21" s="13">
        <f t="shared" si="47"/>
        <v>9.4870815071768995</v>
      </c>
      <c r="FH21" s="20">
        <f t="shared" si="22"/>
        <v>69.929153660494023</v>
      </c>
      <c r="FI21" s="59">
        <f t="shared" si="23"/>
        <v>348.59582032716071</v>
      </c>
      <c r="FJ21" s="59">
        <f ca="1">AVERAGE(OFFSET($FI$3,0,0,'Données projet'!$E$16+1,1))-AVERAGE(OFFSET($H$3,0,0,'Données projet'!$E$16+1,1))</f>
        <v>405.42845699663462</v>
      </c>
      <c r="FK21" s="59">
        <f t="shared" si="48"/>
        <v>292.26503163353146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5.5909090909090908</v>
      </c>
      <c r="FZ21" s="12">
        <f>IF('Données projet'!$A$244&gt;35,FZ20+FY21-GH20,IF(A21&lt;'Données projet'!$A$244,$FW$205^A21,IF(A21='Données projet'!$A$244,'Données projet'!$B$244,FZ20+FY21-GH20)))</f>
        <v>51.276971117915458</v>
      </c>
      <c r="GA21" s="17">
        <f>FZ21*VLOOKUP('Données projet'!$B$17,Paramètres!$A$1:$I$89,3,0)*VLOOKUP('Données projet'!$B$17,Paramètres!$A$1:$I$89,5,0)</f>
        <v>30.663628728513448</v>
      </c>
      <c r="GB21" s="13">
        <f t="shared" si="49"/>
        <v>9.4870815071768995</v>
      </c>
      <c r="GC21" s="20">
        <f t="shared" si="25"/>
        <v>69.929153660494023</v>
      </c>
      <c r="GD21" s="59">
        <f t="shared" si="26"/>
        <v>348.59582032716071</v>
      </c>
      <c r="GE21" s="59">
        <f ca="1">AVERAGE(OFFSET($GD$3,0,0,'Données projet'!$E$17+1,1))-AVERAGE(OFFSET($H$3,0,0,'Données projet'!$E$17+1,1))</f>
        <v>405.42845699663462</v>
      </c>
      <c r="GF21" s="59">
        <f t="shared" si="50"/>
        <v>292.26503163353146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7.9</v>
      </c>
      <c r="N22" s="13">
        <f>IF('Données projet'!$A$36&gt;35,N21+M22-V21,IF(A22&lt;'Données projet'!$A$36,$K$205^A22,IF(A22='Données projet'!$A$36,'Données projet'!$B$36,N21+M22-V21)))</f>
        <v>122.66600817840934</v>
      </c>
      <c r="O22" s="13">
        <f>N22*VLOOKUP('Données projet'!$B$9,Paramètres!$A$1:$I$89,3,0)*VLOOKUP('Données projet'!$B$9,Paramètres!$A$1:$I$89,5,0)</f>
        <v>57.407691827495569</v>
      </c>
      <c r="P22" s="13">
        <f t="shared" si="33"/>
        <v>16.511176981334152</v>
      </c>
      <c r="Q22" s="20">
        <f t="shared" si="2"/>
        <v>128.7420298420451</v>
      </c>
      <c r="R22" s="59">
        <f t="shared" si="0"/>
        <v>408.63091873093396</v>
      </c>
      <c r="S22" s="59">
        <f ca="1">AVERAGE(OFFSET($R$3,0,0,'Données projet'!$E$9+1,1))-AVERAGE(OFFSET($H$3,0,0,'Données projet'!$E$9+1,1))</f>
        <v>198.26255998041</v>
      </c>
      <c r="T22" s="59">
        <f t="shared" si="34"/>
        <v>238.62101708181166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10.119999999999999</v>
      </c>
      <c r="AI22" s="13">
        <f>IF('Données projet'!$A$62&gt;35,AI21+AH22-AQ21,IF(A22&lt;'Données projet'!$A$62,$AF$205^A22,IF(A22='Données projet'!$A$62,'Données projet'!$B$62,AI21+AH22-AQ21)))</f>
        <v>67.045802915702126</v>
      </c>
      <c r="AJ22" s="13">
        <f>AI22*VLOOKUP('Données projet'!$B$10,Paramètres!$A$1:$I$89,3,0)*VLOOKUP('Données projet'!$B$10,Paramètres!$A$1:$I$89,5,0)</f>
        <v>37.478603829877493</v>
      </c>
      <c r="AK22" s="13">
        <f t="shared" si="35"/>
        <v>11.3278393329661</v>
      </c>
      <c r="AL22" s="20">
        <f t="shared" si="4"/>
        <v>85.004555175285915</v>
      </c>
      <c r="AM22" s="59">
        <f t="shared" si="5"/>
        <v>364.89344406417479</v>
      </c>
      <c r="AN22" s="59">
        <f ca="1">AVERAGE(OFFSET($AM$3,0,0,'Données projet'!$E$10+1,1))-AVERAGE(OFFSET($H$3,0,0,'Données projet'!$E$10+1,1))</f>
        <v>347.02720636703873</v>
      </c>
      <c r="AO22" s="59">
        <f t="shared" si="36"/>
        <v>394.03759949558702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11.333333333333334</v>
      </c>
      <c r="BD22" s="12">
        <f>IF('Données projet'!$A$88&gt;35,BD21+BC22-BL21,IF(A22&lt;'Données projet'!$A$88,$BA$205^A22,IF(A22='Données projet'!$A$88,'Données projet'!$B$88,BD21+BC22-BL21)))</f>
        <v>125.66666666666667</v>
      </c>
      <c r="BE22" s="13">
        <f>BD22*VLOOKUP('Données projet'!$B$11,Paramètres!$A$1:$I$89,3,0)*VLOOKUP('Données projet'!$B$11,Paramètres!$A$1:$I$89,5,0)</f>
        <v>75.148666666666671</v>
      </c>
      <c r="BF22" s="13">
        <f t="shared" si="37"/>
        <v>20.946723857947624</v>
      </c>
      <c r="BG22" s="20">
        <f t="shared" si="7"/>
        <v>167.36613849703656</v>
      </c>
      <c r="BH22" s="59">
        <f t="shared" si="8"/>
        <v>447.25502738592542</v>
      </c>
      <c r="BI22" s="59">
        <f ca="1">AVERAGE(OFFSET($BH$3,0,0,'Données projet'!$E$11+1,1))-AVERAGE(OFFSET($H$3,0,0,'Données projet'!$E$11+1,1))</f>
        <v>378.75660696651238</v>
      </c>
      <c r="BJ22" s="59">
        <f t="shared" si="38"/>
        <v>371.70674704563288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5.0458874062709436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5.0458874062709436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2.1607142857142856</v>
      </c>
      <c r="BY22" s="12">
        <f>IF('Données projet'!$A$114&gt;35,BY21+BX22-CG21,IF(A22&lt;'Données projet'!$A$114,$BV$205^A22,IF(A22='Données projet'!$A$114,'Données projet'!$B$114,BY21+BX22-CG21)))</f>
        <v>41.053571428571416</v>
      </c>
      <c r="BZ22" s="13">
        <f>BY22*VLOOKUP('Données projet'!$B$12,Paramètres!$A$1:$I$89,3,0)*VLOOKUP('Données projet'!$B$12,Paramètres!$A$1:$I$89,5,0)</f>
        <v>41.628321428571418</v>
      </c>
      <c r="CA22" s="13">
        <f t="shared" si="39"/>
        <v>12.429226326582805</v>
      </c>
      <c r="CB22" s="20">
        <f t="shared" si="10"/>
        <v>94.150229006893596</v>
      </c>
      <c r="CC22" s="59">
        <f t="shared" si="11"/>
        <v>374.03911789578245</v>
      </c>
      <c r="CD22" s="59">
        <f ca="1">AVERAGE(OFFSET($CC$3,0,0,'Données projet'!$E$12+1,1))-AVERAGE(OFFSET($H$3,0,0,'Données projet'!$E$12+1,1))</f>
        <v>410.75375635525211</v>
      </c>
      <c r="CE22" s="59">
        <f t="shared" si="40"/>
        <v>183.55513001437367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3</v>
      </c>
      <c r="CT22" s="12">
        <f>IF('Données projet'!$A$140&gt;35,CT21+CS22-DB21,IF(A22&lt;'Données projet'!$A$140,$CQ$205^A22,IF(A22='Données projet'!$A$140,'Données projet'!$B$140,CT21+CS22-DB21)))</f>
        <v>57</v>
      </c>
      <c r="CU22" s="17">
        <f>CT22*VLOOKUP('Données projet'!$B$13,Paramètres!$A$1:$I$89,3,0)*VLOOKUP('Données projet'!$B$13,Paramètres!$A$1:$I$89,5,0)</f>
        <v>51.573599999999992</v>
      </c>
      <c r="CV22" s="13">
        <f t="shared" si="41"/>
        <v>15.019412930275323</v>
      </c>
      <c r="CW22" s="20">
        <f t="shared" si="13"/>
        <v>115.98283085356282</v>
      </c>
      <c r="CX22" s="59">
        <f t="shared" si="14"/>
        <v>395.87171974245166</v>
      </c>
      <c r="CY22" s="59">
        <f ca="1">AVERAGE(OFFSET($CX$3,0,0,'Données projet'!$E$13+1,1))-AVERAGE(OFFSET($H$3,0,0,'Données projet'!$E$13+1,1))</f>
        <v>436.12708882925142</v>
      </c>
      <c r="CZ22" s="59">
        <f t="shared" si="42"/>
        <v>217.65884352525285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10.4</v>
      </c>
      <c r="DO22" s="12">
        <f>IF('Données projet'!$A$166&gt;35,DO21+DN22-DW21,IF(A22&lt;'Données projet'!$A$166,$DL$205^A22,IF(A22='Données projet'!$A$166,'Données projet'!$B$166,DO21+DN22-DW21)))</f>
        <v>114.60000000000002</v>
      </c>
      <c r="DP22" s="17">
        <f>DO22*VLOOKUP('Données projet'!$B$14,Paramètres!$A$1:$I$89,3,0)*VLOOKUP('Données projet'!$B$14,Paramètres!$A$1:$I$89,5,0)</f>
        <v>109.05336000000001</v>
      </c>
      <c r="DQ22" s="13">
        <f t="shared" si="43"/>
        <v>29.107836736265032</v>
      </c>
      <c r="DR22" s="20">
        <f t="shared" si="16"/>
        <v>240.63075098232829</v>
      </c>
      <c r="DS22" s="59">
        <f t="shared" si="17"/>
        <v>520.51963987121712</v>
      </c>
      <c r="DT22" s="59">
        <f ca="1">AVERAGE(OFFSET($DS$3,0,0,'Données projet'!$E$14+1,1))-AVERAGE(OFFSET($H$3,0,0,'Données projet'!$E$14+1,1))</f>
        <v>735.50267870886194</v>
      </c>
      <c r="DU22" s="59">
        <f t="shared" si="44"/>
        <v>525.80345400853275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2.1607142857142856</v>
      </c>
      <c r="EJ22" s="12">
        <f>IF('Données projet'!$A$192&gt;35,EJ21+EI22-ER21,IF(A22&lt;'Données projet'!$A$192,$EG$205^A22,IF(A22='Données projet'!$A$192,'Données projet'!$B$192,EJ21+EI22-ER21)))</f>
        <v>41.053571428571416</v>
      </c>
      <c r="EK22" s="17">
        <f>EJ22*VLOOKUP('Données projet'!$B$15,Paramètres!$A$1:$I$89,3,0)*VLOOKUP('Données projet'!$B$15,Paramètres!$A$1:$I$89,5,0)</f>
        <v>26.257864285714273</v>
      </c>
      <c r="EL22" s="13">
        <f t="shared" si="45"/>
        <v>8.2719837029233236</v>
      </c>
      <c r="EM22" s="20">
        <f t="shared" si="19"/>
        <v>60.139485246877143</v>
      </c>
      <c r="EN22" s="59">
        <f t="shared" si="20"/>
        <v>340.028374135766</v>
      </c>
      <c r="EO22" s="59">
        <f ca="1">AVERAGE(OFFSET($EN$3,0,0,'Données projet'!$E$15+1,1))-AVERAGE(OFFSET($H$3,0,0,'Données projet'!$E$15+1,1))</f>
        <v>274.14900959323484</v>
      </c>
      <c r="EP22" s="59">
        <f t="shared" si="46"/>
        <v>130.44590390921582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5.5909090909090908</v>
      </c>
      <c r="FE22" s="12">
        <f>IF('Données projet'!$A$218&gt;35,FE21+FD22-FM21,IF(A22&lt;'Données projet'!$A$218,$FB$205^A22,IF(A22='Données projet'!$A$218,'Données projet'!$B$218,FE21+FD22-FM21)))</f>
        <v>63.814306040343304</v>
      </c>
      <c r="FF22" s="17">
        <f>FE22*VLOOKUP('Données projet'!$B$16,Paramètres!$A$1:$I$89,3,0)*VLOOKUP('Données projet'!$B$16,Paramètres!$A$1:$I$89,5,0)</f>
        <v>38.160955012125299</v>
      </c>
      <c r="FG22" s="13">
        <f t="shared" si="47"/>
        <v>11.509880661066306</v>
      </c>
      <c r="FH22" s="20">
        <f t="shared" si="22"/>
        <v>86.510038797475374</v>
      </c>
      <c r="FI22" s="59">
        <f t="shared" si="23"/>
        <v>366.39892768636423</v>
      </c>
      <c r="FJ22" s="59">
        <f ca="1">AVERAGE(OFFSET($FI$3,0,0,'Données projet'!$E$16+1,1))-AVERAGE(OFFSET($H$3,0,0,'Données projet'!$E$16+1,1))</f>
        <v>405.42845699663462</v>
      </c>
      <c r="FK22" s="59">
        <f t="shared" si="48"/>
        <v>292.26503163353146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5.5909090909090908</v>
      </c>
      <c r="FZ22" s="12">
        <f>IF('Données projet'!$A$244&gt;35,FZ21+FY22-GH21,IF(A22&lt;'Données projet'!$A$244,$FW$205^A22,IF(A22='Données projet'!$A$244,'Données projet'!$B$244,FZ21+FY22-GH21)))</f>
        <v>63.814306040343304</v>
      </c>
      <c r="GA22" s="17">
        <f>FZ22*VLOOKUP('Données projet'!$B$17,Paramètres!$A$1:$I$89,3,0)*VLOOKUP('Données projet'!$B$17,Paramètres!$A$1:$I$89,5,0)</f>
        <v>38.160955012125299</v>
      </c>
      <c r="GB22" s="13">
        <f t="shared" si="49"/>
        <v>11.509880661066306</v>
      </c>
      <c r="GC22" s="20">
        <f t="shared" si="25"/>
        <v>86.510038797475374</v>
      </c>
      <c r="GD22" s="59">
        <f t="shared" si="26"/>
        <v>366.39892768636423</v>
      </c>
      <c r="GE22" s="59">
        <f ca="1">AVERAGE(OFFSET($GD$3,0,0,'Données projet'!$E$17+1,1))-AVERAGE(OFFSET($H$3,0,0,'Données projet'!$E$17+1,1))</f>
        <v>405.42845699663462</v>
      </c>
      <c r="GF22" s="59">
        <f t="shared" si="50"/>
        <v>292.26503163353146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158</v>
      </c>
      <c r="L23" s="12">
        <f>VLOOKUP(A23,'Données projet'!$A$35:$I$55,9,0)</f>
        <v>7.9</v>
      </c>
      <c r="M23" s="12">
        <f t="array" ref="M23">INDEX(L:L,MIN(IF(ISNUMBER(L23:L219),ROW(L23:L219),"")))</f>
        <v>7.9</v>
      </c>
      <c r="N23" s="13">
        <f>IF('Données projet'!$A$36&gt;35,N22+M23-V22,IF(A23&lt;'Données projet'!$A$36,$K$205^A23,IF(A23='Données projet'!$A$36,'Données projet'!$B$36,N22+M23-V22)))</f>
        <v>158</v>
      </c>
      <c r="O23" s="13">
        <f>N23*VLOOKUP('Données projet'!$B$9,Paramètres!$A$1:$I$89,3,0)*VLOOKUP('Données projet'!$B$9,Paramètres!$A$1:$I$89,5,0)</f>
        <v>73.944000000000003</v>
      </c>
      <c r="P23" s="13">
        <f t="shared" si="33"/>
        <v>20.649745460165708</v>
      </c>
      <c r="Q23" s="20">
        <f t="shared" si="2"/>
        <v>164.75077334312192</v>
      </c>
      <c r="R23" s="59">
        <f t="shared" si="0"/>
        <v>445.86188445423306</v>
      </c>
      <c r="S23" s="59">
        <f ca="1">AVERAGE(OFFSET($R$3,0,0,'Données projet'!$E$9+1,1))-AVERAGE(OFFSET($H$3,0,0,'Données projet'!$E$9+1,1))</f>
        <v>198.26255998041</v>
      </c>
      <c r="T23" s="59">
        <f t="shared" si="34"/>
        <v>238.62101708181166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55.3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0.55000000000000004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18.808262271305477</v>
      </c>
      <c r="AB23" s="21">
        <f>EXP(-LN(2)/2)*AB22+(1-EXP(-LN(2)/2))/(LN(2)/2)*V23*Y23*VLOOKUP('Données projet'!$B$9,Paramètres!$A$1:$I$89,3,0)*0.475*44/12</f>
        <v>0</v>
      </c>
      <c r="AC23" s="22">
        <f t="shared" si="3"/>
        <v>18.808262271305477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10.119999999999999</v>
      </c>
      <c r="AI23" s="13">
        <f>IF('Données projet'!$A$62&gt;35,AI22+AH23-AQ22,IF(A23&lt;'Données projet'!$A$62,$AF$205^A23,IF(A23='Données projet'!$A$62,'Données projet'!$B$62,AI22+AH23-AQ22)))</f>
        <v>83.655869386795359</v>
      </c>
      <c r="AJ23" s="13">
        <f>AI23*VLOOKUP('Données projet'!$B$10,Paramètres!$A$1:$I$89,3,0)*VLOOKUP('Données projet'!$B$10,Paramètres!$A$1:$I$89,5,0)</f>
        <v>46.763630987218605</v>
      </c>
      <c r="AK23" s="13">
        <f t="shared" si="35"/>
        <v>13.774726110595493</v>
      </c>
      <c r="AL23" s="20">
        <f t="shared" si="4"/>
        <v>105.43763861202622</v>
      </c>
      <c r="AM23" s="59">
        <f t="shared" si="5"/>
        <v>386.54874972313735</v>
      </c>
      <c r="AN23" s="59">
        <f ca="1">AVERAGE(OFFSET($AM$3,0,0,'Données projet'!$E$10+1,1))-AVERAGE(OFFSET($H$3,0,0,'Données projet'!$E$10+1,1))</f>
        <v>347.02720636703873</v>
      </c>
      <c r="AO23" s="59">
        <f t="shared" si="36"/>
        <v>394.03759949558702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137</v>
      </c>
      <c r="BB23" s="12">
        <f>VLOOKUP(A23,'Données projet'!$A$87:$I$107,9,0)</f>
        <v>11.333333333333334</v>
      </c>
      <c r="BC23" s="12">
        <f t="array" ref="BC23">INDEX(BB:BB,MIN(IF(ISNUMBER(BB23:BB219),ROW(BB23:BB219),"")))</f>
        <v>11.333333333333334</v>
      </c>
      <c r="BD23" s="12">
        <f>IF('Données projet'!$A$88&gt;35,BD22+BC23-BL22,IF(A23&lt;'Données projet'!$A$88,$BA$205^A23,IF(A23='Données projet'!$A$88,'Données projet'!$B$88,BD22+BC23-BL22)))</f>
        <v>137</v>
      </c>
      <c r="BE23" s="13">
        <f>BD23*VLOOKUP('Données projet'!$B$11,Paramètres!$A$1:$I$89,3,0)*VLOOKUP('Données projet'!$B$11,Paramètres!$A$1:$I$89,5,0)</f>
        <v>81.926000000000002</v>
      </c>
      <c r="BF23" s="13">
        <f t="shared" si="37"/>
        <v>22.607447146245146</v>
      </c>
      <c r="BG23" s="20">
        <f t="shared" si="7"/>
        <v>182.06242044637693</v>
      </c>
      <c r="BH23" s="59">
        <f t="shared" si="8"/>
        <v>463.1735315574881</v>
      </c>
      <c r="BI23" s="59">
        <f ca="1">AVERAGE(OFFSET($BH$3,0,0,'Données projet'!$E$11+1,1))-AVERAGE(OFFSET($H$3,0,0,'Données projet'!$E$11+1,1))</f>
        <v>378.75660696651238</v>
      </c>
      <c r="BJ23" s="59">
        <f t="shared" si="38"/>
        <v>371.70674704563288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15</v>
      </c>
      <c r="BM23" s="16">
        <f>IF(ISNA(VLOOKUP(A23,'Données projet'!$A$87:$I$107,5,0)),0%,VLOOKUP(A23,'Données projet'!$A$87:$I$107,5,0)*VLOOKUP('Données projet'!$B$11,Paramètres!$A$1:$I$89,7,0))</f>
        <v>4.5000000000000005E-2</v>
      </c>
      <c r="BN23" s="16">
        <f>IF(ISNA(VLOOKUP(A23,'Données projet'!$A$87:$I$107,6,0)),0%,VLOOKUP(A23,'Données projet'!$A$87:$I$107,6,0)*VLOOKUP('Données projet'!$B$11,Paramètres!$A$1:$I$89,7,0))</f>
        <v>0.36000000000000004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0.53546774243817052</v>
      </c>
      <c r="BQ23" s="21">
        <f>EXP(-LN(2)/25)*BQ22+(1-EXP(-LN(2)/25))/(LN(2)/25)*Calculateur!BL23*Calculateur!BN23*VLOOKUP('Données projet'!$B$11,Paramètres!$A$1:$I$89,3,0)*0.475*44/12</f>
        <v>9.1747825650506662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9.7102503074888364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2.1607142857142856</v>
      </c>
      <c r="BY23" s="12">
        <f>IF('Données projet'!$A$114&gt;35,BY22+BX23-CG22,IF(A23&lt;'Données projet'!$A$114,$BV$205^A23,IF(A23='Données projet'!$A$114,'Données projet'!$B$114,BY22+BX23-CG22)))</f>
        <v>43.214285714285701</v>
      </c>
      <c r="BZ23" s="13">
        <f>BY23*VLOOKUP('Données projet'!$B$12,Paramètres!$A$1:$I$89,3,0)*VLOOKUP('Données projet'!$B$12,Paramètres!$A$1:$I$89,5,0)</f>
        <v>43.819285714285705</v>
      </c>
      <c r="CA23" s="13">
        <f t="shared" si="39"/>
        <v>13.005513931011652</v>
      </c>
      <c r="CB23" s="20">
        <f t="shared" si="10"/>
        <v>98.969859382226218</v>
      </c>
      <c r="CC23" s="59">
        <f t="shared" si="11"/>
        <v>380.08097049333736</v>
      </c>
      <c r="CD23" s="59">
        <f ca="1">AVERAGE(OFFSET($CC$3,0,0,'Données projet'!$E$12+1,1))-AVERAGE(OFFSET($H$3,0,0,'Données projet'!$E$12+1,1))</f>
        <v>410.75375635525211</v>
      </c>
      <c r="CE23" s="59">
        <f t="shared" si="40"/>
        <v>183.55513001437367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3</v>
      </c>
      <c r="CT23" s="12">
        <f>IF('Données projet'!$A$140&gt;35,CT22+CS23-DB22,IF(A23&lt;'Données projet'!$A$140,$CQ$205^A23,IF(A23='Données projet'!$A$140,'Données projet'!$B$140,CT22+CS23-DB22)))</f>
        <v>60</v>
      </c>
      <c r="CU23" s="17">
        <f>CT23*VLOOKUP('Données projet'!$B$13,Paramètres!$A$1:$I$89,3,0)*VLOOKUP('Données projet'!$B$13,Paramètres!$A$1:$I$89,5,0)</f>
        <v>54.287999999999997</v>
      </c>
      <c r="CV23" s="13">
        <f t="shared" si="41"/>
        <v>15.715795896526746</v>
      </c>
      <c r="CW23" s="20">
        <f t="shared" si="13"/>
        <v>121.9232778531174</v>
      </c>
      <c r="CX23" s="59">
        <f t="shared" si="14"/>
        <v>403.03438896422853</v>
      </c>
      <c r="CY23" s="59">
        <f ca="1">AVERAGE(OFFSET($CX$3,0,0,'Données projet'!$E$13+1,1))-AVERAGE(OFFSET($H$3,0,0,'Données projet'!$E$13+1,1))</f>
        <v>436.12708882925142</v>
      </c>
      <c r="CZ23" s="59">
        <f t="shared" si="42"/>
        <v>217.65884352525285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125</v>
      </c>
      <c r="DM23" s="12">
        <f>VLOOKUP(A23,'Données projet'!$A$165:$I$185,9,0)</f>
        <v>10.4</v>
      </c>
      <c r="DN23" s="12">
        <f t="array" ref="DN23">INDEX(DM:DM,MIN(IF(ISNUMBER(DM23:DM219),ROW(DM23:DM219),"")))</f>
        <v>10.4</v>
      </c>
      <c r="DO23" s="12">
        <f>IF('Données projet'!$A$166&gt;35,DO22+DN23-DW22,IF(A23&lt;'Données projet'!$A$166,$DL$205^A23,IF(A23='Données projet'!$A$166,'Données projet'!$B$166,DO22+DN23-DW22)))</f>
        <v>125.00000000000003</v>
      </c>
      <c r="DP23" s="17">
        <f>DO23*VLOOKUP('Données projet'!$B$14,Paramètres!$A$1:$I$89,3,0)*VLOOKUP('Données projet'!$B$14,Paramètres!$A$1:$I$89,5,0)</f>
        <v>118.95000000000003</v>
      </c>
      <c r="DQ23" s="13">
        <f t="shared" si="43"/>
        <v>31.429978916194532</v>
      </c>
      <c r="DR23" s="20">
        <f t="shared" si="16"/>
        <v>261.9117966123722</v>
      </c>
      <c r="DS23" s="59">
        <f t="shared" si="17"/>
        <v>543.02290772348329</v>
      </c>
      <c r="DT23" s="59">
        <f ca="1">AVERAGE(OFFSET($DS$3,0,0,'Données projet'!$E$14+1,1))-AVERAGE(OFFSET($H$3,0,0,'Données projet'!$E$14+1,1))</f>
        <v>735.50267870886194</v>
      </c>
      <c r="DU23" s="59">
        <f t="shared" si="44"/>
        <v>525.80345400853275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17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2.1607142857142856</v>
      </c>
      <c r="EJ23" s="12">
        <f>IF('Données projet'!$A$192&gt;35,EJ22+EI23-ER22,IF(A23&lt;'Données projet'!$A$192,$EG$205^A23,IF(A23='Données projet'!$A$192,'Données projet'!$B$192,EJ22+EI23-ER22)))</f>
        <v>43.214285714285701</v>
      </c>
      <c r="EK23" s="17">
        <f>EJ23*VLOOKUP('Données projet'!$B$15,Paramètres!$A$1:$I$89,3,0)*VLOOKUP('Données projet'!$B$15,Paramètres!$A$1:$I$89,5,0)</f>
        <v>27.639857142857135</v>
      </c>
      <c r="EL23" s="13">
        <f t="shared" si="45"/>
        <v>8.6555185704023039</v>
      </c>
      <c r="EM23" s="20">
        <f t="shared" si="19"/>
        <v>63.214446033926862</v>
      </c>
      <c r="EN23" s="59">
        <f t="shared" si="20"/>
        <v>344.32555714503803</v>
      </c>
      <c r="EO23" s="59">
        <f ca="1">AVERAGE(OFFSET($EN$3,0,0,'Données projet'!$E$15+1,1))-AVERAGE(OFFSET($H$3,0,0,'Données projet'!$E$15+1,1))</f>
        <v>274.14900959323484</v>
      </c>
      <c r="EP23" s="59">
        <f t="shared" si="46"/>
        <v>130.44590390921582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5.5909090909090908</v>
      </c>
      <c r="FE23" s="12">
        <f>IF('Données projet'!$A$218&gt;35,FE22+FD23-FM22,IF(A23&lt;'Données projet'!$A$218,$FB$205^A23,IF(A23='Données projet'!$A$218,'Données projet'!$B$218,FE22+FD23-FM22)))</f>
        <v>79.417047587426694</v>
      </c>
      <c r="FF23" s="17">
        <f>FE23*VLOOKUP('Données projet'!$B$16,Paramètres!$A$1:$I$89,3,0)*VLOOKUP('Données projet'!$B$16,Paramètres!$A$1:$I$89,5,0)</f>
        <v>47.49139445728116</v>
      </c>
      <c r="FG23" s="13">
        <f t="shared" si="47"/>
        <v>13.96397329692701</v>
      </c>
      <c r="FH23" s="20">
        <f t="shared" si="22"/>
        <v>107.03476550524589</v>
      </c>
      <c r="FI23" s="59">
        <f t="shared" si="23"/>
        <v>388.14587661635704</v>
      </c>
      <c r="FJ23" s="59">
        <f ca="1">AVERAGE(OFFSET($FI$3,0,0,'Données projet'!$E$16+1,1))-AVERAGE(OFFSET($H$3,0,0,'Données projet'!$E$16+1,1))</f>
        <v>405.42845699663462</v>
      </c>
      <c r="FK23" s="59">
        <f t="shared" si="48"/>
        <v>292.26503163353146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5.5909090909090908</v>
      </c>
      <c r="FZ23" s="12">
        <f>IF('Données projet'!$A$244&gt;35,FZ22+FY23-GH22,IF(A23&lt;'Données projet'!$A$244,$FW$205^A23,IF(A23='Données projet'!$A$244,'Données projet'!$B$244,FZ22+FY23-GH22)))</f>
        <v>79.417047587426694</v>
      </c>
      <c r="GA23" s="17">
        <f>FZ23*VLOOKUP('Données projet'!$B$17,Paramètres!$A$1:$I$89,3,0)*VLOOKUP('Données projet'!$B$17,Paramètres!$A$1:$I$89,5,0)</f>
        <v>47.49139445728116</v>
      </c>
      <c r="GB23" s="13">
        <f t="shared" si="49"/>
        <v>13.96397329692701</v>
      </c>
      <c r="GC23" s="20">
        <f t="shared" si="25"/>
        <v>107.03476550524589</v>
      </c>
      <c r="GD23" s="59">
        <f t="shared" si="26"/>
        <v>388.14587661635704</v>
      </c>
      <c r="GE23" s="59">
        <f ca="1">AVERAGE(OFFSET($GD$3,0,0,'Données projet'!$E$17+1,1))-AVERAGE(OFFSET($H$3,0,0,'Données projet'!$E$17+1,1))</f>
        <v>405.42845699663462</v>
      </c>
      <c r="GF23" s="59">
        <f t="shared" si="50"/>
        <v>292.26503163353146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9.1999999999999993</v>
      </c>
      <c r="N24" s="13">
        <f>IF('Données projet'!$A$36&gt;35,N23+M24-V23,IF(A24&lt;'Données projet'!$A$36,$K$205^A24,IF(A24='Données projet'!$A$36,'Données projet'!$B$36,N23+M24-V23)))</f>
        <v>111.89999999999999</v>
      </c>
      <c r="O24" s="13">
        <f>N24*VLOOKUP('Données projet'!$B$9,Paramètres!$A$1:$I$89,3,0)*VLOOKUP('Données projet'!$B$9,Paramètres!$A$1:$I$89,5,0)</f>
        <v>52.369199999999999</v>
      </c>
      <c r="P24" s="13">
        <f t="shared" si="33"/>
        <v>15.223957577854017</v>
      </c>
      <c r="Q24" s="20">
        <f t="shared" si="2"/>
        <v>117.72474944809574</v>
      </c>
      <c r="R24" s="59">
        <f t="shared" si="0"/>
        <v>400.05808278142905</v>
      </c>
      <c r="S24" s="59">
        <f ca="1">AVERAGE(OFFSET($R$3,0,0,'Données projet'!$E$9+1,1))-AVERAGE(OFFSET($H$3,0,0,'Données projet'!$E$9+1,1))</f>
        <v>198.26255998041</v>
      </c>
      <c r="T24" s="59">
        <f t="shared" si="34"/>
        <v>238.62101708181166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18.293949350413101</v>
      </c>
      <c r="AB24" s="21">
        <f>EXP(-LN(2)/2)*AB23+(1-EXP(-LN(2)/2))/(LN(2)/2)*V24*Y24*VLOOKUP('Données projet'!$B$9,Paramètres!$A$1:$I$89,3,0)*0.475*44/12</f>
        <v>0</v>
      </c>
      <c r="AC24" s="22">
        <f t="shared" si="3"/>
        <v>18.293949350413101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10.119999999999999</v>
      </c>
      <c r="AI24" s="13">
        <f>IF('Données projet'!$A$62&gt;35,AI23+AH24-AQ23,IF(A24&lt;'Données projet'!$A$62,$AF$205^A24,IF(A24='Données projet'!$A$62,'Données projet'!$B$62,AI23+AH24-AQ23)))</f>
        <v>104.38094822519551</v>
      </c>
      <c r="AJ24" s="13">
        <f>AI24*VLOOKUP('Données projet'!$B$10,Paramètres!$A$1:$I$89,3,0)*VLOOKUP('Données projet'!$B$10,Paramètres!$A$1:$I$89,5,0)</f>
        <v>58.348950057884295</v>
      </c>
      <c r="AK24" s="13">
        <f t="shared" si="35"/>
        <v>16.750156304718573</v>
      </c>
      <c r="AL24" s="20">
        <f t="shared" si="4"/>
        <v>130.79761024819999</v>
      </c>
      <c r="AM24" s="59">
        <f t="shared" si="5"/>
        <v>413.1309435815333</v>
      </c>
      <c r="AN24" s="59">
        <f ca="1">AVERAGE(OFFSET($AM$3,0,0,'Données projet'!$E$10+1,1))-AVERAGE(OFFSET($H$3,0,0,'Données projet'!$E$10+1,1))</f>
        <v>347.02720636703873</v>
      </c>
      <c r="AO24" s="59">
        <f t="shared" si="36"/>
        <v>394.03759949558702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16.399999999999999</v>
      </c>
      <c r="BD24" s="12">
        <f>IF('Données projet'!$A$88&gt;35,BD23+BC24-BL23,IF(A24&lt;'Données projet'!$A$88,$BA$205^A24,IF(A24='Données projet'!$A$88,'Données projet'!$B$88,BD23+BC24-BL23)))</f>
        <v>138.4</v>
      </c>
      <c r="BE24" s="13">
        <f>BD24*VLOOKUP('Données projet'!$B$11,Paramètres!$A$1:$I$89,3,0)*VLOOKUP('Données projet'!$B$11,Paramètres!$A$1:$I$89,5,0)</f>
        <v>82.763200000000012</v>
      </c>
      <c r="BF24" s="13">
        <f t="shared" si="37"/>
        <v>22.811459894537176</v>
      </c>
      <c r="BG24" s="20">
        <f t="shared" si="7"/>
        <v>183.8758659829856</v>
      </c>
      <c r="BH24" s="59">
        <f t="shared" si="8"/>
        <v>466.20919931631892</v>
      </c>
      <c r="BI24" s="59">
        <f ca="1">AVERAGE(OFFSET($BH$3,0,0,'Données projet'!$E$11+1,1))-AVERAGE(OFFSET($H$3,0,0,'Données projet'!$E$11+1,1))</f>
        <v>378.75660696651238</v>
      </c>
      <c r="BJ24" s="59">
        <f t="shared" si="38"/>
        <v>371.70674704563288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0.52496754661203149</v>
      </c>
      <c r="BQ24" s="21">
        <f>EXP(-LN(2)/25)*BQ23+(1-EXP(-LN(2)/25))/(LN(2)/25)*Calculateur!BL24*Calculateur!BN24*VLOOKUP('Données projet'!$B$11,Paramètres!$A$1:$I$89,3,0)*0.475*44/12</f>
        <v>8.9238976533285097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9.448865199940542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2.1607142857142856</v>
      </c>
      <c r="BY24" s="12">
        <f>IF('Données projet'!$A$114&gt;35,BY23+BX24-CG23,IF(A24&lt;'Données projet'!$A$114,$BV$205^A24,IF(A24='Données projet'!$A$114,'Données projet'!$B$114,BY23+BX24-CG23)))</f>
        <v>45.374999999999986</v>
      </c>
      <c r="BZ24" s="13">
        <f>BY24*VLOOKUP('Données projet'!$B$12,Paramètres!$A$1:$I$89,3,0)*VLOOKUP('Données projet'!$B$12,Paramètres!$A$1:$I$89,5,0)</f>
        <v>46.010249999999985</v>
      </c>
      <c r="CA24" s="13">
        <f t="shared" si="39"/>
        <v>13.578455811008331</v>
      </c>
      <c r="CB24" s="20">
        <f t="shared" si="10"/>
        <v>103.78366262083948</v>
      </c>
      <c r="CC24" s="59">
        <f t="shared" si="11"/>
        <v>386.11699595417281</v>
      </c>
      <c r="CD24" s="59">
        <f ca="1">AVERAGE(OFFSET($CC$3,0,0,'Données projet'!$E$12+1,1))-AVERAGE(OFFSET($H$3,0,0,'Données projet'!$E$12+1,1))</f>
        <v>410.75375635525211</v>
      </c>
      <c r="CE24" s="59">
        <f t="shared" si="40"/>
        <v>183.55513001437367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3</v>
      </c>
      <c r="CT24" s="12">
        <f>IF('Données projet'!$A$140&gt;35,CT23+CS24-DB23,IF(A24&lt;'Données projet'!$A$140,$CQ$205^A24,IF(A24='Données projet'!$A$140,'Données projet'!$B$140,CT23+CS24-DB23)))</f>
        <v>63</v>
      </c>
      <c r="CU24" s="17">
        <f>CT24*VLOOKUP('Données projet'!$B$13,Paramètres!$A$1:$I$89,3,0)*VLOOKUP('Données projet'!$B$13,Paramètres!$A$1:$I$89,5,0)</f>
        <v>57.002400000000002</v>
      </c>
      <c r="CV24" s="13">
        <f t="shared" si="41"/>
        <v>16.4081359066458</v>
      </c>
      <c r="CW24" s="20">
        <f t="shared" si="13"/>
        <v>127.85668337074144</v>
      </c>
      <c r="CX24" s="59">
        <f t="shared" si="14"/>
        <v>410.19001670407476</v>
      </c>
      <c r="CY24" s="59">
        <f ca="1">AVERAGE(OFFSET($CX$3,0,0,'Données projet'!$E$13+1,1))-AVERAGE(OFFSET($H$3,0,0,'Données projet'!$E$13+1,1))</f>
        <v>436.12708882925142</v>
      </c>
      <c r="CZ24" s="59">
        <f t="shared" si="42"/>
        <v>217.65884352525285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9.1999999999999993</v>
      </c>
      <c r="DO24" s="12">
        <f>IF('Données projet'!$A$166&gt;35,DO23+DN24-DW23,IF(A24&lt;'Données projet'!$A$166,$DL$205^A24,IF(A24='Données projet'!$A$166,'Données projet'!$B$166,DO23+DN24-DW23)))</f>
        <v>117.20000000000002</v>
      </c>
      <c r="DP24" s="17">
        <f>DO24*VLOOKUP('Données projet'!$B$14,Paramètres!$A$1:$I$89,3,0)*VLOOKUP('Données projet'!$B$14,Paramètres!$A$1:$I$89,5,0)</f>
        <v>111.52752000000001</v>
      </c>
      <c r="DQ24" s="13">
        <f t="shared" si="43"/>
        <v>29.690590824375604</v>
      </c>
      <c r="DR24" s="20">
        <f t="shared" si="16"/>
        <v>245.95487635245419</v>
      </c>
      <c r="DS24" s="59">
        <f t="shared" si="17"/>
        <v>528.28820968578748</v>
      </c>
      <c r="DT24" s="59">
        <f ca="1">AVERAGE(OFFSET($DS$3,0,0,'Données projet'!$E$14+1,1))-AVERAGE(OFFSET($H$3,0,0,'Données projet'!$E$14+1,1))</f>
        <v>735.50267870886194</v>
      </c>
      <c r="DU24" s="59">
        <f t="shared" si="44"/>
        <v>525.80345400853275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2.1607142857142856</v>
      </c>
      <c r="EJ24" s="12">
        <f>IF('Données projet'!$A$192&gt;35,EJ23+EI24-ER23,IF(A24&lt;'Données projet'!$A$192,$EG$205^A24,IF(A24='Données projet'!$A$192,'Données projet'!$B$192,EJ23+EI24-ER23)))</f>
        <v>45.374999999999986</v>
      </c>
      <c r="EK24" s="17">
        <f>EJ24*VLOOKUP('Données projet'!$B$15,Paramètres!$A$1:$I$89,3,0)*VLOOKUP('Données projet'!$B$15,Paramètres!$A$1:$I$89,5,0)</f>
        <v>29.021849999999993</v>
      </c>
      <c r="EL24" s="13">
        <f t="shared" si="45"/>
        <v>9.0368267684772334</v>
      </c>
      <c r="EM24" s="20">
        <f t="shared" si="19"/>
        <v>66.285528705097832</v>
      </c>
      <c r="EN24" s="59">
        <f t="shared" si="20"/>
        <v>348.61886203843113</v>
      </c>
      <c r="EO24" s="59">
        <f ca="1">AVERAGE(OFFSET($EN$3,0,0,'Données projet'!$E$15+1,1))-AVERAGE(OFFSET($H$3,0,0,'Données projet'!$E$15+1,1))</f>
        <v>274.14900959323484</v>
      </c>
      <c r="EP24" s="59">
        <f t="shared" si="46"/>
        <v>130.44590390921582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5.5909090909090908</v>
      </c>
      <c r="FE24" s="12">
        <f>IF('Données projet'!$A$218&gt;35,FE23+FD24-FM23,IF(A24&lt;'Données projet'!$A$218,$FB$205^A24,IF(A24='Données projet'!$A$218,'Données projet'!$B$218,FE23+FD24-FM23)))</f>
        <v>98.834694582689295</v>
      </c>
      <c r="FF24" s="17">
        <f>FE24*VLOOKUP('Données projet'!$B$16,Paramètres!$A$1:$I$89,3,0)*VLOOKUP('Données projet'!$B$16,Paramètres!$A$1:$I$89,5,0)</f>
        <v>59.103147360448204</v>
      </c>
      <c r="FG24" s="13">
        <f t="shared" si="47"/>
        <v>16.94131815778756</v>
      </c>
      <c r="FH24" s="20">
        <f t="shared" si="22"/>
        <v>132.44411077759398</v>
      </c>
      <c r="FI24" s="59">
        <f t="shared" si="23"/>
        <v>414.77744411092726</v>
      </c>
      <c r="FJ24" s="59">
        <f ca="1">AVERAGE(OFFSET($FI$3,0,0,'Données projet'!$E$16+1,1))-AVERAGE(OFFSET($H$3,0,0,'Données projet'!$E$16+1,1))</f>
        <v>405.42845699663462</v>
      </c>
      <c r="FK24" s="59">
        <f t="shared" si="48"/>
        <v>292.26503163353146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5.5909090909090908</v>
      </c>
      <c r="FZ24" s="12">
        <f>IF('Données projet'!$A$244&gt;35,FZ23+FY24-GH23,IF(A24&lt;'Données projet'!$A$244,$FW$205^A24,IF(A24='Données projet'!$A$244,'Données projet'!$B$244,FZ23+FY24-GH23)))</f>
        <v>98.834694582689295</v>
      </c>
      <c r="GA24" s="17">
        <f>FZ24*VLOOKUP('Données projet'!$B$17,Paramètres!$A$1:$I$89,3,0)*VLOOKUP('Données projet'!$B$17,Paramètres!$A$1:$I$89,5,0)</f>
        <v>59.103147360448204</v>
      </c>
      <c r="GB24" s="13">
        <f t="shared" si="49"/>
        <v>16.94131815778756</v>
      </c>
      <c r="GC24" s="20">
        <f t="shared" si="25"/>
        <v>132.44411077759398</v>
      </c>
      <c r="GD24" s="59">
        <f t="shared" si="26"/>
        <v>414.77744411092726</v>
      </c>
      <c r="GE24" s="59">
        <f ca="1">AVERAGE(OFFSET($GD$3,0,0,'Données projet'!$E$17+1,1))-AVERAGE(OFFSET($H$3,0,0,'Données projet'!$E$17+1,1))</f>
        <v>405.42845699663462</v>
      </c>
      <c r="GF24" s="59">
        <f t="shared" si="50"/>
        <v>292.26503163353146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9.1999999999999993</v>
      </c>
      <c r="N25" s="13">
        <f>IF('Données projet'!$A$36&gt;35,N24+M25-V24,IF(A25&lt;'Données projet'!$A$36,$K$205^A25,IF(A25='Données projet'!$A$36,'Données projet'!$B$36,N24+M25-V24)))</f>
        <v>121.1</v>
      </c>
      <c r="O25" s="13">
        <f>N25*VLOOKUP('Données projet'!$B$9,Paramètres!$A$1:$I$89,3,0)*VLOOKUP('Données projet'!$B$9,Paramètres!$A$1:$I$89,5,0)</f>
        <v>56.674799999999998</v>
      </c>
      <c r="P25" s="13">
        <f t="shared" si="33"/>
        <v>16.32478482217585</v>
      </c>
      <c r="Q25" s="20">
        <f t="shared" si="2"/>
        <v>127.1409435652896</v>
      </c>
      <c r="R25" s="59">
        <f t="shared" si="0"/>
        <v>410.69649912084515</v>
      </c>
      <c r="S25" s="59">
        <f ca="1">AVERAGE(OFFSET($R$3,0,0,'Données projet'!$E$9+1,1))-AVERAGE(OFFSET($H$3,0,0,'Données projet'!$E$9+1,1))</f>
        <v>198.26255998041</v>
      </c>
      <c r="T25" s="59">
        <f t="shared" si="34"/>
        <v>238.62101708181166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17.793700343389069</v>
      </c>
      <c r="AB25" s="21">
        <f>EXP(-LN(2)/2)*AB24+(1-EXP(-LN(2)/2))/(LN(2)/2)*V25*Y25*VLOOKUP('Données projet'!$B$9,Paramètres!$A$1:$I$89,3,0)*0.475*44/12</f>
        <v>0</v>
      </c>
      <c r="AC25" s="22">
        <f t="shared" si="3"/>
        <v>17.793700343389069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10.119999999999999</v>
      </c>
      <c r="AI25" s="13">
        <f>IF('Données projet'!$A$62&gt;35,AI24+AH25-AQ24,IF(A25&lt;'Données projet'!$A$62,$AF$205^A25,IF(A25='Données projet'!$A$62,'Données projet'!$B$62,AI24+AH25-AQ24)))</f>
        <v>130.24050114182094</v>
      </c>
      <c r="AJ25" s="13">
        <f>AI25*VLOOKUP('Données projet'!$B$10,Paramètres!$A$1:$I$89,3,0)*VLOOKUP('Données projet'!$B$10,Paramètres!$A$1:$I$89,5,0)</f>
        <v>72.804440138277911</v>
      </c>
      <c r="AK25" s="13">
        <f t="shared" si="35"/>
        <v>20.368298721866509</v>
      </c>
      <c r="AL25" s="20">
        <f t="shared" si="4"/>
        <v>162.27585351475153</v>
      </c>
      <c r="AM25" s="59">
        <f t="shared" si="5"/>
        <v>445.83140907030707</v>
      </c>
      <c r="AN25" s="59">
        <f ca="1">AVERAGE(OFFSET($AM$3,0,0,'Données projet'!$E$10+1,1))-AVERAGE(OFFSET($H$3,0,0,'Données projet'!$E$10+1,1))</f>
        <v>347.02720636703873</v>
      </c>
      <c r="AO25" s="59">
        <f t="shared" si="36"/>
        <v>394.03759949558702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16.399999999999999</v>
      </c>
      <c r="BD25" s="12">
        <f>IF('Données projet'!$A$88&gt;35,BD24+BC25-BL24,IF(A25&lt;'Données projet'!$A$88,$BA$205^A25,IF(A25='Données projet'!$A$88,'Données projet'!$B$88,BD24+BC25-BL24)))</f>
        <v>154.80000000000001</v>
      </c>
      <c r="BE25" s="13">
        <f>BD25*VLOOKUP('Données projet'!$B$11,Paramètres!$A$1:$I$89,3,0)*VLOOKUP('Données projet'!$B$11,Paramètres!$A$1:$I$89,5,0)</f>
        <v>92.570400000000021</v>
      </c>
      <c r="BF25" s="13">
        <f t="shared" si="37"/>
        <v>25.184123943972491</v>
      </c>
      <c r="BG25" s="20">
        <f t="shared" si="7"/>
        <v>205.0891292024188</v>
      </c>
      <c r="BH25" s="59">
        <f t="shared" si="8"/>
        <v>488.64468475797435</v>
      </c>
      <c r="BI25" s="59">
        <f ca="1">AVERAGE(OFFSET($BH$3,0,0,'Données projet'!$E$11+1,1))-AVERAGE(OFFSET($H$3,0,0,'Données projet'!$E$11+1,1))</f>
        <v>378.75660696651238</v>
      </c>
      <c r="BJ25" s="59">
        <f t="shared" si="38"/>
        <v>371.70674704563288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0.51467325322155599</v>
      </c>
      <c r="BQ25" s="21">
        <f>EXP(-LN(2)/25)*BQ24+(1-EXP(-LN(2)/25))/(LN(2)/25)*Calculateur!BL25*Calculateur!BN25*VLOOKUP('Données projet'!$B$11,Paramètres!$A$1:$I$89,3,0)*0.475*44/12</f>
        <v>8.6798732027108603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9.1945464559324162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2.1607142857142856</v>
      </c>
      <c r="BY25" s="12">
        <f>IF('Données projet'!$A$114&gt;35,BY24+BX25-CG24,IF(A25&lt;'Données projet'!$A$114,$BV$205^A25,IF(A25='Données projet'!$A$114,'Données projet'!$B$114,BY24+BX25-CG24)))</f>
        <v>47.53571428571427</v>
      </c>
      <c r="BZ25" s="13">
        <f>BY25*VLOOKUP('Données projet'!$B$12,Paramètres!$A$1:$I$89,3,0)*VLOOKUP('Données projet'!$B$12,Paramètres!$A$1:$I$89,5,0)</f>
        <v>48.201214285714279</v>
      </c>
      <c r="CA25" s="13">
        <f t="shared" si="39"/>
        <v>14.14822947686363</v>
      </c>
      <c r="CB25" s="20">
        <f t="shared" si="10"/>
        <v>108.59194788648983</v>
      </c>
      <c r="CC25" s="59">
        <f t="shared" si="11"/>
        <v>392.14750344204538</v>
      </c>
      <c r="CD25" s="59">
        <f ca="1">AVERAGE(OFFSET($CC$3,0,0,'Données projet'!$E$12+1,1))-AVERAGE(OFFSET($H$3,0,0,'Données projet'!$E$12+1,1))</f>
        <v>410.75375635525211</v>
      </c>
      <c r="CE25" s="59">
        <f t="shared" si="40"/>
        <v>183.55513001437367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3</v>
      </c>
      <c r="CT25" s="12">
        <f>IF('Données projet'!$A$140&gt;35,CT24+CS25-DB24,IF(A25&lt;'Données projet'!$A$140,$CQ$205^A25,IF(A25='Données projet'!$A$140,'Données projet'!$B$140,CT24+CS25-DB24)))</f>
        <v>66</v>
      </c>
      <c r="CU25" s="17">
        <f>CT25*VLOOKUP('Données projet'!$B$13,Paramètres!$A$1:$I$89,3,0)*VLOOKUP('Données projet'!$B$13,Paramètres!$A$1:$I$89,5,0)</f>
        <v>59.716799999999992</v>
      </c>
      <c r="CV25" s="13">
        <f t="shared" si="41"/>
        <v>17.096647463151516</v>
      </c>
      <c r="CW25" s="20">
        <f t="shared" si="13"/>
        <v>133.78342099832221</v>
      </c>
      <c r="CX25" s="59">
        <f t="shared" si="14"/>
        <v>417.33897655387773</v>
      </c>
      <c r="CY25" s="59">
        <f ca="1">AVERAGE(OFFSET($CX$3,0,0,'Données projet'!$E$13+1,1))-AVERAGE(OFFSET($H$3,0,0,'Données projet'!$E$13+1,1))</f>
        <v>436.12708882925142</v>
      </c>
      <c r="CZ25" s="59">
        <f t="shared" si="42"/>
        <v>217.65884352525285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9.1999999999999993</v>
      </c>
      <c r="DO25" s="12">
        <f>IF('Données projet'!$A$166&gt;35,DO24+DN25-DW24,IF(A25&lt;'Données projet'!$A$166,$DL$205^A25,IF(A25='Données projet'!$A$166,'Données projet'!$B$166,DO24+DN25-DW24)))</f>
        <v>126.40000000000002</v>
      </c>
      <c r="DP25" s="17">
        <f>DO25*VLOOKUP('Données projet'!$B$14,Paramètres!$A$1:$I$89,3,0)*VLOOKUP('Données projet'!$B$14,Paramètres!$A$1:$I$89,5,0)</f>
        <v>120.28224000000003</v>
      </c>
      <c r="DQ25" s="13">
        <f t="shared" si="43"/>
        <v>31.740818136156438</v>
      </c>
      <c r="DR25" s="20">
        <f t="shared" si="16"/>
        <v>264.77349292047251</v>
      </c>
      <c r="DS25" s="59">
        <f t="shared" si="17"/>
        <v>548.32904847602799</v>
      </c>
      <c r="DT25" s="59">
        <f ca="1">AVERAGE(OFFSET($DS$3,0,0,'Données projet'!$E$14+1,1))-AVERAGE(OFFSET($H$3,0,0,'Données projet'!$E$14+1,1))</f>
        <v>735.50267870886194</v>
      </c>
      <c r="DU25" s="59">
        <f t="shared" si="44"/>
        <v>525.80345400853275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2.1607142857142856</v>
      </c>
      <c r="EJ25" s="12">
        <f>IF('Données projet'!$A$192&gt;35,EJ24+EI25-ER24,IF(A25&lt;'Données projet'!$A$192,$EG$205^A25,IF(A25='Données projet'!$A$192,'Données projet'!$B$192,EJ24+EI25-ER24)))</f>
        <v>47.53571428571427</v>
      </c>
      <c r="EK25" s="17">
        <f>EJ25*VLOOKUP('Données projet'!$B$15,Paramètres!$A$1:$I$89,3,0)*VLOOKUP('Données projet'!$B$15,Paramètres!$A$1:$I$89,5,0)</f>
        <v>30.403842857142848</v>
      </c>
      <c r="EL25" s="13">
        <f t="shared" si="45"/>
        <v>9.4160264350107603</v>
      </c>
      <c r="EM25" s="20">
        <f t="shared" si="19"/>
        <v>69.352939017167543</v>
      </c>
      <c r="EN25" s="59">
        <f t="shared" si="20"/>
        <v>352.9084945727231</v>
      </c>
      <c r="EO25" s="59">
        <f ca="1">AVERAGE(OFFSET($EN$3,0,0,'Données projet'!$E$15+1,1))-AVERAGE(OFFSET($H$3,0,0,'Données projet'!$E$15+1,1))</f>
        <v>274.14900959323484</v>
      </c>
      <c r="EP25" s="59">
        <f t="shared" si="46"/>
        <v>130.44590390921582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>
        <f>VLOOKUP(A25,'Données projet'!$A$217:$I$237,2,0)</f>
        <v>123</v>
      </c>
      <c r="FC25" s="12">
        <f>VLOOKUP(A25,'Données projet'!$A$217:$I$237,9,0)</f>
        <v>5.5909090909090908</v>
      </c>
      <c r="FD25" s="12">
        <f t="array" ref="FD25">INDEX(FC:FC,MIN(IF(ISNUMBER(FC25:FC221),ROW(FC25:FC221),"")))</f>
        <v>5.5909090909090908</v>
      </c>
      <c r="FE25" s="12">
        <f>IF('Données projet'!$A$218&gt;35,FE24+FD25-FM24,IF(A25&lt;'Données projet'!$A$218,$FB$205^A25,IF(A25='Données projet'!$A$218,'Données projet'!$B$218,FE24+FD25-FM24)))</f>
        <v>123</v>
      </c>
      <c r="FF25" s="17">
        <f>FE25*VLOOKUP('Données projet'!$B$16,Paramètres!$A$1:$I$89,3,0)*VLOOKUP('Données projet'!$B$16,Paramètres!$A$1:$I$89,5,0)</f>
        <v>73.554000000000016</v>
      </c>
      <c r="FG25" s="13">
        <f t="shared" si="47"/>
        <v>20.553481077376691</v>
      </c>
      <c r="FH25" s="20">
        <f t="shared" si="22"/>
        <v>163.90386287643108</v>
      </c>
      <c r="FI25" s="59">
        <f t="shared" si="23"/>
        <v>447.45941843198659</v>
      </c>
      <c r="FJ25" s="59">
        <f ca="1">AVERAGE(OFFSET($FI$3,0,0,'Données projet'!$E$16+1,1))-AVERAGE(OFFSET($H$3,0,0,'Données projet'!$E$16+1,1))</f>
        <v>405.42845699663462</v>
      </c>
      <c r="FK25" s="59">
        <f t="shared" si="48"/>
        <v>292.26503163353146</v>
      </c>
      <c r="FL25" s="15">
        <f>IF(ISNA(VLOOKUP(A25,'Données projet'!$A$217:$I$237,3,0)),0,VLOOKUP(A25,'Données projet'!$A$217:$I$237,3,0))</f>
        <v>1</v>
      </c>
      <c r="FM25" s="15">
        <f>IF(ISNA(VLOOKUP(A25,'Données projet'!$A$217:$I$237,4,0)),0,VLOOKUP(A25,'Données projet'!$A$217:$I$237,4,0))</f>
        <v>16</v>
      </c>
      <c r="FN25" s="16">
        <f>IF(ISNA(VLOOKUP(A25,'Données projet'!$A$217:$I$237,5,0)),0%,VLOOKUP(A25,'Données projet'!$A$217:$I$237,5,0)*VLOOKUP('Données projet'!$B$16,Paramètres!$A$1:$I$89,7,0))</f>
        <v>4.5000000000000005E-2</v>
      </c>
      <c r="FO25" s="16">
        <f>IF(ISNA(VLOOKUP(A25,'Données projet'!$A$217:$I$237,6,0)),0%,VLOOKUP(A25,'Données projet'!$A$217:$I$237,6,0)*VLOOKUP('Données projet'!$B$16,Paramètres!$A$1:$I$89,7,0))</f>
        <v>0.36000000000000004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0.57116559193404848</v>
      </c>
      <c r="FR25" s="21">
        <f>EXP(-LN(2)/25)*FR24+(1-EXP(-LN(2)/25))/(LN(2)/25)*Calculateur!FM25*Calculateur!FO25*VLOOKUP('Données projet'!$B$16,Paramètres!$A$1:$I$89,3,0)*0.475*44/12</f>
        <v>4.5513335629396128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5.1224991548736609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>
        <f>VLOOKUP(A25,'Données projet'!$A$243:$I$263,2,0)</f>
        <v>123</v>
      </c>
      <c r="FX25" s="12">
        <f>VLOOKUP(A25,'Données projet'!$A$243:$I$263,9,0)</f>
        <v>5.5909090909090908</v>
      </c>
      <c r="FY25" s="12">
        <f t="array" ref="FY25">INDEX(FX:FX,MIN(IF(ISNUMBER(FX25:FX221),ROW(FX25:FX221),"")))</f>
        <v>5.5909090909090908</v>
      </c>
      <c r="FZ25" s="12">
        <f>IF('Données projet'!$A$244&gt;35,FZ24+FY25-GH24,IF(A25&lt;'Données projet'!$A$244,$FW$205^A25,IF(A25='Données projet'!$A$244,'Données projet'!$B$244,FZ24+FY25-GH24)))</f>
        <v>123</v>
      </c>
      <c r="GA25" s="17">
        <f>FZ25*VLOOKUP('Données projet'!$B$17,Paramètres!$A$1:$I$89,3,0)*VLOOKUP('Données projet'!$B$17,Paramètres!$A$1:$I$89,5,0)</f>
        <v>73.554000000000016</v>
      </c>
      <c r="GB25" s="13">
        <f t="shared" si="49"/>
        <v>20.553481077376691</v>
      </c>
      <c r="GC25" s="20">
        <f t="shared" si="25"/>
        <v>163.90386287643108</v>
      </c>
      <c r="GD25" s="59">
        <f t="shared" si="26"/>
        <v>447.45941843198659</v>
      </c>
      <c r="GE25" s="59">
        <f ca="1">AVERAGE(OFFSET($GD$3,0,0,'Données projet'!$E$17+1,1))-AVERAGE(OFFSET($H$3,0,0,'Données projet'!$E$17+1,1))</f>
        <v>405.42845699663462</v>
      </c>
      <c r="GF25" s="59">
        <f t="shared" si="50"/>
        <v>292.26503163353146</v>
      </c>
      <c r="GG25" s="15">
        <f>IF(ISNA(VLOOKUP(A25,'Données projet'!$A$243:$I$263,3,0)),0,VLOOKUP(A25,'Données projet'!$A$243:$I$263,3,0))</f>
        <v>1</v>
      </c>
      <c r="GH25" s="15">
        <f>IF(ISNA(VLOOKUP(A25,'Données projet'!$A$243:$I$263,4,0)),0,VLOOKUP(A25,'Données projet'!$A$243:$I$263,4,0))</f>
        <v>16</v>
      </c>
      <c r="GI25" s="16">
        <f>IF(ISNA(VLOOKUP(A25,'Données projet'!$A$243:$I$263,5,0)),0%,VLOOKUP(A25,'Données projet'!$A$243:$I$263,5,0)*VLOOKUP('Données projet'!$B$17,Paramètres!$A$1:$I$89,7,0))</f>
        <v>4.5000000000000005E-2</v>
      </c>
      <c r="GJ25" s="16">
        <f>IF(ISNA(VLOOKUP(A25,'Données projet'!$A$243:$I$263,6,0)),0%,VLOOKUP(A25,'Données projet'!$A$243:$I$263,6,0)*VLOOKUP('Données projet'!$B$17,Paramètres!$A$1:$I$89,7,0))</f>
        <v>0.36000000000000004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0.57116559193404848</v>
      </c>
      <c r="GM25" s="21">
        <f>EXP(-LN(2)/25)*GM24+(1-EXP(-LN(2)/25))/(LN(2)/25)*Calculateur!GH25*Calculateur!GJ25*VLOOKUP('Données projet'!$B$17,Paramètres!$A$1:$I$89,3,0)*0.475*44/12</f>
        <v>4.5513335629396128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5.1224991548736609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9.1999999999999993</v>
      </c>
      <c r="N26" s="13">
        <f>IF('Données projet'!$A$36&gt;35,N25+M26-V25,IF(A26&lt;'Données projet'!$A$36,$K$205^A26,IF(A26='Données projet'!$A$36,'Données projet'!$B$36,N25+M26-V25)))</f>
        <v>130.29999999999998</v>
      </c>
      <c r="O26" s="13">
        <f>N26*VLOOKUP('Données projet'!$B$9,Paramètres!$A$1:$I$89,3,0)*VLOOKUP('Données projet'!$B$9,Paramètres!$A$1:$I$89,5,0)</f>
        <v>60.980399999999996</v>
      </c>
      <c r="P26" s="13">
        <f t="shared" si="33"/>
        <v>17.415910586658711</v>
      </c>
      <c r="Q26" s="20">
        <f t="shared" si="2"/>
        <v>136.54024093843057</v>
      </c>
      <c r="R26" s="59">
        <f t="shared" si="0"/>
        <v>421.31801871620837</v>
      </c>
      <c r="S26" s="59">
        <f ca="1">AVERAGE(OFFSET($R$3,0,0,'Données projet'!$E$9+1,1))-AVERAGE(OFFSET($H$3,0,0,'Données projet'!$E$9+1,1))</f>
        <v>198.26255998041</v>
      </c>
      <c r="T26" s="59">
        <f t="shared" si="34"/>
        <v>238.62101708181166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17.307130671769063</v>
      </c>
      <c r="AB26" s="21">
        <f>EXP(-LN(2)/2)*AB25+(1-EXP(-LN(2)/2))/(LN(2)/2)*V26*Y26*VLOOKUP('Données projet'!$B$9,Paramètres!$A$1:$I$89,3,0)*0.475*44/12</f>
        <v>0</v>
      </c>
      <c r="AC26" s="22">
        <f t="shared" si="3"/>
        <v>17.307130671769063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10.119999999999999</v>
      </c>
      <c r="AI26" s="13">
        <f>IF('Données projet'!$A$62&gt;35,AI25+AH26-AQ25,IF(A26&lt;'Données projet'!$A$62,$AF$205^A26,IF(A26='Données projet'!$A$62,'Données projet'!$B$62,AI25+AH26-AQ25)))</f>
        <v>162.50655340931482</v>
      </c>
      <c r="AJ26" s="13">
        <f>AI26*VLOOKUP('Données projet'!$B$10,Paramètres!$A$1:$I$89,3,0)*VLOOKUP('Données projet'!$B$10,Paramètres!$A$1:$I$89,5,0)</f>
        <v>90.841163355806984</v>
      </c>
      <c r="AK26" s="13">
        <f t="shared" si="35"/>
        <v>24.767983371374214</v>
      </c>
      <c r="AL26" s="20">
        <f t="shared" si="4"/>
        <v>201.35259721650723</v>
      </c>
      <c r="AM26" s="59">
        <f t="shared" si="5"/>
        <v>486.13037499428503</v>
      </c>
      <c r="AN26" s="59">
        <f ca="1">AVERAGE(OFFSET($AM$3,0,0,'Données projet'!$E$10+1,1))-AVERAGE(OFFSET($H$3,0,0,'Données projet'!$E$10+1,1))</f>
        <v>347.02720636703873</v>
      </c>
      <c r="AO26" s="59">
        <f t="shared" si="36"/>
        <v>394.03759949558702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16.399999999999999</v>
      </c>
      <c r="BD26" s="12">
        <f>IF('Données projet'!$A$88&gt;35,BD25+BC26-BL25,IF(A26&lt;'Données projet'!$A$88,$BA$205^A26,IF(A26='Données projet'!$A$88,'Données projet'!$B$88,BD25+BC26-BL25)))</f>
        <v>171.20000000000002</v>
      </c>
      <c r="BE26" s="13">
        <f>BD26*VLOOKUP('Données projet'!$B$11,Paramètres!$A$1:$I$89,3,0)*VLOOKUP('Données projet'!$B$11,Paramètres!$A$1:$I$89,5,0)</f>
        <v>102.37760000000002</v>
      </c>
      <c r="BF26" s="13">
        <f t="shared" si="37"/>
        <v>27.527651005505614</v>
      </c>
      <c r="BG26" s="20">
        <f t="shared" si="7"/>
        <v>226.25164550125564</v>
      </c>
      <c r="BH26" s="59">
        <f t="shared" si="8"/>
        <v>511.02942327903338</v>
      </c>
      <c r="BI26" s="59">
        <f ca="1">AVERAGE(OFFSET($BH$3,0,0,'Données projet'!$E$11+1,1))-AVERAGE(OFFSET($H$3,0,0,'Données projet'!$E$11+1,1))</f>
        <v>378.75660696651238</v>
      </c>
      <c r="BJ26" s="59">
        <f t="shared" si="38"/>
        <v>371.70674704563288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0.50458082464556875</v>
      </c>
      <c r="BQ26" s="21">
        <f>EXP(-LN(2)/25)*BQ25+(1-EXP(-LN(2)/25))/(LN(2)/25)*Calculateur!BL26*Calculateur!BN26*VLOOKUP('Données projet'!$B$11,Paramètres!$A$1:$I$89,3,0)*0.475*44/12</f>
        <v>8.4425216135280383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8.9471024381736068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2.1607142857142856</v>
      </c>
      <c r="BY26" s="12">
        <f>IF('Données projet'!$A$114&gt;35,BY25+BX26-CG25,IF(A26&lt;'Données projet'!$A$114,$BV$205^A26,IF(A26='Données projet'!$A$114,'Données projet'!$B$114,BY25+BX26-CG25)))</f>
        <v>49.696428571428555</v>
      </c>
      <c r="BZ26" s="13">
        <f>BY26*VLOOKUP('Données projet'!$B$12,Paramètres!$A$1:$I$89,3,0)*VLOOKUP('Données projet'!$B$12,Paramètres!$A$1:$I$89,5,0)</f>
        <v>50.392178571428566</v>
      </c>
      <c r="CA26" s="13">
        <f t="shared" si="39"/>
        <v>14.714995389387798</v>
      </c>
      <c r="CB26" s="20">
        <f t="shared" si="10"/>
        <v>113.39499464842184</v>
      </c>
      <c r="CC26" s="59">
        <f t="shared" si="11"/>
        <v>398.17277242619963</v>
      </c>
      <c r="CD26" s="59">
        <f ca="1">AVERAGE(OFFSET($CC$3,0,0,'Données projet'!$E$12+1,1))-AVERAGE(OFFSET($H$3,0,0,'Données projet'!$E$12+1,1))</f>
        <v>410.75375635525211</v>
      </c>
      <c r="CE26" s="59">
        <f t="shared" si="40"/>
        <v>183.55513001437367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3</v>
      </c>
      <c r="CT26" s="12">
        <f>IF('Données projet'!$A$140&gt;35,CT25+CS26-DB25,IF(A26&lt;'Données projet'!$A$140,$CQ$205^A26,IF(A26='Données projet'!$A$140,'Données projet'!$B$140,CT25+CS26-DB25)))</f>
        <v>69</v>
      </c>
      <c r="CU26" s="17">
        <f>CT26*VLOOKUP('Données projet'!$B$13,Paramètres!$A$1:$I$89,3,0)*VLOOKUP('Données projet'!$B$13,Paramètres!$A$1:$I$89,5,0)</f>
        <v>62.431199999999997</v>
      </c>
      <c r="CV26" s="13">
        <f t="shared" si="41"/>
        <v>17.781524466058684</v>
      </c>
      <c r="CW26" s="20">
        <f t="shared" si="13"/>
        <v>139.70382844505221</v>
      </c>
      <c r="CX26" s="59">
        <f t="shared" si="14"/>
        <v>424.48160622283001</v>
      </c>
      <c r="CY26" s="59">
        <f ca="1">AVERAGE(OFFSET($CX$3,0,0,'Données projet'!$E$13+1,1))-AVERAGE(OFFSET($H$3,0,0,'Données projet'!$E$13+1,1))</f>
        <v>436.12708882925142</v>
      </c>
      <c r="CZ26" s="59">
        <f t="shared" si="42"/>
        <v>217.65884352525285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9.1999999999999993</v>
      </c>
      <c r="DO26" s="12">
        <f>IF('Données projet'!$A$166&gt;35,DO25+DN26-DW25,IF(A26&lt;'Données projet'!$A$166,$DL$205^A26,IF(A26='Données projet'!$A$166,'Données projet'!$B$166,DO25+DN26-DW25)))</f>
        <v>135.60000000000002</v>
      </c>
      <c r="DP26" s="17">
        <f>DO26*VLOOKUP('Données projet'!$B$14,Paramètres!$A$1:$I$89,3,0)*VLOOKUP('Données projet'!$B$14,Paramètres!$A$1:$I$89,5,0)</f>
        <v>129.03696000000002</v>
      </c>
      <c r="DQ26" s="13">
        <f t="shared" si="43"/>
        <v>33.77373285542037</v>
      </c>
      <c r="DR26" s="20">
        <f t="shared" si="16"/>
        <v>283.56195672319052</v>
      </c>
      <c r="DS26" s="59">
        <f t="shared" si="17"/>
        <v>568.33973450096823</v>
      </c>
      <c r="DT26" s="59">
        <f ca="1">AVERAGE(OFFSET($DS$3,0,0,'Données projet'!$E$14+1,1))-AVERAGE(OFFSET($H$3,0,0,'Données projet'!$E$14+1,1))</f>
        <v>735.50267870886194</v>
      </c>
      <c r="DU26" s="59">
        <f t="shared" si="44"/>
        <v>525.80345400853275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2.1607142857142856</v>
      </c>
      <c r="EJ26" s="12">
        <f>IF('Données projet'!$A$192&gt;35,EJ25+EI26-ER25,IF(A26&lt;'Données projet'!$A$192,$EG$205^A26,IF(A26='Données projet'!$A$192,'Données projet'!$B$192,EJ25+EI26-ER25)))</f>
        <v>49.696428571428555</v>
      </c>
      <c r="EK26" s="17">
        <f>EJ26*VLOOKUP('Données projet'!$B$15,Paramètres!$A$1:$I$89,3,0)*VLOOKUP('Données projet'!$B$15,Paramètres!$A$1:$I$89,5,0)</f>
        <v>31.785835714285703</v>
      </c>
      <c r="EL26" s="13">
        <f t="shared" si="45"/>
        <v>9.793224360978634</v>
      </c>
      <c r="EM26" s="20">
        <f t="shared" si="19"/>
        <v>72.416862964418712</v>
      </c>
      <c r="EN26" s="59">
        <f t="shared" si="20"/>
        <v>357.1946407421965</v>
      </c>
      <c r="EO26" s="59">
        <f ca="1">AVERAGE(OFFSET($EN$3,0,0,'Données projet'!$E$15+1,1))-AVERAGE(OFFSET($H$3,0,0,'Données projet'!$E$15+1,1))</f>
        <v>274.14900959323484</v>
      </c>
      <c r="EP26" s="59">
        <f t="shared" si="46"/>
        <v>130.44590390921582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12.333333333333334</v>
      </c>
      <c r="FE26" s="12">
        <f>IF('Données projet'!$A$218&gt;35,FE25+FD26-FM25,IF(A26&lt;'Données projet'!$A$218,$FB$205^A26,IF(A26='Données projet'!$A$218,'Données projet'!$B$218,FE25+FD26-FM25)))</f>
        <v>119.33333333333334</v>
      </c>
      <c r="FF26" s="17">
        <f>FE26*VLOOKUP('Données projet'!$B$16,Paramètres!$A$1:$I$89,3,0)*VLOOKUP('Données projet'!$B$16,Paramètres!$A$1:$I$89,5,0)</f>
        <v>71.361333333333349</v>
      </c>
      <c r="FG26" s="13">
        <f t="shared" si="47"/>
        <v>20.011144716858571</v>
      </c>
      <c r="FH26" s="20">
        <f t="shared" si="22"/>
        <v>159.14039927075092</v>
      </c>
      <c r="FI26" s="59">
        <f t="shared" si="23"/>
        <v>443.91817704852872</v>
      </c>
      <c r="FJ26" s="59">
        <f ca="1">AVERAGE(OFFSET($FI$3,0,0,'Données projet'!$E$16+1,1))-AVERAGE(OFFSET($H$3,0,0,'Données projet'!$E$16+1,1))</f>
        <v>405.42845699663462</v>
      </c>
      <c r="FK26" s="59">
        <f t="shared" si="48"/>
        <v>292.26503163353146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0.5599653830528335</v>
      </c>
      <c r="FR26" s="21">
        <f>EXP(-LN(2)/25)*FR25+(1-EXP(-LN(2)/25))/(LN(2)/25)*Calculateur!FM26*Calculateur!FO26*VLOOKUP('Données projet'!$B$16,Paramètres!$A$1:$I$89,3,0)*0.475*44/12</f>
        <v>4.4268771073167992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4.9868424903696322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12.333333333333334</v>
      </c>
      <c r="FZ26" s="12">
        <f>IF('Données projet'!$A$244&gt;35,FZ25+FY26-GH25,IF(A26&lt;'Données projet'!$A$244,$FW$205^A26,IF(A26='Données projet'!$A$244,'Données projet'!$B$244,FZ25+FY26-GH25)))</f>
        <v>119.33333333333334</v>
      </c>
      <c r="GA26" s="17">
        <f>FZ26*VLOOKUP('Données projet'!$B$17,Paramètres!$A$1:$I$89,3,0)*VLOOKUP('Données projet'!$B$17,Paramètres!$A$1:$I$89,5,0)</f>
        <v>71.361333333333349</v>
      </c>
      <c r="GB26" s="13">
        <f t="shared" si="49"/>
        <v>20.011144716858571</v>
      </c>
      <c r="GC26" s="20">
        <f t="shared" si="25"/>
        <v>159.14039927075092</v>
      </c>
      <c r="GD26" s="59">
        <f t="shared" si="26"/>
        <v>443.91817704852872</v>
      </c>
      <c r="GE26" s="59">
        <f ca="1">AVERAGE(OFFSET($GD$3,0,0,'Données projet'!$E$17+1,1))-AVERAGE(OFFSET($H$3,0,0,'Données projet'!$E$17+1,1))</f>
        <v>405.42845699663462</v>
      </c>
      <c r="GF26" s="59">
        <f t="shared" si="50"/>
        <v>292.26503163353146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0.5599653830528335</v>
      </c>
      <c r="GM26" s="21">
        <f>EXP(-LN(2)/25)*GM25+(1-EXP(-LN(2)/25))/(LN(2)/25)*Calculateur!GH26*Calculateur!GJ26*VLOOKUP('Données projet'!$B$17,Paramètres!$A$1:$I$89,3,0)*0.475*44/12</f>
        <v>4.4268771073167992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4.9868424903696322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9.1999999999999993</v>
      </c>
      <c r="N27" s="13">
        <f>IF('Données projet'!$A$36&gt;35,N26+M27-V26,IF(A27&lt;'Données projet'!$A$36,$K$205^A27,IF(A27='Données projet'!$A$36,'Données projet'!$B$36,N26+M27-V26)))</f>
        <v>139.49999999999997</v>
      </c>
      <c r="O27" s="13">
        <f>N27*VLOOKUP('Données projet'!$B$9,Paramètres!$A$1:$I$89,3,0)*VLOOKUP('Données projet'!$B$9,Paramètres!$A$1:$I$89,5,0)</f>
        <v>65.285999999999987</v>
      </c>
      <c r="P27" s="13">
        <f t="shared" si="33"/>
        <v>18.498097767862411</v>
      </c>
      <c r="Q27" s="20">
        <f t="shared" si="2"/>
        <v>145.923970279027</v>
      </c>
      <c r="R27" s="59">
        <f t="shared" si="0"/>
        <v>431.923970279027</v>
      </c>
      <c r="S27" s="59">
        <f ca="1">AVERAGE(OFFSET($R$3,0,0,'Données projet'!$E$9+1,1))-AVERAGE(OFFSET($H$3,0,0,'Données projet'!$E$9+1,1))</f>
        <v>198.26255998041</v>
      </c>
      <c r="T27" s="59">
        <f t="shared" si="34"/>
        <v>238.62101708181166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16.833866273407093</v>
      </c>
      <c r="AB27" s="21">
        <f>EXP(-LN(2)/2)*AB26+(1-EXP(-LN(2)/2))/(LN(2)/2)*V27*Y27*VLOOKUP('Données projet'!$B$9,Paramètres!$A$1:$I$89,3,0)*0.475*44/12</f>
        <v>0</v>
      </c>
      <c r="AC27" s="22">
        <f t="shared" si="3"/>
        <v>16.833866273407093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10.119999999999999</v>
      </c>
      <c r="AI27" s="13">
        <f>IF('Données projet'!$A$62&gt;35,AI26+AH27-AQ26,IF(A27&lt;'Données projet'!$A$62,$AF$205^A27,IF(A27='Données projet'!$A$62,'Données projet'!$B$62,AI26+AH27-AQ26)))</f>
        <v>202.76626448341133</v>
      </c>
      <c r="AJ27" s="13">
        <f>AI27*VLOOKUP('Données projet'!$B$10,Paramètres!$A$1:$I$89,3,0)*VLOOKUP('Données projet'!$B$10,Paramètres!$A$1:$I$89,5,0)</f>
        <v>113.34634184622693</v>
      </c>
      <c r="AK27" s="13">
        <f t="shared" si="35"/>
        <v>30.118028445158924</v>
      </c>
      <c r="AL27" s="20">
        <f t="shared" si="4"/>
        <v>249.86711159083032</v>
      </c>
      <c r="AM27" s="59">
        <f t="shared" si="5"/>
        <v>535.86711159083029</v>
      </c>
      <c r="AN27" s="59">
        <f ca="1">AVERAGE(OFFSET($AM$3,0,0,'Données projet'!$E$10+1,1))-AVERAGE(OFFSET($H$3,0,0,'Données projet'!$E$10+1,1))</f>
        <v>347.02720636703873</v>
      </c>
      <c r="AO27" s="59">
        <f t="shared" si="36"/>
        <v>394.03759949558702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16.399999999999999</v>
      </c>
      <c r="BD27" s="12">
        <f>IF('Données projet'!$A$88&gt;35,BD26+BC27-BL26,IF(A27&lt;'Données projet'!$A$88,$BA$205^A27,IF(A27='Données projet'!$A$88,'Données projet'!$B$88,BD26+BC27-BL26)))</f>
        <v>187.60000000000002</v>
      </c>
      <c r="BE27" s="13">
        <f>BD27*VLOOKUP('Données projet'!$B$11,Paramètres!$A$1:$I$89,3,0)*VLOOKUP('Données projet'!$B$11,Paramètres!$A$1:$I$89,5,0)</f>
        <v>112.18480000000002</v>
      </c>
      <c r="BF27" s="13">
        <f t="shared" si="37"/>
        <v>29.845149809641946</v>
      </c>
      <c r="BG27" s="20">
        <f t="shared" si="7"/>
        <v>247.36882925179307</v>
      </c>
      <c r="BH27" s="59">
        <f t="shared" si="8"/>
        <v>533.36882925179304</v>
      </c>
      <c r="BI27" s="59">
        <f ca="1">AVERAGE(OFFSET($BH$3,0,0,'Données projet'!$E$11+1,1))-AVERAGE(OFFSET($H$3,0,0,'Données projet'!$E$11+1,1))</f>
        <v>378.75660696651238</v>
      </c>
      <c r="BJ27" s="59">
        <f t="shared" si="38"/>
        <v>371.70674704563288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0.49468630243818301</v>
      </c>
      <c r="BQ27" s="21">
        <f>EXP(-LN(2)/25)*BQ26+(1-EXP(-LN(2)/25))/(LN(2)/25)*Calculateur!BL27*Calculateur!BN27*VLOOKUP('Données projet'!$B$11,Paramètres!$A$1:$I$89,3,0)*0.475*44/12</f>
        <v>8.2116604160331974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8.7063467184713801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2.1607142857142856</v>
      </c>
      <c r="BY27" s="12">
        <f>IF('Données projet'!$A$114&gt;35,BY26+BX27-CG26,IF(A27&lt;'Données projet'!$A$114,$BV$205^A27,IF(A27='Données projet'!$A$114,'Données projet'!$B$114,BY26+BX27-CG26)))</f>
        <v>51.85714285714284</v>
      </c>
      <c r="BZ27" s="13">
        <f>BY27*VLOOKUP('Données projet'!$B$12,Paramètres!$A$1:$I$89,3,0)*VLOOKUP('Données projet'!$B$12,Paramètres!$A$1:$I$89,5,0)</f>
        <v>52.583142857142846</v>
      </c>
      <c r="CA27" s="13">
        <f t="shared" si="39"/>
        <v>15.278899267227944</v>
      </c>
      <c r="CB27" s="20">
        <f t="shared" si="10"/>
        <v>118.19305669994577</v>
      </c>
      <c r="CC27" s="59">
        <f t="shared" si="11"/>
        <v>404.19305669994577</v>
      </c>
      <c r="CD27" s="59">
        <f ca="1">AVERAGE(OFFSET($CC$3,0,0,'Données projet'!$E$12+1,1))-AVERAGE(OFFSET($H$3,0,0,'Données projet'!$E$12+1,1))</f>
        <v>410.75375635525211</v>
      </c>
      <c r="CE27" s="59">
        <f t="shared" si="40"/>
        <v>183.55513001437367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3</v>
      </c>
      <c r="CT27" s="12">
        <f>IF('Données projet'!$A$140&gt;35,CT26+CS27-DB26,IF(A27&lt;'Données projet'!$A$140,$CQ$205^A27,IF(A27='Données projet'!$A$140,'Données projet'!$B$140,CT26+CS27-DB26)))</f>
        <v>72</v>
      </c>
      <c r="CU27" s="17">
        <f>CT27*VLOOKUP('Données projet'!$B$13,Paramètres!$A$1:$I$89,3,0)*VLOOKUP('Données projet'!$B$13,Paramètres!$A$1:$I$89,5,0)</f>
        <v>65.145600000000002</v>
      </c>
      <c r="CV27" s="13">
        <f t="shared" si="41"/>
        <v>18.462943001028204</v>
      </c>
      <c r="CW27" s="20">
        <f t="shared" si="13"/>
        <v>145.61821239345747</v>
      </c>
      <c r="CX27" s="59">
        <f t="shared" si="14"/>
        <v>431.6182123934575</v>
      </c>
      <c r="CY27" s="59">
        <f ca="1">AVERAGE(OFFSET($CX$3,0,0,'Données projet'!$E$13+1,1))-AVERAGE(OFFSET($H$3,0,0,'Données projet'!$E$13+1,1))</f>
        <v>436.12708882925142</v>
      </c>
      <c r="CZ27" s="59">
        <f t="shared" si="42"/>
        <v>217.65884352525285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9.1999999999999993</v>
      </c>
      <c r="DO27" s="12">
        <f>IF('Données projet'!$A$166&gt;35,DO26+DN27-DW26,IF(A27&lt;'Données projet'!$A$166,$DL$205^A27,IF(A27='Données projet'!$A$166,'Données projet'!$B$166,DO26+DN27-DW26)))</f>
        <v>144.80000000000001</v>
      </c>
      <c r="DP27" s="17">
        <f>DO27*VLOOKUP('Données projet'!$B$14,Paramètres!$A$1:$I$89,3,0)*VLOOKUP('Données projet'!$B$14,Paramètres!$A$1:$I$89,5,0)</f>
        <v>137.79168000000001</v>
      </c>
      <c r="DQ27" s="13">
        <f t="shared" si="43"/>
        <v>35.790643217159939</v>
      </c>
      <c r="DR27" s="20">
        <f t="shared" si="16"/>
        <v>302.32254626988691</v>
      </c>
      <c r="DS27" s="59">
        <f t="shared" si="17"/>
        <v>588.32254626988697</v>
      </c>
      <c r="DT27" s="59">
        <f ca="1">AVERAGE(OFFSET($DS$3,0,0,'Données projet'!$E$14+1,1))-AVERAGE(OFFSET($H$3,0,0,'Données projet'!$E$14+1,1))</f>
        <v>735.50267870886194</v>
      </c>
      <c r="DU27" s="59">
        <f t="shared" si="44"/>
        <v>525.80345400853275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2.1607142857142856</v>
      </c>
      <c r="EJ27" s="12">
        <f>IF('Données projet'!$A$192&gt;35,EJ26+EI27-ER26,IF(A27&lt;'Données projet'!$A$192,$EG$205^A27,IF(A27='Données projet'!$A$192,'Données projet'!$B$192,EJ26+EI27-ER26)))</f>
        <v>51.85714285714284</v>
      </c>
      <c r="EK27" s="17">
        <f>EJ27*VLOOKUP('Données projet'!$B$15,Paramètres!$A$1:$I$89,3,0)*VLOOKUP('Données projet'!$B$15,Paramètres!$A$1:$I$89,5,0)</f>
        <v>33.167828571428558</v>
      </c>
      <c r="EL27" s="13">
        <f t="shared" si="45"/>
        <v>10.168517526051399</v>
      </c>
      <c r="EM27" s="20">
        <f t="shared" si="19"/>
        <v>75.477469453110928</v>
      </c>
      <c r="EN27" s="59">
        <f t="shared" si="20"/>
        <v>361.47746945311093</v>
      </c>
      <c r="EO27" s="59">
        <f ca="1">AVERAGE(OFFSET($EN$3,0,0,'Données projet'!$E$15+1,1))-AVERAGE(OFFSET($H$3,0,0,'Données projet'!$E$15+1,1))</f>
        <v>274.14900959323484</v>
      </c>
      <c r="EP27" s="59">
        <f t="shared" si="46"/>
        <v>130.44590390921582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12.333333333333334</v>
      </c>
      <c r="FE27" s="12">
        <f>IF('Données projet'!$A$218&gt;35,FE26+FD27-FM26,IF(A27&lt;'Données projet'!$A$218,$FB$205^A27,IF(A27='Données projet'!$A$218,'Données projet'!$B$218,FE26+FD27-FM26)))</f>
        <v>131.66666666666669</v>
      </c>
      <c r="FF27" s="17">
        <f>FE27*VLOOKUP('Données projet'!$B$16,Paramètres!$A$1:$I$89,3,0)*VLOOKUP('Données projet'!$B$16,Paramètres!$A$1:$I$89,5,0)</f>
        <v>78.736666666666679</v>
      </c>
      <c r="FG27" s="13">
        <f t="shared" si="47"/>
        <v>21.828006984037064</v>
      </c>
      <c r="FH27" s="20">
        <f t="shared" si="22"/>
        <v>175.15013994164235</v>
      </c>
      <c r="FI27" s="59">
        <f t="shared" si="23"/>
        <v>461.15013994164235</v>
      </c>
      <c r="FJ27" s="59">
        <f ca="1">AVERAGE(OFFSET($FI$3,0,0,'Données projet'!$E$16+1,1))-AVERAGE(OFFSET($H$3,0,0,'Données projet'!$E$16+1,1))</f>
        <v>405.42845699663462</v>
      </c>
      <c r="FK27" s="59">
        <f t="shared" si="48"/>
        <v>292.26503163353146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0.54898480343632627</v>
      </c>
      <c r="FR27" s="21">
        <f>EXP(-LN(2)/25)*FR26+(1-EXP(-LN(2)/25))/(LN(2)/25)*Calculateur!FM27*Calculateur!FO27*VLOOKUP('Données projet'!$B$16,Paramètres!$A$1:$I$89,3,0)*0.475*44/12</f>
        <v>4.3058239200178718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4.8548087234541981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12.333333333333334</v>
      </c>
      <c r="FZ27" s="12">
        <f>IF('Données projet'!$A$244&gt;35,FZ26+FY27-GH26,IF(A27&lt;'Données projet'!$A$244,$FW$205^A27,IF(A27='Données projet'!$A$244,'Données projet'!$B$244,FZ26+FY27-GH26)))</f>
        <v>131.66666666666669</v>
      </c>
      <c r="GA27" s="17">
        <f>FZ27*VLOOKUP('Données projet'!$B$17,Paramètres!$A$1:$I$89,3,0)*VLOOKUP('Données projet'!$B$17,Paramètres!$A$1:$I$89,5,0)</f>
        <v>78.736666666666679</v>
      </c>
      <c r="GB27" s="13">
        <f t="shared" si="49"/>
        <v>21.828006984037064</v>
      </c>
      <c r="GC27" s="20">
        <f t="shared" si="25"/>
        <v>175.15013994164235</v>
      </c>
      <c r="GD27" s="59">
        <f t="shared" si="26"/>
        <v>461.15013994164235</v>
      </c>
      <c r="GE27" s="59">
        <f ca="1">AVERAGE(OFFSET($GD$3,0,0,'Données projet'!$E$17+1,1))-AVERAGE(OFFSET($H$3,0,0,'Données projet'!$E$17+1,1))</f>
        <v>405.42845699663462</v>
      </c>
      <c r="GF27" s="59">
        <f t="shared" si="50"/>
        <v>292.26503163353146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0.54898480343632627</v>
      </c>
      <c r="GM27" s="21">
        <f>EXP(-LN(2)/25)*GM26+(1-EXP(-LN(2)/25))/(LN(2)/25)*Calculateur!GH27*Calculateur!GJ27*VLOOKUP('Données projet'!$B$17,Paramètres!$A$1:$I$89,3,0)*0.475*44/12</f>
        <v>4.3058239200178718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4.8548087234541981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9.1999999999999993</v>
      </c>
      <c r="N28" s="13">
        <f>IF('Données projet'!$A$36&gt;35,N27+M28-V27,IF(A28&lt;'Données projet'!$A$36,$K$205^A28,IF(A28='Données projet'!$A$36,'Données projet'!$B$36,N27+M28-V27)))</f>
        <v>148.69999999999996</v>
      </c>
      <c r="O28" s="13">
        <f>N28*VLOOKUP('Données projet'!$B$9,Paramètres!$A$1:$I$89,3,0)*VLOOKUP('Données projet'!$B$9,Paramètres!$A$1:$I$89,5,0)</f>
        <v>69.591599999999985</v>
      </c>
      <c r="P28" s="13">
        <f t="shared" si="33"/>
        <v>19.572002944803202</v>
      </c>
      <c r="Q28" s="20">
        <f t="shared" si="2"/>
        <v>155.29327512886556</v>
      </c>
      <c r="R28" s="59">
        <f t="shared" si="0"/>
        <v>442.51549735108779</v>
      </c>
      <c r="S28" s="59">
        <f ca="1">AVERAGE(OFFSET($R$3,0,0,'Données projet'!$E$9+1,1))-AVERAGE(OFFSET($H$3,0,0,'Données projet'!$E$9+1,1))</f>
        <v>198.26255998041</v>
      </c>
      <c r="T28" s="59">
        <f t="shared" si="34"/>
        <v>238.62101708181166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16.373543314906222</v>
      </c>
      <c r="AB28" s="21">
        <f>EXP(-LN(2)/2)*AB27+(1-EXP(-LN(2)/2))/(LN(2)/2)*V28*Y28*VLOOKUP('Données projet'!$B$9,Paramètres!$A$1:$I$89,3,0)*0.475*44/12</f>
        <v>0</v>
      </c>
      <c r="AC28" s="22">
        <f t="shared" si="3"/>
        <v>16.373543314906222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253</v>
      </c>
      <c r="AG28" s="12">
        <f>VLOOKUP(A28,'Données projet'!$A$61:$I$81,9,0)</f>
        <v>10.119999999999999</v>
      </c>
      <c r="AH28" s="12">
        <f t="array" ref="AH28">INDEX(AG:AG,MIN(IF(ISNUMBER(AG28:AG224),ROW(AG28:AG224),"")))</f>
        <v>10.119999999999999</v>
      </c>
      <c r="AI28" s="13">
        <f>IF('Données projet'!$A$62&gt;35,AI27+AH28-AQ27,IF(A28&lt;'Données projet'!$A$62,$AF$205^A28,IF(A28='Données projet'!$A$62,'Données projet'!$B$62,AI27+AH28-AQ27)))</f>
        <v>253</v>
      </c>
      <c r="AJ28" s="13">
        <f>AI28*VLOOKUP('Données projet'!$B$10,Paramètres!$A$1:$I$89,3,0)*VLOOKUP('Données projet'!$B$10,Paramètres!$A$1:$I$89,5,0)</f>
        <v>141.42699999999999</v>
      </c>
      <c r="AK28" s="13">
        <f t="shared" si="35"/>
        <v>36.623717959686019</v>
      </c>
      <c r="AL28" s="20">
        <f t="shared" si="4"/>
        <v>310.10500044645312</v>
      </c>
      <c r="AM28" s="59">
        <f t="shared" si="5"/>
        <v>597.3272226686754</v>
      </c>
      <c r="AN28" s="59">
        <f ca="1">AVERAGE(OFFSET($AM$3,0,0,'Données projet'!$E$10+1,1))-AVERAGE(OFFSET($H$3,0,0,'Données projet'!$E$10+1,1))</f>
        <v>347.02720636703873</v>
      </c>
      <c r="AO28" s="59">
        <f t="shared" si="36"/>
        <v>394.03759949558702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59</v>
      </c>
      <c r="AR28" s="16">
        <f>IF(ISNA(VLOOKUP(A28,'Données projet'!$A$61:$I$81,5,0)),0%,VLOOKUP(A28,'Données projet'!$A$61:$I$81,5,0)*VLOOKUP('Données projet'!$B$10,Paramètres!$A$1:$I$89,7,0))</f>
        <v>5.5000000000000007E-2</v>
      </c>
      <c r="AS28" s="16">
        <f>IF(ISNA(VLOOKUP(A28,'Données projet'!$A$61:$I$81,6,0)),0%,VLOOKUP(A28,'Données projet'!$A$61:$I$81,6,0)*VLOOKUP('Données projet'!$B$10,Paramètres!$A$1:$I$89,7,0))</f>
        <v>0.44000000000000006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2.4063282267668318</v>
      </c>
      <c r="AV28" s="21">
        <f>EXP(-LN(2)/25)*AV27+(1-EXP(-LN(2)/25))/(LN(2)/25)*Calculateur!AQ28*Calculateur!AS28*VLOOKUP('Données projet'!$B$10,Paramètres!$A$1:$I$89,3,0)*0.475*44/12</f>
        <v>19.174828765240907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21.581156992007738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204</v>
      </c>
      <c r="BB28" s="12">
        <f>VLOOKUP(A28,'Données projet'!$A$87:$I$107,9,0)</f>
        <v>16.399999999999999</v>
      </c>
      <c r="BC28" s="12">
        <f t="array" ref="BC28">INDEX(BB:BB,MIN(IF(ISNUMBER(BB28:BB224),ROW(BB28:BB224),"")))</f>
        <v>16.399999999999999</v>
      </c>
      <c r="BD28" s="12">
        <f>IF('Données projet'!$A$88&gt;35,BD27+BC28-BL27,IF(A28&lt;'Données projet'!$A$88,$BA$205^A28,IF(A28='Données projet'!$A$88,'Données projet'!$B$88,BD27+BC28-BL27)))</f>
        <v>204.00000000000003</v>
      </c>
      <c r="BE28" s="13">
        <f>BD28*VLOOKUP('Données projet'!$B$11,Paramètres!$A$1:$I$89,3,0)*VLOOKUP('Données projet'!$B$11,Paramètres!$A$1:$I$89,5,0)</f>
        <v>121.99200000000003</v>
      </c>
      <c r="BF28" s="13">
        <f t="shared" si="37"/>
        <v>32.139154469866327</v>
      </c>
      <c r="BG28" s="20">
        <f t="shared" si="7"/>
        <v>268.44509403501723</v>
      </c>
      <c r="BH28" s="59">
        <f t="shared" si="8"/>
        <v>555.66731625723946</v>
      </c>
      <c r="BI28" s="59">
        <f ca="1">AVERAGE(OFFSET($BH$3,0,0,'Données projet'!$E$11+1,1))-AVERAGE(OFFSET($H$3,0,0,'Données projet'!$E$11+1,1))</f>
        <v>378.75660696651238</v>
      </c>
      <c r="BJ28" s="59">
        <f t="shared" si="38"/>
        <v>371.70674704563288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36</v>
      </c>
      <c r="BM28" s="16">
        <f>IF(ISNA(VLOOKUP(A28,'Données projet'!$A$87:$I$107,5,0)),0%,VLOOKUP(A28,'Données projet'!$A$87:$I$107,5,0)*VLOOKUP('Données projet'!$B$11,Paramètres!$A$1:$I$89,7,0))</f>
        <v>4.5000000000000005E-2</v>
      </c>
      <c r="BN28" s="16">
        <f>IF(ISNA(VLOOKUP(A28,'Données projet'!$A$87:$I$107,6,0)),0%,VLOOKUP(A28,'Données projet'!$A$87:$I$107,6,0)*VLOOKUP('Données projet'!$B$11,Paramètres!$A$1:$I$89,7,0))</f>
        <v>0.36000000000000004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1.7701083876278305</v>
      </c>
      <c r="BQ28" s="21">
        <f>EXP(-LN(2)/25)*BQ27+(1-EXP(-LN(2)/25))/(LN(2)/25)*Calculateur!BL28*Calculateur!BN28*VLOOKUP('Données projet'!$B$11,Paramètres!$A$1:$I$89,3,0)*0.475*44/12</f>
        <v>18.22761264673845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19.997721034366279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2.1607142857142856</v>
      </c>
      <c r="BY28" s="12">
        <f>IF('Données projet'!$A$114&gt;35,BY27+BX28-CG27,IF(A28&lt;'Données projet'!$A$114,$BV$205^A28,IF(A28='Données projet'!$A$114,'Données projet'!$B$114,BY27+BX28-CG27)))</f>
        <v>54.017857142857125</v>
      </c>
      <c r="BZ28" s="13">
        <f>BY28*VLOOKUP('Données projet'!$B$12,Paramètres!$A$1:$I$89,3,0)*VLOOKUP('Données projet'!$B$12,Paramètres!$A$1:$I$89,5,0)</f>
        <v>54.774107142857126</v>
      </c>
      <c r="CA28" s="13">
        <f t="shared" si="39"/>
        <v>15.840073998796569</v>
      </c>
      <c r="CB28" s="20">
        <f t="shared" si="10"/>
        <v>122.98636548838016</v>
      </c>
      <c r="CC28" s="59">
        <f t="shared" si="11"/>
        <v>410.20858771060239</v>
      </c>
      <c r="CD28" s="59">
        <f ca="1">AVERAGE(OFFSET($CC$3,0,0,'Données projet'!$E$12+1,1))-AVERAGE(OFFSET($H$3,0,0,'Données projet'!$E$12+1,1))</f>
        <v>410.75375635525211</v>
      </c>
      <c r="CE28" s="59">
        <f t="shared" si="40"/>
        <v>183.55513001437367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3</v>
      </c>
      <c r="CT28" s="12">
        <f>IF('Données projet'!$A$140&gt;35,CT27+CS28-DB27,IF(A28&lt;'Données projet'!$A$140,$CQ$205^A28,IF(A28='Données projet'!$A$140,'Données projet'!$B$140,CT27+CS28-DB27)))</f>
        <v>75</v>
      </c>
      <c r="CU28" s="17">
        <f>CT28*VLOOKUP('Données projet'!$B$13,Paramètres!$A$1:$I$89,3,0)*VLOOKUP('Données projet'!$B$13,Paramètres!$A$1:$I$89,5,0)</f>
        <v>67.86</v>
      </c>
      <c r="CV28" s="13">
        <f t="shared" si="41"/>
        <v>19.141063649731766</v>
      </c>
      <c r="CW28" s="20">
        <f t="shared" si="13"/>
        <v>151.52685252328283</v>
      </c>
      <c r="CX28" s="59">
        <f t="shared" si="14"/>
        <v>438.74907474550503</v>
      </c>
      <c r="CY28" s="59">
        <f ca="1">AVERAGE(OFFSET($CX$3,0,0,'Données projet'!$E$13+1,1))-AVERAGE(OFFSET($H$3,0,0,'Données projet'!$E$13+1,1))</f>
        <v>436.12708882925142</v>
      </c>
      <c r="CZ28" s="59">
        <f t="shared" si="42"/>
        <v>217.65884352525285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154</v>
      </c>
      <c r="DM28" s="12">
        <f>VLOOKUP(A28,'Données projet'!$A$165:$I$185,9,0)</f>
        <v>9.1999999999999993</v>
      </c>
      <c r="DN28" s="12">
        <f t="array" ref="DN28">INDEX(DM:DM,MIN(IF(ISNUMBER(DM28:DM224),ROW(DM28:DM224),"")))</f>
        <v>9.1999999999999993</v>
      </c>
      <c r="DO28" s="12">
        <f>IF('Données projet'!$A$166&gt;35,DO27+DN28-DW27,IF(A28&lt;'Données projet'!$A$166,$DL$205^A28,IF(A28='Données projet'!$A$166,'Données projet'!$B$166,DO27+DN28-DW27)))</f>
        <v>154</v>
      </c>
      <c r="DP28" s="17">
        <f>DO28*VLOOKUP('Données projet'!$B$14,Paramètres!$A$1:$I$89,3,0)*VLOOKUP('Données projet'!$B$14,Paramètres!$A$1:$I$89,5,0)</f>
        <v>146.54640000000001</v>
      </c>
      <c r="DQ28" s="13">
        <f t="shared" si="43"/>
        <v>37.7926818187577</v>
      </c>
      <c r="DR28" s="20">
        <f t="shared" si="16"/>
        <v>321.05723416766966</v>
      </c>
      <c r="DS28" s="59">
        <f t="shared" si="17"/>
        <v>608.27945638989195</v>
      </c>
      <c r="DT28" s="59">
        <f ca="1">AVERAGE(OFFSET($DS$3,0,0,'Données projet'!$E$14+1,1))-AVERAGE(OFFSET($H$3,0,0,'Données projet'!$E$14+1,1))</f>
        <v>735.50267870886194</v>
      </c>
      <c r="DU28" s="59">
        <f t="shared" si="44"/>
        <v>525.80345400853275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20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2.1607142857142856</v>
      </c>
      <c r="EJ28" s="12">
        <f>IF('Données projet'!$A$192&gt;35,EJ27+EI28-ER27,IF(A28&lt;'Données projet'!$A$192,$EG$205^A28,IF(A28='Données projet'!$A$192,'Données projet'!$B$192,EJ27+EI28-ER27)))</f>
        <v>54.017857142857125</v>
      </c>
      <c r="EK28" s="17">
        <f>EJ28*VLOOKUP('Données projet'!$B$15,Paramètres!$A$1:$I$89,3,0)*VLOOKUP('Données projet'!$B$15,Paramètres!$A$1:$I$89,5,0)</f>
        <v>34.54982142857142</v>
      </c>
      <c r="EL28" s="13">
        <f t="shared" si="45"/>
        <v>10.541994371034102</v>
      </c>
      <c r="EM28" s="20">
        <f t="shared" si="19"/>
        <v>78.534912517646276</v>
      </c>
      <c r="EN28" s="59">
        <f t="shared" si="20"/>
        <v>365.75713473986849</v>
      </c>
      <c r="EO28" s="59">
        <f ca="1">AVERAGE(OFFSET($EN$3,0,0,'Données projet'!$E$15+1,1))-AVERAGE(OFFSET($H$3,0,0,'Données projet'!$E$15+1,1))</f>
        <v>274.14900959323484</v>
      </c>
      <c r="EP28" s="59">
        <f t="shared" si="46"/>
        <v>130.44590390921582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144</v>
      </c>
      <c r="FC28" s="12">
        <f>VLOOKUP(A28,'Données projet'!$A$217:$I$237,9,0)</f>
        <v>12.333333333333334</v>
      </c>
      <c r="FD28" s="12">
        <f t="array" ref="FD28">INDEX(FC:FC,MIN(IF(ISNUMBER(FC28:FC224),ROW(FC28:FC224),"")))</f>
        <v>12.333333333333334</v>
      </c>
      <c r="FE28" s="12">
        <f>IF('Données projet'!$A$218&gt;35,FE27+FD28-FM27,IF(A28&lt;'Données projet'!$A$218,$FB$205^A28,IF(A28='Données projet'!$A$218,'Données projet'!$B$218,FE27+FD28-FM27)))</f>
        <v>144.00000000000003</v>
      </c>
      <c r="FF28" s="17">
        <f>FE28*VLOOKUP('Données projet'!$B$16,Paramètres!$A$1:$I$89,3,0)*VLOOKUP('Données projet'!$B$16,Paramètres!$A$1:$I$89,5,0)</f>
        <v>86.112000000000009</v>
      </c>
      <c r="FG28" s="13">
        <f t="shared" si="47"/>
        <v>23.625136642852297</v>
      </c>
      <c r="FH28" s="20">
        <f t="shared" si="22"/>
        <v>191.12551298630106</v>
      </c>
      <c r="FI28" s="59">
        <f t="shared" si="23"/>
        <v>478.34773520852332</v>
      </c>
      <c r="FJ28" s="59">
        <f ca="1">AVERAGE(OFFSET($FI$3,0,0,'Données projet'!$E$16+1,1))-AVERAGE(OFFSET($H$3,0,0,'Données projet'!$E$16+1,1))</f>
        <v>405.42845699663462</v>
      </c>
      <c r="FK28" s="59">
        <f t="shared" si="48"/>
        <v>292.26503163353146</v>
      </c>
      <c r="FL28" s="15">
        <f>IF(ISNA(VLOOKUP(A28,'Données projet'!$A$217:$I$237,3,0)),0,VLOOKUP(A28,'Données projet'!$A$217:$I$237,3,0))</f>
        <v>2</v>
      </c>
      <c r="FM28" s="15">
        <f>IF(ISNA(VLOOKUP(A28,'Données projet'!$A$217:$I$237,4,0)),0,VLOOKUP(A28,'Données projet'!$A$217:$I$237,4,0))</f>
        <v>17</v>
      </c>
      <c r="FN28" s="16">
        <f>IF(ISNA(VLOOKUP(A28,'Données projet'!$A$217:$I$237,5,0)),0%,VLOOKUP(A28,'Données projet'!$A$217:$I$237,5,0)*VLOOKUP('Données projet'!$B$16,Paramètres!$A$1:$I$89,7,0))</f>
        <v>4.5000000000000005E-2</v>
      </c>
      <c r="FO28" s="16">
        <f>IF(ISNA(VLOOKUP(A28,'Données projet'!$A$217:$I$237,6,0)),0%,VLOOKUP(A28,'Données projet'!$A$217:$I$237,6,0)*VLOOKUP('Données projet'!$B$16,Paramètres!$A$1:$I$89,7,0))</f>
        <v>0.36000000000000004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1.1450829877185331</v>
      </c>
      <c r="FR28" s="21">
        <f>EXP(-LN(2)/25)*FR27+(1-EXP(-LN(2)/25))/(LN(2)/25)*Calculateur!FM28*Calculateur!FO28*VLOOKUP('Données projet'!$B$16,Paramètres!$A$1:$I$89,3,0)*0.475*44/12</f>
        <v>9.0238728491148841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10.168955836833417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144</v>
      </c>
      <c r="FX28" s="12">
        <f>VLOOKUP(A28,'Données projet'!$A$243:$I$263,9,0)</f>
        <v>12.333333333333334</v>
      </c>
      <c r="FY28" s="12">
        <f t="array" ref="FY28">INDEX(FX:FX,MIN(IF(ISNUMBER(FX28:FX224),ROW(FX28:FX224),"")))</f>
        <v>12.333333333333334</v>
      </c>
      <c r="FZ28" s="12">
        <f>IF('Données projet'!$A$244&gt;35,FZ27+FY28-GH27,IF(A28&lt;'Données projet'!$A$244,$FW$205^A28,IF(A28='Données projet'!$A$244,'Données projet'!$B$244,FZ27+FY28-GH27)))</f>
        <v>144.00000000000003</v>
      </c>
      <c r="GA28" s="17">
        <f>FZ28*VLOOKUP('Données projet'!$B$17,Paramètres!$A$1:$I$89,3,0)*VLOOKUP('Données projet'!$B$17,Paramètres!$A$1:$I$89,5,0)</f>
        <v>86.112000000000009</v>
      </c>
      <c r="GB28" s="13">
        <f t="shared" si="49"/>
        <v>23.625136642852297</v>
      </c>
      <c r="GC28" s="20">
        <f t="shared" si="25"/>
        <v>191.12551298630106</v>
      </c>
      <c r="GD28" s="59">
        <f t="shared" si="26"/>
        <v>478.34773520852332</v>
      </c>
      <c r="GE28" s="59">
        <f ca="1">AVERAGE(OFFSET($GD$3,0,0,'Données projet'!$E$17+1,1))-AVERAGE(OFFSET($H$3,0,0,'Données projet'!$E$17+1,1))</f>
        <v>405.42845699663462</v>
      </c>
      <c r="GF28" s="59">
        <f t="shared" si="50"/>
        <v>292.26503163353146</v>
      </c>
      <c r="GG28" s="15">
        <f>IF(ISNA(VLOOKUP(A28,'Données projet'!$A$243:$I$263,3,0)),0,VLOOKUP(A28,'Données projet'!$A$243:$I$263,3,0))</f>
        <v>2</v>
      </c>
      <c r="GH28" s="15">
        <f>IF(ISNA(VLOOKUP(A28,'Données projet'!$A$243:$I$263,4,0)),0,VLOOKUP(A28,'Données projet'!$A$243:$I$263,4,0))</f>
        <v>17</v>
      </c>
      <c r="GI28" s="16">
        <f>IF(ISNA(VLOOKUP(A28,'Données projet'!$A$243:$I$263,5,0)),0%,VLOOKUP(A28,'Données projet'!$A$243:$I$263,5,0)*VLOOKUP('Données projet'!$B$17,Paramètres!$A$1:$I$89,7,0))</f>
        <v>4.5000000000000005E-2</v>
      </c>
      <c r="GJ28" s="16">
        <f>IF(ISNA(VLOOKUP(A28,'Données projet'!$A$243:$I$263,6,0)),0%,VLOOKUP(A28,'Données projet'!$A$243:$I$263,6,0)*VLOOKUP('Données projet'!$B$17,Paramètres!$A$1:$I$89,7,0))</f>
        <v>0.36000000000000004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1.1450829877185331</v>
      </c>
      <c r="GM28" s="21">
        <f>EXP(-LN(2)/25)*GM27+(1-EXP(-LN(2)/25))/(LN(2)/25)*Calculateur!GH28*Calculateur!GJ28*VLOOKUP('Données projet'!$B$17,Paramètres!$A$1:$I$89,3,0)*0.475*44/12</f>
        <v>9.0238728491148841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10.168955836833417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157.89999999999995</v>
      </c>
      <c r="O29" s="13">
        <f>N29*VLOOKUP('Données projet'!$B$9,Paramètres!$A$1:$I$89,3,0)*VLOOKUP('Données projet'!$B$9,Paramètres!$A$1:$I$89,5,0)</f>
        <v>73.89719999999997</v>
      </c>
      <c r="P29" s="13">
        <f t="shared" si="33"/>
        <v>20.638196860576663</v>
      </c>
      <c r="Q29" s="20">
        <f t="shared" si="2"/>
        <v>164.64914953217098</v>
      </c>
      <c r="R29" s="59">
        <f t="shared" si="0"/>
        <v>453.09359397661547</v>
      </c>
      <c r="S29" s="59">
        <f ca="1">AVERAGE(OFFSET($R$3,0,0,'Données projet'!$E$9+1,1))-AVERAGE(OFFSET($H$3,0,0,'Données projet'!$E$9+1,1))</f>
        <v>198.26255998041</v>
      </c>
      <c r="T29" s="59">
        <f t="shared" si="34"/>
        <v>238.62101708181166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15.925807911912891</v>
      </c>
      <c r="AB29" s="21">
        <f>EXP(-LN(2)/2)*AB28+(1-EXP(-LN(2)/2))/(LN(2)/2)*V29*Y29*VLOOKUP('Données projet'!$B$9,Paramètres!$A$1:$I$89,3,0)*0.475*44/12</f>
        <v>0</v>
      </c>
      <c r="AC29" s="22">
        <f t="shared" si="3"/>
        <v>15.925807911912891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19.714285714285715</v>
      </c>
      <c r="AI29" s="13">
        <f>IF('Données projet'!$A$62&gt;35,AI28+AH29-AQ28,IF(A29&lt;'Données projet'!$A$62,$AF$205^A29,IF(A29='Données projet'!$A$62,'Données projet'!$B$62,AI28+AH29-AQ28)))</f>
        <v>213.71428571428572</v>
      </c>
      <c r="AJ29" s="13">
        <f>AI29*VLOOKUP('Données projet'!$B$10,Paramètres!$A$1:$I$89,3,0)*VLOOKUP('Données projet'!$B$10,Paramètres!$A$1:$I$89,5,0)</f>
        <v>119.46628571428572</v>
      </c>
      <c r="AK29" s="13">
        <f t="shared" si="35"/>
        <v>31.550486926257484</v>
      </c>
      <c r="AL29" s="20">
        <f t="shared" si="4"/>
        <v>263.02087901561271</v>
      </c>
      <c r="AM29" s="59">
        <f t="shared" si="5"/>
        <v>551.46532346005711</v>
      </c>
      <c r="AN29" s="59">
        <f ca="1">AVERAGE(OFFSET($AM$3,0,0,'Données projet'!$E$10+1,1))-AVERAGE(OFFSET($H$3,0,0,'Données projet'!$E$10+1,1))</f>
        <v>347.02720636703873</v>
      </c>
      <c r="AO29" s="59">
        <f t="shared" si="36"/>
        <v>394.03759949558702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2.3591415979552277</v>
      </c>
      <c r="AV29" s="21">
        <f>EXP(-LN(2)/25)*AV28+(1-EXP(-LN(2)/25))/(LN(2)/25)*Calculateur!AQ29*Calculateur!AS29*VLOOKUP('Données projet'!$B$10,Paramètres!$A$1:$I$89,3,0)*0.475*44/12</f>
        <v>18.650492064294973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21.009633662250202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17.600000000000001</v>
      </c>
      <c r="BD29" s="12">
        <f>IF('Données projet'!$A$88&gt;35,BD28+BC29-BL28,IF(A29&lt;'Données projet'!$A$88,$BA$205^A29,IF(A29='Données projet'!$A$88,'Données projet'!$B$88,BD28+BC29-BL28)))</f>
        <v>185.60000000000002</v>
      </c>
      <c r="BE29" s="13">
        <f>BD29*VLOOKUP('Données projet'!$B$11,Paramètres!$A$1:$I$89,3,0)*VLOOKUP('Données projet'!$B$11,Paramètres!$A$1:$I$89,5,0)</f>
        <v>110.98880000000003</v>
      </c>
      <c r="BF29" s="13">
        <f t="shared" si="37"/>
        <v>29.56383208945169</v>
      </c>
      <c r="BG29" s="20">
        <f t="shared" si="7"/>
        <v>244.79583422246174</v>
      </c>
      <c r="BH29" s="59">
        <f t="shared" si="8"/>
        <v>533.24027866690619</v>
      </c>
      <c r="BI29" s="59">
        <f ca="1">AVERAGE(OFFSET($BH$3,0,0,'Données projet'!$E$11+1,1))-AVERAGE(OFFSET($H$3,0,0,'Données projet'!$E$11+1,1))</f>
        <v>378.75660696651238</v>
      </c>
      <c r="BJ29" s="59">
        <f t="shared" si="38"/>
        <v>371.70674704563288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1.7353976418059578</v>
      </c>
      <c r="BQ29" s="21">
        <f>EXP(-LN(2)/25)*BQ28+(1-EXP(-LN(2)/25))/(LN(2)/25)*Calculateur!BL29*Calculateur!BN29*VLOOKUP('Données projet'!$B$11,Paramètres!$A$1:$I$89,3,0)*0.475*44/12</f>
        <v>17.729177620364897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19.464575262170854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2.1607142857142856</v>
      </c>
      <c r="BY29" s="12">
        <f>IF('Données projet'!$A$114&gt;35,BY28+BX29-CG28,IF(A29&lt;'Données projet'!$A$114,$BV$205^A29,IF(A29='Données projet'!$A$114,'Données projet'!$B$114,BY28+BX29-CG28)))</f>
        <v>56.178571428571409</v>
      </c>
      <c r="BZ29" s="13">
        <f>BY29*VLOOKUP('Données projet'!$B$12,Paramètres!$A$1:$I$89,3,0)*VLOOKUP('Données projet'!$B$12,Paramètres!$A$1:$I$89,5,0)</f>
        <v>56.965071428571406</v>
      </c>
      <c r="CA29" s="13">
        <f t="shared" si="39"/>
        <v>16.398641239680479</v>
      </c>
      <c r="CB29" s="20">
        <f t="shared" si="10"/>
        <v>127.77513289720537</v>
      </c>
      <c r="CC29" s="59">
        <f t="shared" si="11"/>
        <v>416.21957734164982</v>
      </c>
      <c r="CD29" s="59">
        <f ca="1">AVERAGE(OFFSET($CC$3,0,0,'Données projet'!$E$12+1,1))-AVERAGE(OFFSET($H$3,0,0,'Données projet'!$E$12+1,1))</f>
        <v>410.75375635525211</v>
      </c>
      <c r="CE29" s="59">
        <f t="shared" si="40"/>
        <v>183.55513001437367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3</v>
      </c>
      <c r="CT29" s="12">
        <f>IF('Données projet'!$A$140&gt;35,CT28+CS29-DB28,IF(A29&lt;'Données projet'!$A$140,$CQ$205^A29,IF(A29='Données projet'!$A$140,'Données projet'!$B$140,CT28+CS29-DB28)))</f>
        <v>78</v>
      </c>
      <c r="CU29" s="17">
        <f>CT29*VLOOKUP('Données projet'!$B$13,Paramètres!$A$1:$I$89,3,0)*VLOOKUP('Données projet'!$B$13,Paramètres!$A$1:$I$89,5,0)</f>
        <v>70.574399999999997</v>
      </c>
      <c r="CV29" s="13">
        <f t="shared" si="41"/>
        <v>19.816033420152426</v>
      </c>
      <c r="CW29" s="20">
        <f t="shared" si="13"/>
        <v>157.43000487343213</v>
      </c>
      <c r="CX29" s="59">
        <f t="shared" si="14"/>
        <v>445.87444931787661</v>
      </c>
      <c r="CY29" s="59">
        <f ca="1">AVERAGE(OFFSET($CX$3,0,0,'Données projet'!$E$13+1,1))-AVERAGE(OFFSET($H$3,0,0,'Données projet'!$E$13+1,1))</f>
        <v>436.12708882925142</v>
      </c>
      <c r="CZ29" s="59">
        <f t="shared" si="42"/>
        <v>217.65884352525285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20.6</v>
      </c>
      <c r="DO29" s="12">
        <f>IF('Données projet'!$A$166&gt;35,DO28+DN29-DW28,IF(A29&lt;'Données projet'!$A$166,$DL$205^A29,IF(A29='Données projet'!$A$166,'Données projet'!$B$166,DO28+DN29-DW28)))</f>
        <v>154.6</v>
      </c>
      <c r="DP29" s="17">
        <f>DO29*VLOOKUP('Données projet'!$B$14,Paramètres!$A$1:$I$89,3,0)*VLOOKUP('Données projet'!$B$14,Paramètres!$A$1:$I$89,5,0)</f>
        <v>147.11735999999999</v>
      </c>
      <c r="DQ29" s="13">
        <f t="shared" si="43"/>
        <v>37.922757347981346</v>
      </c>
      <c r="DR29" s="20">
        <f t="shared" si="16"/>
        <v>322.27820438106744</v>
      </c>
      <c r="DS29" s="59">
        <f t="shared" si="17"/>
        <v>610.7226488255119</v>
      </c>
      <c r="DT29" s="59">
        <f ca="1">AVERAGE(OFFSET($DS$3,0,0,'Données projet'!$E$14+1,1))-AVERAGE(OFFSET($H$3,0,0,'Données projet'!$E$14+1,1))</f>
        <v>735.50267870886194</v>
      </c>
      <c r="DU29" s="59">
        <f t="shared" si="44"/>
        <v>525.80345400853275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2.1607142857142856</v>
      </c>
      <c r="EJ29" s="12">
        <f>IF('Données projet'!$A$192&gt;35,EJ28+EI29-ER28,IF(A29&lt;'Données projet'!$A$192,$EG$205^A29,IF(A29='Données projet'!$A$192,'Données projet'!$B$192,EJ28+EI29-ER28)))</f>
        <v>56.178571428571409</v>
      </c>
      <c r="EK29" s="17">
        <f>EJ29*VLOOKUP('Données projet'!$B$15,Paramètres!$A$1:$I$89,3,0)*VLOOKUP('Données projet'!$B$15,Paramètres!$A$1:$I$89,5,0)</f>
        <v>35.931814285714275</v>
      </c>
      <c r="EL29" s="13">
        <f t="shared" si="45"/>
        <v>10.913735860984824</v>
      </c>
      <c r="EM29" s="20">
        <f t="shared" si="19"/>
        <v>81.589333172167599</v>
      </c>
      <c r="EN29" s="59">
        <f t="shared" si="20"/>
        <v>370.03377761661204</v>
      </c>
      <c r="EO29" s="59">
        <f ca="1">AVERAGE(OFFSET($EN$3,0,0,'Données projet'!$E$15+1,1))-AVERAGE(OFFSET($H$3,0,0,'Données projet'!$E$15+1,1))</f>
        <v>274.14900959323484</v>
      </c>
      <c r="EP29" s="59">
        <f t="shared" si="46"/>
        <v>130.44590390921582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13.4</v>
      </c>
      <c r="FE29" s="12">
        <f>IF('Données projet'!$A$218&gt;35,FE28+FD29-FM28,IF(A29&lt;'Données projet'!$A$218,$FB$205^A29,IF(A29='Données projet'!$A$218,'Données projet'!$B$218,FE28+FD29-FM28)))</f>
        <v>140.40000000000003</v>
      </c>
      <c r="FF29" s="17">
        <f>FE29*VLOOKUP('Données projet'!$B$16,Paramètres!$A$1:$I$89,3,0)*VLOOKUP('Données projet'!$B$16,Paramètres!$A$1:$I$89,5,0)</f>
        <v>83.959200000000024</v>
      </c>
      <c r="FG29" s="13">
        <f t="shared" si="47"/>
        <v>23.102490880810642</v>
      </c>
      <c r="FH29" s="20">
        <f t="shared" si="22"/>
        <v>186.46577828407854</v>
      </c>
      <c r="FI29" s="59">
        <f t="shared" si="23"/>
        <v>474.91022272852297</v>
      </c>
      <c r="FJ29" s="59">
        <f ca="1">AVERAGE(OFFSET($FI$3,0,0,'Données projet'!$E$16+1,1))-AVERAGE(OFFSET($H$3,0,0,'Données projet'!$E$16+1,1))</f>
        <v>405.42845699663462</v>
      </c>
      <c r="FK29" s="59">
        <f t="shared" si="48"/>
        <v>292.26503163353146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1.1226286087610309</v>
      </c>
      <c r="FR29" s="21">
        <f>EXP(-LN(2)/25)*FR28+(1-EXP(-LN(2)/25))/(LN(2)/25)*Calculateur!FM29*Calculateur!FO29*VLOOKUP('Données projet'!$B$16,Paramètres!$A$1:$I$89,3,0)*0.475*44/12</f>
        <v>8.7771145715109888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9.8997431802720204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13.4</v>
      </c>
      <c r="FZ29" s="12">
        <f>IF('Données projet'!$A$244&gt;35,FZ28+FY29-GH28,IF(A29&lt;'Données projet'!$A$244,$FW$205^A29,IF(A29='Données projet'!$A$244,'Données projet'!$B$244,FZ28+FY29-GH28)))</f>
        <v>140.40000000000003</v>
      </c>
      <c r="GA29" s="17">
        <f>FZ29*VLOOKUP('Données projet'!$B$17,Paramètres!$A$1:$I$89,3,0)*VLOOKUP('Données projet'!$B$17,Paramètres!$A$1:$I$89,5,0)</f>
        <v>83.959200000000024</v>
      </c>
      <c r="GB29" s="13">
        <f t="shared" si="49"/>
        <v>23.102490880810642</v>
      </c>
      <c r="GC29" s="20">
        <f t="shared" si="25"/>
        <v>186.46577828407854</v>
      </c>
      <c r="GD29" s="59">
        <f t="shared" si="26"/>
        <v>474.91022272852297</v>
      </c>
      <c r="GE29" s="59">
        <f ca="1">AVERAGE(OFFSET($GD$3,0,0,'Données projet'!$E$17+1,1))-AVERAGE(OFFSET($H$3,0,0,'Données projet'!$E$17+1,1))</f>
        <v>405.42845699663462</v>
      </c>
      <c r="GF29" s="59">
        <f t="shared" si="50"/>
        <v>292.26503163353146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1.1226286087610309</v>
      </c>
      <c r="GM29" s="21">
        <f>EXP(-LN(2)/25)*GM28+(1-EXP(-LN(2)/25))/(LN(2)/25)*Calculateur!GH29*Calculateur!GJ29*VLOOKUP('Données projet'!$B$17,Paramètres!$A$1:$I$89,3,0)*0.475*44/12</f>
        <v>8.7771145715109888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9.8997431802720204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167.09999999999994</v>
      </c>
      <c r="O30" s="13">
        <f>N30*VLOOKUP('Données projet'!$B$9,Paramètres!$A$1:$I$89,3,0)*VLOOKUP('Données projet'!$B$9,Paramètres!$A$1:$I$89,5,0)</f>
        <v>78.202799999999968</v>
      </c>
      <c r="P30" s="13">
        <f t="shared" si="33"/>
        <v>21.697179992990623</v>
      </c>
      <c r="Q30" s="20">
        <f t="shared" si="2"/>
        <v>173.99246515445861</v>
      </c>
      <c r="R30" s="59">
        <f t="shared" si="0"/>
        <v>463.6591318211253</v>
      </c>
      <c r="S30" s="59">
        <f ca="1">AVERAGE(OFFSET($R$3,0,0,'Données projet'!$E$9+1,1))-AVERAGE(OFFSET($H$3,0,0,'Données projet'!$E$9+1,1))</f>
        <v>198.26255998041</v>
      </c>
      <c r="T30" s="59">
        <f t="shared" si="34"/>
        <v>238.62101708181166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15.490315857059795</v>
      </c>
      <c r="AB30" s="21">
        <f>EXP(-LN(2)/2)*AB29+(1-EXP(-LN(2)/2))/(LN(2)/2)*V30*Y30*VLOOKUP('Données projet'!$B$9,Paramètres!$A$1:$I$89,3,0)*0.475*44/12</f>
        <v>0</v>
      </c>
      <c r="AC30" s="22">
        <f t="shared" si="3"/>
        <v>15.490315857059795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19.714285714285715</v>
      </c>
      <c r="AI30" s="13">
        <f>IF('Données projet'!$A$62&gt;35,AI29+AH30-AQ29,IF(A30&lt;'Données projet'!$A$62,$AF$205^A30,IF(A30='Données projet'!$A$62,'Données projet'!$B$62,AI29+AH30-AQ29)))</f>
        <v>233.42857142857144</v>
      </c>
      <c r="AJ30" s="13">
        <f>AI30*VLOOKUP('Données projet'!$B$10,Paramètres!$A$1:$I$89,3,0)*VLOOKUP('Données projet'!$B$10,Paramètres!$A$1:$I$89,5,0)</f>
        <v>130.48657142857144</v>
      </c>
      <c r="AK30" s="13">
        <f t="shared" si="35"/>
        <v>34.108767245824239</v>
      </c>
      <c r="AL30" s="20">
        <f t="shared" si="4"/>
        <v>286.67021485790582</v>
      </c>
      <c r="AM30" s="59">
        <f t="shared" si="5"/>
        <v>576.3368815245725</v>
      </c>
      <c r="AN30" s="59">
        <f ca="1">AVERAGE(OFFSET($AM$3,0,0,'Données projet'!$E$10+1,1))-AVERAGE(OFFSET($H$3,0,0,'Données projet'!$E$10+1,1))</f>
        <v>347.02720636703873</v>
      </c>
      <c r="AO30" s="59">
        <f t="shared" si="36"/>
        <v>394.03759949558702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2.3128802701536175</v>
      </c>
      <c r="AV30" s="21">
        <f>EXP(-LN(2)/25)*AV29+(1-EXP(-LN(2)/25))/(LN(2)/25)*Calculateur!AQ30*Calculateur!AS30*VLOOKUP('Données projet'!$B$10,Paramètres!$A$1:$I$89,3,0)*0.475*44/12</f>
        <v>18.140493378010074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20.453373648163691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17.600000000000001</v>
      </c>
      <c r="BD30" s="12">
        <f>IF('Données projet'!$A$88&gt;35,BD29+BC30-BL29,IF(A30&lt;'Données projet'!$A$88,$BA$205^A30,IF(A30='Données projet'!$A$88,'Données projet'!$B$88,BD29+BC30-BL29)))</f>
        <v>203.20000000000002</v>
      </c>
      <c r="BE30" s="13">
        <f>BD30*VLOOKUP('Données projet'!$B$11,Paramètres!$A$1:$I$89,3,0)*VLOOKUP('Données projet'!$B$11,Paramètres!$A$1:$I$89,5,0)</f>
        <v>121.51360000000001</v>
      </c>
      <c r="BF30" s="13">
        <f t="shared" si="37"/>
        <v>32.027763694063836</v>
      </c>
      <c r="BG30" s="20">
        <f t="shared" si="7"/>
        <v>267.41787510049454</v>
      </c>
      <c r="BH30" s="59">
        <f t="shared" si="8"/>
        <v>557.08454176716123</v>
      </c>
      <c r="BI30" s="59">
        <f ca="1">AVERAGE(OFFSET($BH$3,0,0,'Données projet'!$E$11+1,1))-AVERAGE(OFFSET($H$3,0,0,'Données projet'!$E$11+1,1))</f>
        <v>378.75660696651238</v>
      </c>
      <c r="BJ30" s="59">
        <f t="shared" si="38"/>
        <v>371.70674704563288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1.7013675525381875</v>
      </c>
      <c r="BQ30" s="21">
        <f>EXP(-LN(2)/25)*BQ29+(1-EXP(-LN(2)/25))/(LN(2)/25)*Calculateur!BL30*Calculateur!BN30*VLOOKUP('Données projet'!$B$11,Paramètres!$A$1:$I$89,3,0)*0.475*44/12</f>
        <v>17.244372325999088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18.945739878537275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2.1607142857142856</v>
      </c>
      <c r="BY30" s="12">
        <f>IF('Données projet'!$A$114&gt;35,BY29+BX30-CG29,IF(A30&lt;'Données projet'!$A$114,$BV$205^A30,IF(A30='Données projet'!$A$114,'Données projet'!$B$114,BY29+BX30-CG29)))</f>
        <v>58.339285714285694</v>
      </c>
      <c r="BZ30" s="13">
        <f>BY30*VLOOKUP('Données projet'!$B$12,Paramètres!$A$1:$I$89,3,0)*VLOOKUP('Données projet'!$B$12,Paramètres!$A$1:$I$89,5,0)</f>
        <v>59.1560357142857</v>
      </c>
      <c r="CA30" s="13">
        <f t="shared" si="39"/>
        <v>16.954712757382168</v>
      </c>
      <c r="CB30" s="20">
        <f t="shared" si="10"/>
        <v>132.55955358815487</v>
      </c>
      <c r="CC30" s="59">
        <f t="shared" si="11"/>
        <v>422.22622025482156</v>
      </c>
      <c r="CD30" s="59">
        <f ca="1">AVERAGE(OFFSET($CC$3,0,0,'Données projet'!$E$12+1,1))-AVERAGE(OFFSET($H$3,0,0,'Données projet'!$E$12+1,1))</f>
        <v>410.75375635525211</v>
      </c>
      <c r="CE30" s="59">
        <f t="shared" si="40"/>
        <v>183.55513001437367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3</v>
      </c>
      <c r="CT30" s="12">
        <f>IF('Données projet'!$A$140&gt;35,CT29+CS30-DB29,IF(A30&lt;'Données projet'!$A$140,$CQ$205^A30,IF(A30='Données projet'!$A$140,'Données projet'!$B$140,CT29+CS30-DB29)))</f>
        <v>81</v>
      </c>
      <c r="CU30" s="17">
        <f>CT30*VLOOKUP('Données projet'!$B$13,Paramètres!$A$1:$I$89,3,0)*VLOOKUP('Données projet'!$B$13,Paramètres!$A$1:$I$89,5,0)</f>
        <v>73.288799999999995</v>
      </c>
      <c r="CV30" s="13">
        <f t="shared" si="41"/>
        <v>20.487987371563225</v>
      </c>
      <c r="CW30" s="20">
        <f t="shared" si="13"/>
        <v>163.32790467213928</v>
      </c>
      <c r="CX30" s="59">
        <f t="shared" si="14"/>
        <v>452.99457133880594</v>
      </c>
      <c r="CY30" s="59">
        <f ca="1">AVERAGE(OFFSET($CX$3,0,0,'Données projet'!$E$13+1,1))-AVERAGE(OFFSET($H$3,0,0,'Données projet'!$E$13+1,1))</f>
        <v>436.12708882925142</v>
      </c>
      <c r="CZ30" s="59">
        <f t="shared" si="42"/>
        <v>217.65884352525285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20.6</v>
      </c>
      <c r="DO30" s="12">
        <f>IF('Données projet'!$A$166&gt;35,DO29+DN30-DW29,IF(A30&lt;'Données projet'!$A$166,$DL$205^A30,IF(A30='Données projet'!$A$166,'Données projet'!$B$166,DO29+DN30-DW29)))</f>
        <v>175.2</v>
      </c>
      <c r="DP30" s="17">
        <f>DO30*VLOOKUP('Données projet'!$B$14,Paramètres!$A$1:$I$89,3,0)*VLOOKUP('Données projet'!$B$14,Paramètres!$A$1:$I$89,5,0)</f>
        <v>166.72031999999999</v>
      </c>
      <c r="DQ30" s="13">
        <f t="shared" si="43"/>
        <v>42.354653637142974</v>
      </c>
      <c r="DR30" s="20">
        <f t="shared" si="16"/>
        <v>364.13891241802395</v>
      </c>
      <c r="DS30" s="59">
        <f t="shared" si="17"/>
        <v>653.80557908469063</v>
      </c>
      <c r="DT30" s="59">
        <f ca="1">AVERAGE(OFFSET($DS$3,0,0,'Données projet'!$E$14+1,1))-AVERAGE(OFFSET($H$3,0,0,'Données projet'!$E$14+1,1))</f>
        <v>735.50267870886194</v>
      </c>
      <c r="DU30" s="59">
        <f t="shared" si="44"/>
        <v>525.80345400853275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2.1607142857142856</v>
      </c>
      <c r="EJ30" s="12">
        <f>IF('Données projet'!$A$192&gt;35,EJ29+EI30-ER29,IF(A30&lt;'Données projet'!$A$192,$EG$205^A30,IF(A30='Données projet'!$A$192,'Données projet'!$B$192,EJ29+EI30-ER29)))</f>
        <v>58.339285714285694</v>
      </c>
      <c r="EK30" s="17">
        <f>EJ30*VLOOKUP('Données projet'!$B$15,Paramètres!$A$1:$I$89,3,0)*VLOOKUP('Données projet'!$B$15,Paramètres!$A$1:$I$89,5,0)</f>
        <v>37.313807142857129</v>
      </c>
      <c r="EL30" s="13">
        <f t="shared" si="45"/>
        <v>11.283816380176134</v>
      </c>
      <c r="EM30" s="20">
        <f t="shared" si="19"/>
        <v>84.640860969282926</v>
      </c>
      <c r="EN30" s="59">
        <f t="shared" si="20"/>
        <v>374.30752763594961</v>
      </c>
      <c r="EO30" s="59">
        <f ca="1">AVERAGE(OFFSET($EN$3,0,0,'Données projet'!$E$15+1,1))-AVERAGE(OFFSET($H$3,0,0,'Données projet'!$E$15+1,1))</f>
        <v>274.14900959323484</v>
      </c>
      <c r="EP30" s="59">
        <f t="shared" si="46"/>
        <v>130.44590390921582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13.4</v>
      </c>
      <c r="FE30" s="12">
        <f>IF('Données projet'!$A$218&gt;35,FE29+FD30-FM29,IF(A30&lt;'Données projet'!$A$218,$FB$205^A30,IF(A30='Données projet'!$A$218,'Données projet'!$B$218,FE29+FD30-FM29)))</f>
        <v>153.80000000000004</v>
      </c>
      <c r="FF30" s="17">
        <f>FE30*VLOOKUP('Données projet'!$B$16,Paramètres!$A$1:$I$89,3,0)*VLOOKUP('Données projet'!$B$16,Paramètres!$A$1:$I$89,5,0)</f>
        <v>91.972400000000022</v>
      </c>
      <c r="FG30" s="13">
        <f t="shared" si="47"/>
        <v>25.040318527820091</v>
      </c>
      <c r="FH30" s="20">
        <f t="shared" si="22"/>
        <v>203.79715143595334</v>
      </c>
      <c r="FI30" s="59">
        <f t="shared" si="23"/>
        <v>493.46381810262005</v>
      </c>
      <c r="FJ30" s="59">
        <f ca="1">AVERAGE(OFFSET($FI$3,0,0,'Données projet'!$E$16+1,1))-AVERAGE(OFFSET($H$3,0,0,'Données projet'!$E$16+1,1))</f>
        <v>405.42845699663462</v>
      </c>
      <c r="FK30" s="59">
        <f t="shared" si="48"/>
        <v>292.26503163353146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1.1006145464790664</v>
      </c>
      <c r="FR30" s="21">
        <f>EXP(-LN(2)/25)*FR29+(1-EXP(-LN(2)/25))/(LN(2)/25)*Calculateur!FM30*Calculateur!FO30*VLOOKUP('Données projet'!$B$16,Paramètres!$A$1:$I$89,3,0)*0.475*44/12</f>
        <v>8.5371039119846266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9.6377184584636932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13.4</v>
      </c>
      <c r="FZ30" s="12">
        <f>IF('Données projet'!$A$244&gt;35,FZ29+FY30-GH29,IF(A30&lt;'Données projet'!$A$244,$FW$205^A30,IF(A30='Données projet'!$A$244,'Données projet'!$B$244,FZ29+FY30-GH29)))</f>
        <v>153.80000000000004</v>
      </c>
      <c r="GA30" s="17">
        <f>FZ30*VLOOKUP('Données projet'!$B$17,Paramètres!$A$1:$I$89,3,0)*VLOOKUP('Données projet'!$B$17,Paramètres!$A$1:$I$89,5,0)</f>
        <v>91.972400000000022</v>
      </c>
      <c r="GB30" s="13">
        <f t="shared" si="49"/>
        <v>25.040318527820091</v>
      </c>
      <c r="GC30" s="20">
        <f t="shared" si="25"/>
        <v>203.79715143595334</v>
      </c>
      <c r="GD30" s="59">
        <f t="shared" si="26"/>
        <v>493.46381810262005</v>
      </c>
      <c r="GE30" s="59">
        <f ca="1">AVERAGE(OFFSET($GD$3,0,0,'Données projet'!$E$17+1,1))-AVERAGE(OFFSET($H$3,0,0,'Données projet'!$E$17+1,1))</f>
        <v>405.42845699663462</v>
      </c>
      <c r="GF30" s="59">
        <f t="shared" si="50"/>
        <v>292.26503163353146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1.1006145464790664</v>
      </c>
      <c r="GM30" s="21">
        <f>EXP(-LN(2)/25)*GM29+(1-EXP(-LN(2)/25))/(LN(2)/25)*Calculateur!GH30*Calculateur!GJ30*VLOOKUP('Données projet'!$B$17,Paramètres!$A$1:$I$89,3,0)*0.475*44/12</f>
        <v>8.5371039119846266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9.6377184584636932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176.29999999999993</v>
      </c>
      <c r="O31" s="13">
        <f>N31*VLOOKUP('Données projet'!$B$9,Paramètres!$A$1:$I$89,3,0)*VLOOKUP('Données projet'!$B$9,Paramètres!$A$1:$I$89,5,0)</f>
        <v>82.508399999999966</v>
      </c>
      <c r="P31" s="13">
        <f t="shared" si="33"/>
        <v>22.749394597897162</v>
      </c>
      <c r="Q31" s="20">
        <f t="shared" si="2"/>
        <v>183.32399225800415</v>
      </c>
      <c r="R31" s="59">
        <f t="shared" si="0"/>
        <v>474.21288114689298</v>
      </c>
      <c r="S31" s="59">
        <f ca="1">AVERAGE(OFFSET($R$3,0,0,'Données projet'!$E$9+1,1))-AVERAGE(OFFSET($H$3,0,0,'Données projet'!$E$9+1,1))</f>
        <v>198.26255998041</v>
      </c>
      <c r="T31" s="59">
        <f t="shared" si="34"/>
        <v>238.62101708181166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15.066732355348186</v>
      </c>
      <c r="AB31" s="21">
        <f>EXP(-LN(2)/2)*AB30+(1-EXP(-LN(2)/2))/(LN(2)/2)*V31*Y31*VLOOKUP('Données projet'!$B$9,Paramètres!$A$1:$I$89,3,0)*0.475*44/12</f>
        <v>0</v>
      </c>
      <c r="AC31" s="22">
        <f t="shared" si="3"/>
        <v>15.066732355348186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19.714285714285715</v>
      </c>
      <c r="AI31" s="13">
        <f>IF('Données projet'!$A$62&gt;35,AI30+AH31-AQ30,IF(A31&lt;'Données projet'!$A$62,$AF$205^A31,IF(A31='Données projet'!$A$62,'Données projet'!$B$62,AI30+AH31-AQ30)))</f>
        <v>253.14285714285717</v>
      </c>
      <c r="AJ31" s="13">
        <f>AI31*VLOOKUP('Données projet'!$B$10,Paramètres!$A$1:$I$89,3,0)*VLOOKUP('Données projet'!$B$10,Paramètres!$A$1:$I$89,5,0)</f>
        <v>141.50685714285717</v>
      </c>
      <c r="AK31" s="13">
        <f t="shared" si="35"/>
        <v>36.641989926907435</v>
      </c>
      <c r="AL31" s="20">
        <f t="shared" si="4"/>
        <v>310.27590864650665</v>
      </c>
      <c r="AM31" s="59">
        <f t="shared" si="5"/>
        <v>601.16479753539556</v>
      </c>
      <c r="AN31" s="59">
        <f ca="1">AVERAGE(OFFSET($AM$3,0,0,'Données projet'!$E$10+1,1))-AVERAGE(OFFSET($H$3,0,0,'Données projet'!$E$10+1,1))</f>
        <v>347.02720636703873</v>
      </c>
      <c r="AO31" s="59">
        <f t="shared" si="36"/>
        <v>394.03759949558702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2.267526098773573</v>
      </c>
      <c r="AV31" s="21">
        <f>EXP(-LN(2)/25)*AV30+(1-EXP(-LN(2)/25))/(LN(2)/25)*Calculateur!AQ31*Calculateur!AS31*VLOOKUP('Données projet'!$B$10,Paramètres!$A$1:$I$89,3,0)*0.475*44/12</f>
        <v>17.644440632621304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19.911966731394877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17.600000000000001</v>
      </c>
      <c r="BD31" s="12">
        <f>IF('Données projet'!$A$88&gt;35,BD30+BC31-BL30,IF(A31&lt;'Données projet'!$A$88,$BA$205^A31,IF(A31='Données projet'!$A$88,'Données projet'!$B$88,BD30+BC31-BL30)))</f>
        <v>220.8</v>
      </c>
      <c r="BE31" s="13">
        <f>BD31*VLOOKUP('Données projet'!$B$11,Paramètres!$A$1:$I$89,3,0)*VLOOKUP('Données projet'!$B$11,Paramètres!$A$1:$I$89,5,0)</f>
        <v>132.03840000000002</v>
      </c>
      <c r="BF31" s="13">
        <f t="shared" si="37"/>
        <v>34.466946374534373</v>
      </c>
      <c r="BG31" s="20">
        <f t="shared" si="7"/>
        <v>289.99681160231404</v>
      </c>
      <c r="BH31" s="59">
        <f t="shared" si="8"/>
        <v>580.8857004912029</v>
      </c>
      <c r="BI31" s="59">
        <f ca="1">AVERAGE(OFFSET($BH$3,0,0,'Données projet'!$E$11+1,1))-AVERAGE(OFFSET($H$3,0,0,'Données projet'!$E$11+1,1))</f>
        <v>378.75660696651238</v>
      </c>
      <c r="BJ31" s="59">
        <f t="shared" si="38"/>
        <v>371.70674704563288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1.6680047725646532</v>
      </c>
      <c r="BQ31" s="21">
        <f>EXP(-LN(2)/25)*BQ30+(1-EXP(-LN(2)/25))/(LN(2)/25)*Calculateur!BL31*Calculateur!BN31*VLOOKUP('Données projet'!$B$11,Paramètres!$A$1:$I$89,3,0)*0.475*44/12</f>
        <v>16.772824057902515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18.440828830467169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2.1607142857142856</v>
      </c>
      <c r="BY31" s="12">
        <f>IF('Données projet'!$A$114&gt;35,BY30+BX31-CG30,IF(A31&lt;'Données projet'!$A$114,$BV$205^A31,IF(A31='Données projet'!$A$114,'Données projet'!$B$114,BY30+BX31-CG30)))</f>
        <v>60.499999999999979</v>
      </c>
      <c r="BZ31" s="13">
        <f>BY31*VLOOKUP('Données projet'!$B$12,Paramètres!$A$1:$I$89,3,0)*VLOOKUP('Données projet'!$B$12,Paramètres!$A$1:$I$89,5,0)</f>
        <v>61.346999999999987</v>
      </c>
      <c r="CA31" s="13">
        <f t="shared" si="39"/>
        <v>17.508391571239667</v>
      </c>
      <c r="CB31" s="20">
        <f t="shared" si="10"/>
        <v>137.33980698657572</v>
      </c>
      <c r="CC31" s="59">
        <f t="shared" si="11"/>
        <v>428.22869587546461</v>
      </c>
      <c r="CD31" s="59">
        <f ca="1">AVERAGE(OFFSET($CC$3,0,0,'Données projet'!$E$12+1,1))-AVERAGE(OFFSET($H$3,0,0,'Données projet'!$E$12+1,1))</f>
        <v>410.75375635525211</v>
      </c>
      <c r="CE31" s="59">
        <f t="shared" si="40"/>
        <v>183.55513001437367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3</v>
      </c>
      <c r="CT31" s="12">
        <f>IF('Données projet'!$A$140&gt;35,CT30+CS31-DB30,IF(A31&lt;'Données projet'!$A$140,$CQ$205^A31,IF(A31='Données projet'!$A$140,'Données projet'!$B$140,CT30+CS31-DB30)))</f>
        <v>84</v>
      </c>
      <c r="CU31" s="17">
        <f>CT31*VLOOKUP('Données projet'!$B$13,Paramètres!$A$1:$I$89,3,0)*VLOOKUP('Données projet'!$B$13,Paramètres!$A$1:$I$89,5,0)</f>
        <v>76.003200000000007</v>
      </c>
      <c r="CV31" s="13">
        <f t="shared" si="41"/>
        <v>21.157049992000456</v>
      </c>
      <c r="CW31" s="20">
        <f t="shared" si="13"/>
        <v>169.22076873606747</v>
      </c>
      <c r="CX31" s="59">
        <f t="shared" si="14"/>
        <v>460.1096576249563</v>
      </c>
      <c r="CY31" s="59">
        <f ca="1">AVERAGE(OFFSET($CX$3,0,0,'Données projet'!$E$13+1,1))-AVERAGE(OFFSET($H$3,0,0,'Données projet'!$E$13+1,1))</f>
        <v>436.12708882925142</v>
      </c>
      <c r="CZ31" s="59">
        <f t="shared" si="42"/>
        <v>217.65884352525285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20.6</v>
      </c>
      <c r="DO31" s="12">
        <f>IF('Données projet'!$A$166&gt;35,DO30+DN31-DW30,IF(A31&lt;'Données projet'!$A$166,$DL$205^A31,IF(A31='Données projet'!$A$166,'Données projet'!$B$166,DO30+DN31-DW30)))</f>
        <v>195.79999999999998</v>
      </c>
      <c r="DP31" s="17">
        <f>DO31*VLOOKUP('Données projet'!$B$14,Paramètres!$A$1:$I$89,3,0)*VLOOKUP('Données projet'!$B$14,Paramètres!$A$1:$I$89,5,0)</f>
        <v>186.32327999999998</v>
      </c>
      <c r="DQ31" s="13">
        <f t="shared" si="43"/>
        <v>46.726160115907902</v>
      </c>
      <c r="DR31" s="20">
        <f t="shared" si="16"/>
        <v>405.89444153520623</v>
      </c>
      <c r="DS31" s="59">
        <f t="shared" si="17"/>
        <v>696.78333042409508</v>
      </c>
      <c r="DT31" s="59">
        <f ca="1">AVERAGE(OFFSET($DS$3,0,0,'Données projet'!$E$14+1,1))-AVERAGE(OFFSET($H$3,0,0,'Données projet'!$E$14+1,1))</f>
        <v>735.50267870886194</v>
      </c>
      <c r="DU31" s="59">
        <f t="shared" si="44"/>
        <v>525.80345400853275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2.1607142857142856</v>
      </c>
      <c r="EJ31" s="12">
        <f>IF('Données projet'!$A$192&gt;35,EJ30+EI31-ER30,IF(A31&lt;'Données projet'!$A$192,$EG$205^A31,IF(A31='Données projet'!$A$192,'Données projet'!$B$192,EJ30+EI31-ER30)))</f>
        <v>60.499999999999979</v>
      </c>
      <c r="EK31" s="17">
        <f>EJ31*VLOOKUP('Données projet'!$B$15,Paramètres!$A$1:$I$89,3,0)*VLOOKUP('Données projet'!$B$15,Paramètres!$A$1:$I$89,5,0)</f>
        <v>38.695799999999984</v>
      </c>
      <c r="EL31" s="13">
        <f t="shared" si="45"/>
        <v>11.652304490742413</v>
      </c>
      <c r="EM31" s="20">
        <f t="shared" si="19"/>
        <v>87.689615321376337</v>
      </c>
      <c r="EN31" s="59">
        <f t="shared" si="20"/>
        <v>378.57850421026518</v>
      </c>
      <c r="EO31" s="59">
        <f ca="1">AVERAGE(OFFSET($EN$3,0,0,'Données projet'!$E$15+1,1))-AVERAGE(OFFSET($H$3,0,0,'Données projet'!$E$15+1,1))</f>
        <v>274.14900959323484</v>
      </c>
      <c r="EP31" s="59">
        <f t="shared" si="46"/>
        <v>130.44590390921582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13.4</v>
      </c>
      <c r="FE31" s="12">
        <f>IF('Données projet'!$A$218&gt;35,FE30+FD31-FM30,IF(A31&lt;'Données projet'!$A$218,$FB$205^A31,IF(A31='Données projet'!$A$218,'Données projet'!$B$218,FE30+FD31-FM30)))</f>
        <v>167.20000000000005</v>
      </c>
      <c r="FF31" s="17">
        <f>FE31*VLOOKUP('Données projet'!$B$16,Paramètres!$A$1:$I$89,3,0)*VLOOKUP('Données projet'!$B$16,Paramètres!$A$1:$I$89,5,0)</f>
        <v>99.985600000000034</v>
      </c>
      <c r="FG31" s="13">
        <f t="shared" si="47"/>
        <v>26.958566918169435</v>
      </c>
      <c r="FH31" s="20">
        <f t="shared" si="22"/>
        <v>221.09442404914515</v>
      </c>
      <c r="FI31" s="59">
        <f t="shared" si="23"/>
        <v>511.98331293803403</v>
      </c>
      <c r="FJ31" s="59">
        <f ca="1">AVERAGE(OFFSET($FI$3,0,0,'Données projet'!$E$16+1,1))-AVERAGE(OFFSET($H$3,0,0,'Données projet'!$E$16+1,1))</f>
        <v>405.42845699663462</v>
      </c>
      <c r="FK31" s="59">
        <f t="shared" si="48"/>
        <v>292.26503163353146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1.079032166531199</v>
      </c>
      <c r="FR31" s="21">
        <f>EXP(-LN(2)/25)*FR30+(1-EXP(-LN(2)/25))/(LN(2)/25)*Calculateur!FM31*Calculateur!FO31*VLOOKUP('Données projet'!$B$16,Paramètres!$A$1:$I$89,3,0)*0.475*44/12</f>
        <v>8.3036563565646233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9.3826885230958226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13.4</v>
      </c>
      <c r="FZ31" s="12">
        <f>IF('Données projet'!$A$244&gt;35,FZ30+FY31-GH30,IF(A31&lt;'Données projet'!$A$244,$FW$205^A31,IF(A31='Données projet'!$A$244,'Données projet'!$B$244,FZ30+FY31-GH30)))</f>
        <v>167.20000000000005</v>
      </c>
      <c r="GA31" s="17">
        <f>FZ31*VLOOKUP('Données projet'!$B$17,Paramètres!$A$1:$I$89,3,0)*VLOOKUP('Données projet'!$B$17,Paramètres!$A$1:$I$89,5,0)</f>
        <v>99.985600000000034</v>
      </c>
      <c r="GB31" s="13">
        <f t="shared" si="49"/>
        <v>26.958566918169435</v>
      </c>
      <c r="GC31" s="20">
        <f t="shared" si="25"/>
        <v>221.09442404914515</v>
      </c>
      <c r="GD31" s="59">
        <f t="shared" si="26"/>
        <v>511.98331293803403</v>
      </c>
      <c r="GE31" s="59">
        <f ca="1">AVERAGE(OFFSET($GD$3,0,0,'Données projet'!$E$17+1,1))-AVERAGE(OFFSET($H$3,0,0,'Données projet'!$E$17+1,1))</f>
        <v>405.42845699663462</v>
      </c>
      <c r="GF31" s="59">
        <f t="shared" si="50"/>
        <v>292.26503163353146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1.079032166531199</v>
      </c>
      <c r="GM31" s="21">
        <f>EXP(-LN(2)/25)*GM30+(1-EXP(-LN(2)/25))/(LN(2)/25)*Calculateur!GH31*Calculateur!GJ31*VLOOKUP('Données projet'!$B$17,Paramètres!$A$1:$I$89,3,0)*0.475*44/12</f>
        <v>8.3036563565646233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9.3826885230958226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185.49999999999991</v>
      </c>
      <c r="O32" s="13">
        <f>N32*VLOOKUP('Données projet'!$B$9,Paramètres!$A$1:$I$89,3,0)*VLOOKUP('Données projet'!$B$9,Paramètres!$A$1:$I$89,5,0)</f>
        <v>86.813999999999965</v>
      </c>
      <c r="P32" s="13">
        <f t="shared" si="33"/>
        <v>23.795234166993009</v>
      </c>
      <c r="Q32" s="20">
        <f t="shared" si="2"/>
        <v>192.64441617417944</v>
      </c>
      <c r="R32" s="59">
        <f t="shared" si="0"/>
        <v>484.75552728529055</v>
      </c>
      <c r="S32" s="59">
        <f ca="1">AVERAGE(OFFSET($R$3,0,0,'Données projet'!$E$9+1,1))-AVERAGE(OFFSET($H$3,0,0,'Données projet'!$E$9+1,1))</f>
        <v>198.26255998041</v>
      </c>
      <c r="T32" s="59">
        <f t="shared" si="34"/>
        <v>238.62101708181166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14.654731766766171</v>
      </c>
      <c r="AB32" s="21">
        <f>EXP(-LN(2)/2)*AB31+(1-EXP(-LN(2)/2))/(LN(2)/2)*V32*Y32*VLOOKUP('Données projet'!$B$9,Paramètres!$A$1:$I$89,3,0)*0.475*44/12</f>
        <v>0</v>
      </c>
      <c r="AC32" s="22">
        <f t="shared" si="3"/>
        <v>14.654731766766171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19.714285714285715</v>
      </c>
      <c r="AI32" s="13">
        <f>IF('Données projet'!$A$62&gt;35,AI31+AH32-AQ31,IF(A32&lt;'Données projet'!$A$62,$AF$205^A32,IF(A32='Données projet'!$A$62,'Données projet'!$B$62,AI31+AH32-AQ31)))</f>
        <v>272.85714285714289</v>
      </c>
      <c r="AJ32" s="13">
        <f>AI32*VLOOKUP('Données projet'!$B$10,Paramètres!$A$1:$I$89,3,0)*VLOOKUP('Données projet'!$B$10,Paramètres!$A$1:$I$89,5,0)</f>
        <v>152.52714285714288</v>
      </c>
      <c r="AK32" s="13">
        <f t="shared" si="35"/>
        <v>39.152328281389373</v>
      </c>
      <c r="AL32" s="20">
        <f t="shared" si="4"/>
        <v>333.84174556627698</v>
      </c>
      <c r="AM32" s="59">
        <f t="shared" si="5"/>
        <v>625.95285667738813</v>
      </c>
      <c r="AN32" s="59">
        <f ca="1">AVERAGE(OFFSET($AM$3,0,0,'Données projet'!$E$10+1,1))-AVERAGE(OFFSET($H$3,0,0,'Données projet'!$E$10+1,1))</f>
        <v>347.02720636703873</v>
      </c>
      <c r="AO32" s="59">
        <f t="shared" si="36"/>
        <v>394.03759949558702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2.2230612950309783</v>
      </c>
      <c r="AV32" s="21">
        <f>EXP(-LN(2)/25)*AV31+(1-EXP(-LN(2)/25))/(LN(2)/25)*Calculateur!AQ32*Calculateur!AS32*VLOOKUP('Données projet'!$B$10,Paramètres!$A$1:$I$89,3,0)*0.475*44/12</f>
        <v>17.161952475641467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19.385013770672444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17.600000000000001</v>
      </c>
      <c r="BD32" s="12">
        <f>IF('Données projet'!$A$88&gt;35,BD31+BC32-BL31,IF(A32&lt;'Données projet'!$A$88,$BA$205^A32,IF(A32='Données projet'!$A$88,'Données projet'!$B$88,BD31+BC32-BL31)))</f>
        <v>238.4</v>
      </c>
      <c r="BE32" s="13">
        <f>BD32*VLOOKUP('Données projet'!$B$11,Paramètres!$A$1:$I$89,3,0)*VLOOKUP('Données projet'!$B$11,Paramètres!$A$1:$I$89,5,0)</f>
        <v>142.56319999999999</v>
      </c>
      <c r="BF32" s="13">
        <f t="shared" si="37"/>
        <v>36.883577154665602</v>
      </c>
      <c r="BG32" s="20">
        <f t="shared" si="7"/>
        <v>312.53647021104257</v>
      </c>
      <c r="BH32" s="59">
        <f t="shared" si="8"/>
        <v>604.64758132215366</v>
      </c>
      <c r="BI32" s="59">
        <f ca="1">AVERAGE(OFFSET($BH$3,0,0,'Données projet'!$E$11+1,1))-AVERAGE(OFFSET($H$3,0,0,'Données projet'!$E$11+1,1))</f>
        <v>378.75660696651238</v>
      </c>
      <c r="BJ32" s="59">
        <f t="shared" si="38"/>
        <v>371.70674704563288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1.6352962163571134</v>
      </c>
      <c r="BQ32" s="21">
        <f>EXP(-LN(2)/25)*BQ31+(1-EXP(-LN(2)/25))/(LN(2)/25)*Calculateur!BL32*Calculateur!BN32*VLOOKUP('Données projet'!$B$11,Paramètres!$A$1:$I$89,3,0)*0.475*44/12</f>
        <v>16.31417030199469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17.949466518351802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2.1607142857142856</v>
      </c>
      <c r="BY32" s="12">
        <f>IF('Données projet'!$A$114&gt;35,BY31+BX32-CG31,IF(A32&lt;'Données projet'!$A$114,$BV$205^A32,IF(A32='Données projet'!$A$114,'Données projet'!$B$114,BY31+BX32-CG31)))</f>
        <v>62.660714285714263</v>
      </c>
      <c r="BZ32" s="13">
        <f>BY32*VLOOKUP('Données projet'!$B$12,Paramètres!$A$1:$I$89,3,0)*VLOOKUP('Données projet'!$B$12,Paramètres!$A$1:$I$89,5,0)</f>
        <v>63.537964285714267</v>
      </c>
      <c r="CA32" s="13">
        <f t="shared" si="39"/>
        <v>18.059772924924754</v>
      </c>
      <c r="CB32" s="20">
        <f t="shared" si="10"/>
        <v>142.1160589751963</v>
      </c>
      <c r="CC32" s="59">
        <f t="shared" si="11"/>
        <v>434.22717008630741</v>
      </c>
      <c r="CD32" s="59">
        <f ca="1">AVERAGE(OFFSET($CC$3,0,0,'Données projet'!$E$12+1,1))-AVERAGE(OFFSET($H$3,0,0,'Données projet'!$E$12+1,1))</f>
        <v>410.75375635525211</v>
      </c>
      <c r="CE32" s="59">
        <f t="shared" si="40"/>
        <v>183.55513001437367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3</v>
      </c>
      <c r="CT32" s="12">
        <f>IF('Données projet'!$A$140&gt;35,CT31+CS32-DB31,IF(A32&lt;'Données projet'!$A$140,$CQ$205^A32,IF(A32='Données projet'!$A$140,'Données projet'!$B$140,CT31+CS32-DB31)))</f>
        <v>87</v>
      </c>
      <c r="CU32" s="17">
        <f>CT32*VLOOKUP('Données projet'!$B$13,Paramètres!$A$1:$I$89,3,0)*VLOOKUP('Données projet'!$B$13,Paramètres!$A$1:$I$89,5,0)</f>
        <v>78.71759999999999</v>
      </c>
      <c r="CV32" s="13">
        <f t="shared" si="41"/>
        <v>21.823336373425391</v>
      </c>
      <c r="CW32" s="20">
        <f t="shared" si="13"/>
        <v>175.1087975170492</v>
      </c>
      <c r="CX32" s="59">
        <f t="shared" si="14"/>
        <v>467.21990862816034</v>
      </c>
      <c r="CY32" s="59">
        <f ca="1">AVERAGE(OFFSET($CX$3,0,0,'Données projet'!$E$13+1,1))-AVERAGE(OFFSET($H$3,0,0,'Données projet'!$E$13+1,1))</f>
        <v>436.12708882925142</v>
      </c>
      <c r="CZ32" s="59">
        <f t="shared" si="42"/>
        <v>217.65884352525285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20.6</v>
      </c>
      <c r="DO32" s="12">
        <f>IF('Données projet'!$A$166&gt;35,DO31+DN32-DW31,IF(A32&lt;'Données projet'!$A$166,$DL$205^A32,IF(A32='Données projet'!$A$166,'Données projet'!$B$166,DO31+DN32-DW31)))</f>
        <v>216.39999999999998</v>
      </c>
      <c r="DP32" s="17">
        <f>DO32*VLOOKUP('Données projet'!$B$14,Paramètres!$A$1:$I$89,3,0)*VLOOKUP('Données projet'!$B$14,Paramètres!$A$1:$I$89,5,0)</f>
        <v>205.92623999999998</v>
      </c>
      <c r="DQ32" s="13">
        <f t="shared" si="43"/>
        <v>51.044354243735398</v>
      </c>
      <c r="DR32" s="20">
        <f t="shared" si="16"/>
        <v>447.55711830783912</v>
      </c>
      <c r="DS32" s="59">
        <f t="shared" si="17"/>
        <v>739.6682294189502</v>
      </c>
      <c r="DT32" s="59">
        <f ca="1">AVERAGE(OFFSET($DS$3,0,0,'Données projet'!$E$14+1,1))-AVERAGE(OFFSET($H$3,0,0,'Données projet'!$E$14+1,1))</f>
        <v>735.50267870886194</v>
      </c>
      <c r="DU32" s="59">
        <f t="shared" si="44"/>
        <v>525.80345400853275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2.1607142857142856</v>
      </c>
      <c r="EJ32" s="12">
        <f>IF('Données projet'!$A$192&gt;35,EJ31+EI32-ER31,IF(A32&lt;'Données projet'!$A$192,$EG$205^A32,IF(A32='Données projet'!$A$192,'Données projet'!$B$192,EJ31+EI32-ER31)))</f>
        <v>62.660714285714263</v>
      </c>
      <c r="EK32" s="17">
        <f>EJ32*VLOOKUP('Données projet'!$B$15,Paramètres!$A$1:$I$89,3,0)*VLOOKUP('Données projet'!$B$15,Paramètres!$A$1:$I$89,5,0)</f>
        <v>40.077792857142839</v>
      </c>
      <c r="EL32" s="13">
        <f t="shared" si="45"/>
        <v>12.019263579903425</v>
      </c>
      <c r="EM32" s="20">
        <f t="shared" si="19"/>
        <v>90.735706627855564</v>
      </c>
      <c r="EN32" s="59">
        <f t="shared" si="20"/>
        <v>382.84681773896671</v>
      </c>
      <c r="EO32" s="59">
        <f ca="1">AVERAGE(OFFSET($EN$3,0,0,'Données projet'!$E$15+1,1))-AVERAGE(OFFSET($H$3,0,0,'Données projet'!$E$15+1,1))</f>
        <v>274.14900959323484</v>
      </c>
      <c r="EP32" s="59">
        <f t="shared" si="46"/>
        <v>130.44590390921582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13.4</v>
      </c>
      <c r="FE32" s="12">
        <f>IF('Données projet'!$A$218&gt;35,FE31+FD32-FM31,IF(A32&lt;'Données projet'!$A$218,$FB$205^A32,IF(A32='Données projet'!$A$218,'Données projet'!$B$218,FE31+FD32-FM31)))</f>
        <v>180.60000000000005</v>
      </c>
      <c r="FF32" s="17">
        <f>FE32*VLOOKUP('Données projet'!$B$16,Paramètres!$A$1:$I$89,3,0)*VLOOKUP('Données projet'!$B$16,Paramètres!$A$1:$I$89,5,0)</f>
        <v>107.99880000000003</v>
      </c>
      <c r="FG32" s="13">
        <f t="shared" si="47"/>
        <v>28.85898360070161</v>
      </c>
      <c r="FH32" s="20">
        <f t="shared" si="22"/>
        <v>238.36063977122203</v>
      </c>
      <c r="FI32" s="59">
        <f t="shared" si="23"/>
        <v>530.47175088233314</v>
      </c>
      <c r="FJ32" s="59">
        <f ca="1">AVERAGE(OFFSET($FI$3,0,0,'Données projet'!$E$16+1,1))-AVERAGE(OFFSET($H$3,0,0,'Données projet'!$E$16+1,1))</f>
        <v>405.42845699663462</v>
      </c>
      <c r="FK32" s="59">
        <f t="shared" si="48"/>
        <v>292.26503163353146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1.0578730038901574</v>
      </c>
      <c r="FR32" s="21">
        <f>EXP(-LN(2)/25)*FR31+(1-EXP(-LN(2)/25))/(LN(2)/25)*Calculateur!FM32*Calculateur!FO32*VLOOKUP('Données projet'!$B$16,Paramètres!$A$1:$I$89,3,0)*0.475*44/12</f>
        <v>8.076592436824054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9.1344654407142123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13.4</v>
      </c>
      <c r="FZ32" s="12">
        <f>IF('Données projet'!$A$244&gt;35,FZ31+FY32-GH31,IF(A32&lt;'Données projet'!$A$244,$FW$205^A32,IF(A32='Données projet'!$A$244,'Données projet'!$B$244,FZ31+FY32-GH31)))</f>
        <v>180.60000000000005</v>
      </c>
      <c r="GA32" s="17">
        <f>FZ32*VLOOKUP('Données projet'!$B$17,Paramètres!$A$1:$I$89,3,0)*VLOOKUP('Données projet'!$B$17,Paramètres!$A$1:$I$89,5,0)</f>
        <v>107.99880000000003</v>
      </c>
      <c r="GB32" s="13">
        <f t="shared" si="49"/>
        <v>28.85898360070161</v>
      </c>
      <c r="GC32" s="20">
        <f t="shared" si="25"/>
        <v>238.36063977122203</v>
      </c>
      <c r="GD32" s="59">
        <f t="shared" si="26"/>
        <v>530.47175088233314</v>
      </c>
      <c r="GE32" s="59">
        <f ca="1">AVERAGE(OFFSET($GD$3,0,0,'Données projet'!$E$17+1,1))-AVERAGE(OFFSET($H$3,0,0,'Données projet'!$E$17+1,1))</f>
        <v>405.42845699663462</v>
      </c>
      <c r="GF32" s="59">
        <f t="shared" si="50"/>
        <v>292.26503163353146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1.0578730038901574</v>
      </c>
      <c r="GM32" s="21">
        <f>EXP(-LN(2)/25)*GM31+(1-EXP(-LN(2)/25))/(LN(2)/25)*Calculateur!GH32*Calculateur!GJ32*VLOOKUP('Données projet'!$B$17,Paramètres!$A$1:$I$89,3,0)*0.475*44/12</f>
        <v>8.076592436824054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9.1344654407142123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194.7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194.6999999999999</v>
      </c>
      <c r="O33" s="13">
        <f>N33*VLOOKUP('Données projet'!$B$9,Paramètres!$A$1:$I$89,3,0)*VLOOKUP('Données projet'!$B$9,Paramètres!$A$1:$I$89,5,0)</f>
        <v>91.119599999999949</v>
      </c>
      <c r="P33" s="13">
        <f t="shared" si="33"/>
        <v>24.835050956064173</v>
      </c>
      <c r="Q33" s="20">
        <f t="shared" si="2"/>
        <v>201.954350415145</v>
      </c>
      <c r="R33" s="59">
        <f t="shared" si="0"/>
        <v>495.28768374847834</v>
      </c>
      <c r="S33" s="59">
        <f ca="1">AVERAGE(OFFSET($R$3,0,0,'Données projet'!$E$9+1,1))-AVERAGE(OFFSET($H$3,0,0,'Données projet'!$E$9+1,1))</f>
        <v>198.26255998041</v>
      </c>
      <c r="T33" s="59">
        <f t="shared" si="34"/>
        <v>238.62101708181166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48.674999999999997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0.55000000000000004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30.80900940035367</v>
      </c>
      <c r="AB33" s="21">
        <f>EXP(-LN(2)/2)*AB32+(1-EXP(-LN(2)/2))/(LN(2)/2)*V33*Y33*VLOOKUP('Données projet'!$B$9,Paramètres!$A$1:$I$89,3,0)*0.475*44/12</f>
        <v>0</v>
      </c>
      <c r="AC33" s="22">
        <f t="shared" si="3"/>
        <v>30.80900940035367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19.714285714285715</v>
      </c>
      <c r="AI33" s="13">
        <f>IF('Données projet'!$A$62&gt;35,AI32+AH33-AQ32,IF(A33&lt;'Données projet'!$A$62,$AF$205^A33,IF(A33='Données projet'!$A$62,'Données projet'!$B$62,AI32+AH33-AQ32)))</f>
        <v>292.57142857142861</v>
      </c>
      <c r="AJ33" s="13">
        <f>AI33*VLOOKUP('Données projet'!$B$10,Paramètres!$A$1:$I$89,3,0)*VLOOKUP('Données projet'!$B$10,Paramètres!$A$1:$I$89,5,0)</f>
        <v>163.54742857142861</v>
      </c>
      <c r="AK33" s="13">
        <f t="shared" si="35"/>
        <v>41.641623770535254</v>
      </c>
      <c r="AL33" s="20">
        <f t="shared" si="4"/>
        <v>357.37093282892039</v>
      </c>
      <c r="AM33" s="59">
        <f t="shared" si="5"/>
        <v>650.7042661622537</v>
      </c>
      <c r="AN33" s="59">
        <f ca="1">AVERAGE(OFFSET($AM$3,0,0,'Données projet'!$E$10+1,1))-AVERAGE(OFFSET($H$3,0,0,'Données projet'!$E$10+1,1))</f>
        <v>347.02720636703873</v>
      </c>
      <c r="AO33" s="59">
        <f t="shared" si="36"/>
        <v>394.03759949558702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2.1794684189689235</v>
      </c>
      <c r="AV33" s="21">
        <f>EXP(-LN(2)/25)*AV32+(1-EXP(-LN(2)/25))/(LN(2)/25)*Calculateur!AQ33*Calculateur!AS33*VLOOKUP('Données projet'!$B$10,Paramètres!$A$1:$I$89,3,0)*0.475*44/12</f>
        <v>16.692657982687194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18.872126401656118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256</v>
      </c>
      <c r="BB33" s="12">
        <f>VLOOKUP(A33,'Données projet'!$A$87:$I$107,9,0)</f>
        <v>17.600000000000001</v>
      </c>
      <c r="BC33" s="12">
        <f t="array" ref="BC33">INDEX(BB:BB,MIN(IF(ISNUMBER(BB33:BB229),ROW(BB33:BB229),"")))</f>
        <v>17.600000000000001</v>
      </c>
      <c r="BD33" s="12">
        <f>IF('Données projet'!$A$88&gt;35,BD32+BC33-BL32,IF(A33&lt;'Données projet'!$A$88,$BA$205^A33,IF(A33='Données projet'!$A$88,'Données projet'!$B$88,BD32+BC33-BL32)))</f>
        <v>256</v>
      </c>
      <c r="BE33" s="13">
        <f>BD33*VLOOKUP('Données projet'!$B$11,Paramètres!$A$1:$I$89,3,0)*VLOOKUP('Données projet'!$B$11,Paramètres!$A$1:$I$89,5,0)</f>
        <v>153.08800000000002</v>
      </c>
      <c r="BF33" s="13">
        <f t="shared" si="37"/>
        <v>39.27951026543515</v>
      </c>
      <c r="BG33" s="20">
        <f t="shared" si="7"/>
        <v>335.04008037896625</v>
      </c>
      <c r="BH33" s="59">
        <f t="shared" si="8"/>
        <v>628.37341371229957</v>
      </c>
      <c r="BI33" s="59">
        <f ca="1">AVERAGE(OFFSET($BH$3,0,0,'Données projet'!$E$11+1,1))-AVERAGE(OFFSET($H$3,0,0,'Données projet'!$E$11+1,1))</f>
        <v>378.75660696651238</v>
      </c>
      <c r="BJ33" s="59">
        <f t="shared" si="38"/>
        <v>371.70674704563288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54</v>
      </c>
      <c r="BM33" s="16">
        <f>IF(ISNA(VLOOKUP(A33,'Données projet'!$A$87:$I$107,5,0)),0%,VLOOKUP(A33,'Données projet'!$A$87:$I$107,5,0)*VLOOKUP('Données projet'!$B$11,Paramètres!$A$1:$I$89,7,0))</f>
        <v>0.13500000000000001</v>
      </c>
      <c r="BN33" s="16">
        <f>IF(ISNA(VLOOKUP(A33,'Données projet'!$A$87:$I$107,6,0)),0%,VLOOKUP(A33,'Données projet'!$A$87:$I$107,6,0)*VLOOKUP('Données projet'!$B$11,Paramètres!$A$1:$I$89,7,0))</f>
        <v>0.22500000000000001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7.3862806733187956</v>
      </c>
      <c r="BQ33" s="21">
        <f>EXP(-LN(2)/25)*BQ32+(1-EXP(-LN(2)/25))/(LN(2)/25)*Calculateur!BL33*Calculateur!BN33*VLOOKUP('Données projet'!$B$11,Paramètres!$A$1:$I$89,3,0)*0.475*44/12</f>
        <v>25.468527691487459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32.854808364806253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2.1607142857142856</v>
      </c>
      <c r="BY33" s="12">
        <f>IF('Données projet'!$A$114&gt;35,BY32+BX33-CG32,IF(A33&lt;'Données projet'!$A$114,$BV$205^A33,IF(A33='Données projet'!$A$114,'Données projet'!$B$114,BY32+BX33-CG32)))</f>
        <v>64.821428571428555</v>
      </c>
      <c r="BZ33" s="13">
        <f>BY33*VLOOKUP('Données projet'!$B$12,Paramètres!$A$1:$I$89,3,0)*VLOOKUP('Données projet'!$B$12,Paramètres!$A$1:$I$89,5,0)</f>
        <v>65.728928571428554</v>
      </c>
      <c r="CA33" s="13">
        <f t="shared" si="39"/>
        <v>18.608945121034807</v>
      </c>
      <c r="CB33" s="20">
        <f t="shared" si="10"/>
        <v>146.88846334770702</v>
      </c>
      <c r="CC33" s="59">
        <f t="shared" si="11"/>
        <v>440.22179668104036</v>
      </c>
      <c r="CD33" s="59">
        <f ca="1">AVERAGE(OFFSET($CC$3,0,0,'Données projet'!$E$12+1,1))-AVERAGE(OFFSET($H$3,0,0,'Données projet'!$E$12+1,1))</f>
        <v>410.75375635525211</v>
      </c>
      <c r="CE33" s="59">
        <f t="shared" si="40"/>
        <v>183.55513001437367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3</v>
      </c>
      <c r="CT33" s="12">
        <f>IF('Données projet'!$A$140&gt;35,CT32+CS33-DB32,IF(A33&lt;'Données projet'!$A$140,$CQ$205^A33,IF(A33='Données projet'!$A$140,'Données projet'!$B$140,CT32+CS33-DB32)))</f>
        <v>90</v>
      </c>
      <c r="CU33" s="17">
        <f>CT33*VLOOKUP('Données projet'!$B$13,Paramètres!$A$1:$I$89,3,0)*VLOOKUP('Données projet'!$B$13,Paramètres!$A$1:$I$89,5,0)</f>
        <v>81.432000000000002</v>
      </c>
      <c r="CV33" s="13">
        <f t="shared" si="41"/>
        <v>22.486953220240881</v>
      </c>
      <c r="CW33" s="20">
        <f t="shared" si="13"/>
        <v>180.99217685858619</v>
      </c>
      <c r="CX33" s="59">
        <f t="shared" si="14"/>
        <v>474.32551019191953</v>
      </c>
      <c r="CY33" s="59">
        <f ca="1">AVERAGE(OFFSET($CX$3,0,0,'Données projet'!$E$13+1,1))-AVERAGE(OFFSET($H$3,0,0,'Données projet'!$E$13+1,1))</f>
        <v>436.12708882925142</v>
      </c>
      <c r="CZ33" s="59">
        <f t="shared" si="42"/>
        <v>217.65884352525285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237</v>
      </c>
      <c r="DM33" s="12">
        <f>VLOOKUP(A33,'Données projet'!$A$165:$I$185,9,0)</f>
        <v>20.6</v>
      </c>
      <c r="DN33" s="12">
        <f t="array" ref="DN33">INDEX(DM:DM,MIN(IF(ISNUMBER(DM33:DM229),ROW(DM33:DM229),"")))</f>
        <v>20.6</v>
      </c>
      <c r="DO33" s="12">
        <f>IF('Données projet'!$A$166&gt;35,DO32+DN33-DW32,IF(A33&lt;'Données projet'!$A$166,$DL$205^A33,IF(A33='Données projet'!$A$166,'Données projet'!$B$166,DO32+DN33-DW32)))</f>
        <v>236.99999999999997</v>
      </c>
      <c r="DP33" s="17">
        <f>DO33*VLOOKUP('Données projet'!$B$14,Paramètres!$A$1:$I$89,3,0)*VLOOKUP('Données projet'!$B$14,Paramètres!$A$1:$I$89,5,0)</f>
        <v>225.5292</v>
      </c>
      <c r="DQ33" s="13">
        <f t="shared" si="43"/>
        <v>55.314888425951921</v>
      </c>
      <c r="DR33" s="20">
        <f t="shared" si="16"/>
        <v>489.13678734186624</v>
      </c>
      <c r="DS33" s="59">
        <f t="shared" si="17"/>
        <v>782.4701206751995</v>
      </c>
      <c r="DT33" s="59">
        <f ca="1">AVERAGE(OFFSET($DS$3,0,0,'Données projet'!$E$14+1,1))-AVERAGE(OFFSET($H$3,0,0,'Données projet'!$E$14+1,1))</f>
        <v>735.50267870886194</v>
      </c>
      <c r="DU33" s="59">
        <f t="shared" si="44"/>
        <v>525.80345400853275</v>
      </c>
      <c r="DV33" s="15">
        <f>IF(ISNA(VLOOKUP(A33,'Données projet'!$A$165:$I$185,3,0)),0,VLOOKUP(A33,'Données projet'!$A$165:$I$185,3,0))</f>
        <v>4</v>
      </c>
      <c r="DW33" s="15">
        <f>IF(ISNA(VLOOKUP(A33,'Données projet'!$A$165:$I$185,4,0)),0,VLOOKUP(A33,'Données projet'!$A$165:$I$185,4,0))</f>
        <v>31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2.1607142857142856</v>
      </c>
      <c r="EJ33" s="12">
        <f>IF('Données projet'!$A$192&gt;35,EJ32+EI33-ER32,IF(A33&lt;'Données projet'!$A$192,$EG$205^A33,IF(A33='Données projet'!$A$192,'Données projet'!$B$192,EJ32+EI33-ER32)))</f>
        <v>64.821428571428555</v>
      </c>
      <c r="EK33" s="17">
        <f>EJ33*VLOOKUP('Données projet'!$B$15,Paramètres!$A$1:$I$89,3,0)*VLOOKUP('Données projet'!$B$15,Paramètres!$A$1:$I$89,5,0)</f>
        <v>41.459785714285701</v>
      </c>
      <c r="EL33" s="13">
        <f t="shared" si="45"/>
        <v>12.384752415407622</v>
      </c>
      <c r="EM33" s="20">
        <f t="shared" si="19"/>
        <v>93.779237242549186</v>
      </c>
      <c r="EN33" s="59">
        <f t="shared" si="20"/>
        <v>387.1125705758825</v>
      </c>
      <c r="EO33" s="59">
        <f ca="1">AVERAGE(OFFSET($EN$3,0,0,'Données projet'!$E$15+1,1))-AVERAGE(OFFSET($H$3,0,0,'Données projet'!$E$15+1,1))</f>
        <v>274.14900959323484</v>
      </c>
      <c r="EP33" s="59">
        <f t="shared" si="46"/>
        <v>130.44590390921582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194</v>
      </c>
      <c r="FC33" s="12">
        <f>VLOOKUP(A33,'Données projet'!$A$217:$I$237,9,0)</f>
        <v>13.4</v>
      </c>
      <c r="FD33" s="12">
        <f t="array" ref="FD33">INDEX(FC:FC,MIN(IF(ISNUMBER(FC33:FC229),ROW(FC33:FC229),"")))</f>
        <v>13.4</v>
      </c>
      <c r="FE33" s="12">
        <f>IF('Données projet'!$A$218&gt;35,FE32+FD33-FM32,IF(A33&lt;'Données projet'!$A$218,$FB$205^A33,IF(A33='Données projet'!$A$218,'Données projet'!$B$218,FE32+FD33-FM32)))</f>
        <v>194.00000000000006</v>
      </c>
      <c r="FF33" s="17">
        <f>FE33*VLOOKUP('Données projet'!$B$16,Paramètres!$A$1:$I$89,3,0)*VLOOKUP('Données projet'!$B$16,Paramètres!$A$1:$I$89,5,0)</f>
        <v>116.01200000000003</v>
      </c>
      <c r="FG33" s="13">
        <f t="shared" si="47"/>
        <v>30.743042086238173</v>
      </c>
      <c r="FH33" s="20">
        <f t="shared" si="22"/>
        <v>255.59836496686489</v>
      </c>
      <c r="FI33" s="59">
        <f t="shared" si="23"/>
        <v>548.93169830019815</v>
      </c>
      <c r="FJ33" s="59">
        <f ca="1">AVERAGE(OFFSET($FI$3,0,0,'Données projet'!$E$16+1,1))-AVERAGE(OFFSET($H$3,0,0,'Données projet'!$E$16+1,1))</f>
        <v>405.42845699663462</v>
      </c>
      <c r="FK33" s="59">
        <f t="shared" si="48"/>
        <v>292.26503163353146</v>
      </c>
      <c r="FL33" s="15">
        <f>IF(ISNA(VLOOKUP(A33,'Données projet'!$A$217:$I$237,3,0)),0,VLOOKUP(A33,'Données projet'!$A$217:$I$237,3,0))</f>
        <v>3</v>
      </c>
      <c r="FM33" s="15">
        <f>IF(ISNA(VLOOKUP(A33,'Données projet'!$A$217:$I$237,4,0)),0,VLOOKUP(A33,'Données projet'!$A$217:$I$237,4,0))</f>
        <v>34</v>
      </c>
      <c r="FN33" s="16">
        <f>IF(ISNA(VLOOKUP(A33,'Données projet'!$A$217:$I$237,5,0)),0%,VLOOKUP(A33,'Données projet'!$A$217:$I$237,5,0)*VLOOKUP('Données projet'!$B$16,Paramètres!$A$1:$I$89,7,0))</f>
        <v>0.13500000000000001</v>
      </c>
      <c r="FO33" s="16">
        <f>IF(ISNA(VLOOKUP(A33,'Données projet'!$A$217:$I$237,6,0)),0%,VLOOKUP(A33,'Données projet'!$A$217:$I$237,6,0)*VLOOKUP('Données projet'!$B$16,Paramètres!$A$1:$I$89,7,0))</f>
        <v>0.22500000000000001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4.6783094081022503</v>
      </c>
      <c r="FR33" s="21">
        <f>EXP(-LN(2)/25)*FR32+(1-EXP(-LN(2)/25))/(LN(2)/25)*Calculateur!FM33*Calculateur!FO33*VLOOKUP('Données projet'!$B$16,Paramètres!$A$1:$I$89,3,0)*0.475*44/12</f>
        <v>13.900477480188737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18.578786888290988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194</v>
      </c>
      <c r="FX33" s="12">
        <f>VLOOKUP(A33,'Données projet'!$A$243:$I$263,9,0)</f>
        <v>13.4</v>
      </c>
      <c r="FY33" s="12">
        <f t="array" ref="FY33">INDEX(FX:FX,MIN(IF(ISNUMBER(FX33:FX229),ROW(FX33:FX229),"")))</f>
        <v>13.4</v>
      </c>
      <c r="FZ33" s="12">
        <f>IF('Données projet'!$A$244&gt;35,FZ32+FY33-GH32,IF(A33&lt;'Données projet'!$A$244,$FW$205^A33,IF(A33='Données projet'!$A$244,'Données projet'!$B$244,FZ32+FY33-GH32)))</f>
        <v>194.00000000000006</v>
      </c>
      <c r="GA33" s="17">
        <f>FZ33*VLOOKUP('Données projet'!$B$17,Paramètres!$A$1:$I$89,3,0)*VLOOKUP('Données projet'!$B$17,Paramètres!$A$1:$I$89,5,0)</f>
        <v>116.01200000000003</v>
      </c>
      <c r="GB33" s="13">
        <f t="shared" si="49"/>
        <v>30.743042086238173</v>
      </c>
      <c r="GC33" s="20">
        <f t="shared" si="25"/>
        <v>255.59836496686489</v>
      </c>
      <c r="GD33" s="59">
        <f t="shared" si="26"/>
        <v>548.93169830019815</v>
      </c>
      <c r="GE33" s="59">
        <f ca="1">AVERAGE(OFFSET($GD$3,0,0,'Données projet'!$E$17+1,1))-AVERAGE(OFFSET($H$3,0,0,'Données projet'!$E$17+1,1))</f>
        <v>405.42845699663462</v>
      </c>
      <c r="GF33" s="59">
        <f t="shared" si="50"/>
        <v>292.26503163353146</v>
      </c>
      <c r="GG33" s="15">
        <f>IF(ISNA(VLOOKUP(A33,'Données projet'!$A$243:$I$263,3,0)),0,VLOOKUP(A33,'Données projet'!$A$243:$I$263,3,0))</f>
        <v>3</v>
      </c>
      <c r="GH33" s="15">
        <f>IF(ISNA(VLOOKUP(A33,'Données projet'!$A$243:$I$263,4,0)),0,VLOOKUP(A33,'Données projet'!$A$243:$I$263,4,0))</f>
        <v>34</v>
      </c>
      <c r="GI33" s="16">
        <f>IF(ISNA(VLOOKUP(A33,'Données projet'!$A$243:$I$263,5,0)),0%,VLOOKUP(A33,'Données projet'!$A$243:$I$263,5,0)*VLOOKUP('Données projet'!$B$17,Paramètres!$A$1:$I$89,7,0))</f>
        <v>0.13500000000000001</v>
      </c>
      <c r="GJ33" s="16">
        <f>IF(ISNA(VLOOKUP(A33,'Données projet'!$A$243:$I$263,6,0)),0%,VLOOKUP(A33,'Données projet'!$A$243:$I$263,6,0)*VLOOKUP('Données projet'!$B$17,Paramètres!$A$1:$I$89,7,0))</f>
        <v>0.22500000000000001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4.6783094081022503</v>
      </c>
      <c r="GM33" s="21">
        <f>EXP(-LN(2)/25)*GM32+(1-EXP(-LN(2)/25))/(LN(2)/25)*Calculateur!GH33*Calculateur!GJ33*VLOOKUP('Données projet'!$B$17,Paramètres!$A$1:$I$89,3,0)*0.475*44/12</f>
        <v>13.900477480188737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18.578786888290988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</v>
      </c>
      <c r="N34" s="13">
        <f>IF('Données projet'!$A$36&gt;35,N33+M34-V33,IF(A34&lt;'Données projet'!$A$36,$K$205^A34,IF(A34='Données projet'!$A$36,'Données projet'!$B$36,N33+M34-V33)))</f>
        <v>156.02499999999992</v>
      </c>
      <c r="O34" s="13">
        <f>N34*VLOOKUP('Données projet'!$B$9,Paramètres!$A$1:$I$89,3,0)*VLOOKUP('Données projet'!$B$9,Paramètres!$A$1:$I$89,5,0)</f>
        <v>73.019699999999958</v>
      </c>
      <c r="P34" s="13">
        <f t="shared" si="33"/>
        <v>20.421502318973651</v>
      </c>
      <c r="Q34" s="20">
        <f t="shared" si="2"/>
        <v>162.74342737221238</v>
      </c>
      <c r="R34" s="59">
        <f t="shared" si="0"/>
        <v>456.07676070554567</v>
      </c>
      <c r="S34" s="59">
        <f ca="1">AVERAGE(OFFSET($R$3,0,0,'Données projet'!$E$9+1,1))-AVERAGE(OFFSET($H$3,0,0,'Données projet'!$E$9+1,1))</f>
        <v>198.26255998041</v>
      </c>
      <c r="T34" s="59">
        <f t="shared" si="34"/>
        <v>238.62101708181166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29.966535418125609</v>
      </c>
      <c r="AB34" s="21">
        <f>EXP(-LN(2)/2)*AB33+(1-EXP(-LN(2)/2))/(LN(2)/2)*V34*Y34*VLOOKUP('Données projet'!$B$9,Paramètres!$A$1:$I$89,3,0)*0.475*44/12</f>
        <v>0</v>
      </c>
      <c r="AC34" s="22">
        <f t="shared" si="3"/>
        <v>29.966535418125609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19.714285714285715</v>
      </c>
      <c r="AI34" s="13">
        <f>IF('Données projet'!$A$62&gt;35,AI33+AH34-AQ33,IF(A34&lt;'Données projet'!$A$62,$AF$205^A34,IF(A34='Données projet'!$A$62,'Données projet'!$B$62,AI33+AH34-AQ33)))</f>
        <v>312.28571428571433</v>
      </c>
      <c r="AJ34" s="13">
        <f>AI34*VLOOKUP('Données projet'!$B$10,Paramètres!$A$1:$I$89,3,0)*VLOOKUP('Données projet'!$B$10,Paramètres!$A$1:$I$89,5,0)</f>
        <v>174.56771428571432</v>
      </c>
      <c r="AK34" s="13">
        <f t="shared" si="35"/>
        <v>44.111455647166053</v>
      </c>
      <c r="AL34" s="20">
        <f t="shared" si="4"/>
        <v>380.86622096643327</v>
      </c>
      <c r="AM34" s="59">
        <f t="shared" si="5"/>
        <v>674.19955429976653</v>
      </c>
      <c r="AN34" s="59">
        <f ca="1">AVERAGE(OFFSET($AM$3,0,0,'Données projet'!$E$10+1,1))-AVERAGE(OFFSET($H$3,0,0,'Données projet'!$E$10+1,1))</f>
        <v>347.02720636703873</v>
      </c>
      <c r="AO34" s="59">
        <f t="shared" si="36"/>
        <v>394.03759949558702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2.1367303726174165</v>
      </c>
      <c r="AV34" s="21">
        <f>EXP(-LN(2)/25)*AV33+(1-EXP(-LN(2)/25))/(LN(2)/25)*Calculateur!AQ34*Calculateur!AS34*VLOOKUP('Données projet'!$B$10,Paramètres!$A$1:$I$89,3,0)*0.475*44/12</f>
        <v>16.236196372321881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18.372926744939299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18.8</v>
      </c>
      <c r="BD34" s="12">
        <f>IF('Données projet'!$A$88&gt;35,BD33+BC34-BL33,IF(A34&lt;'Données projet'!$A$88,$BA$205^A34,IF(A34='Données projet'!$A$88,'Données projet'!$B$88,BD33+BC34-BL33)))</f>
        <v>220.8</v>
      </c>
      <c r="BE34" s="13">
        <f>BD34*VLOOKUP('Données projet'!$B$11,Paramètres!$A$1:$I$89,3,0)*VLOOKUP('Données projet'!$B$11,Paramètres!$A$1:$I$89,5,0)</f>
        <v>132.03840000000002</v>
      </c>
      <c r="BF34" s="13">
        <f t="shared" si="37"/>
        <v>34.466946374534373</v>
      </c>
      <c r="BG34" s="20">
        <f t="shared" si="7"/>
        <v>289.99681160231404</v>
      </c>
      <c r="BH34" s="59">
        <f t="shared" si="8"/>
        <v>583.33014493564735</v>
      </c>
      <c r="BI34" s="59">
        <f ca="1">AVERAGE(OFFSET($BH$3,0,0,'Données projet'!$E$11+1,1))-AVERAGE(OFFSET($H$3,0,0,'Données projet'!$E$11+1,1))</f>
        <v>378.75660696651238</v>
      </c>
      <c r="BJ34" s="59">
        <f t="shared" si="38"/>
        <v>371.70674704563288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7.2414402145013748</v>
      </c>
      <c r="BQ34" s="21">
        <f>EXP(-LN(2)/25)*BQ33+(1-EXP(-LN(2)/25))/(LN(2)/25)*Calculateur!BL34*Calculateur!BN34*VLOOKUP('Données projet'!$B$11,Paramètres!$A$1:$I$89,3,0)*0.475*44/12</f>
        <v>24.772089462432074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32.013529676933452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2.1607142857142856</v>
      </c>
      <c r="BY34" s="12">
        <f>IF('Données projet'!$A$114&gt;35,BY33+BX34-CG33,IF(A34&lt;'Données projet'!$A$114,$BV$205^A34,IF(A34='Données projet'!$A$114,'Données projet'!$B$114,BY33+BX34-CG33)))</f>
        <v>66.982142857142847</v>
      </c>
      <c r="BZ34" s="13">
        <f>BY34*VLOOKUP('Données projet'!$B$12,Paramètres!$A$1:$I$89,3,0)*VLOOKUP('Données projet'!$B$12,Paramètres!$A$1:$I$89,5,0)</f>
        <v>67.919892857142855</v>
      </c>
      <c r="CA34" s="13">
        <f t="shared" si="39"/>
        <v>19.155990241279717</v>
      </c>
      <c r="CB34" s="20">
        <f t="shared" si="10"/>
        <v>151.65716306308596</v>
      </c>
      <c r="CC34" s="59">
        <f t="shared" si="11"/>
        <v>444.9904963964193</v>
      </c>
      <c r="CD34" s="59">
        <f ca="1">AVERAGE(OFFSET($CC$3,0,0,'Données projet'!$E$12+1,1))-AVERAGE(OFFSET($H$3,0,0,'Données projet'!$E$12+1,1))</f>
        <v>410.75375635525211</v>
      </c>
      <c r="CE34" s="59">
        <f t="shared" si="40"/>
        <v>183.55513001437367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3</v>
      </c>
      <c r="CT34" s="12">
        <f>IF('Données projet'!$A$140&gt;35,CT33+CS34-DB33,IF(A34&lt;'Données projet'!$A$140,$CQ$205^A34,IF(A34='Données projet'!$A$140,'Données projet'!$B$140,CT33+CS34-DB33)))</f>
        <v>93</v>
      </c>
      <c r="CU34" s="17">
        <f>CT34*VLOOKUP('Données projet'!$B$13,Paramètres!$A$1:$I$89,3,0)*VLOOKUP('Données projet'!$B$13,Paramètres!$A$1:$I$89,5,0)</f>
        <v>84.1464</v>
      </c>
      <c r="CV34" s="13">
        <f t="shared" si="41"/>
        <v>23.14799971956144</v>
      </c>
      <c r="CW34" s="20">
        <f t="shared" si="13"/>
        <v>186.87107951156952</v>
      </c>
      <c r="CX34" s="59">
        <f t="shared" si="14"/>
        <v>480.20441284490283</v>
      </c>
      <c r="CY34" s="59">
        <f ca="1">AVERAGE(OFFSET($CX$3,0,0,'Données projet'!$E$13+1,1))-AVERAGE(OFFSET($H$3,0,0,'Données projet'!$E$13+1,1))</f>
        <v>436.12708882925142</v>
      </c>
      <c r="CZ34" s="59">
        <f t="shared" si="42"/>
        <v>217.65884352525285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20.8</v>
      </c>
      <c r="DO34" s="12">
        <f>IF('Données projet'!$A$166&gt;35,DO33+DN34-DW33,IF(A34&lt;'Données projet'!$A$166,$DL$205^A34,IF(A34='Données projet'!$A$166,'Données projet'!$B$166,DO33+DN34-DW33)))</f>
        <v>226.79999999999995</v>
      </c>
      <c r="DP34" s="17">
        <f>DO34*VLOOKUP('Données projet'!$B$14,Paramètres!$A$1:$I$89,3,0)*VLOOKUP('Données projet'!$B$14,Paramètres!$A$1:$I$89,5,0)</f>
        <v>215.82287999999994</v>
      </c>
      <c r="DQ34" s="13">
        <f t="shared" si="43"/>
        <v>53.205998928315829</v>
      </c>
      <c r="DR34" s="20">
        <f t="shared" si="16"/>
        <v>468.55863080014996</v>
      </c>
      <c r="DS34" s="59">
        <f t="shared" si="17"/>
        <v>761.89196413348327</v>
      </c>
      <c r="DT34" s="59">
        <f ca="1">AVERAGE(OFFSET($DS$3,0,0,'Données projet'!$E$14+1,1))-AVERAGE(OFFSET($H$3,0,0,'Données projet'!$E$14+1,1))</f>
        <v>735.50267870886194</v>
      </c>
      <c r="DU34" s="59">
        <f t="shared" si="44"/>
        <v>525.80345400853275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2.1607142857142856</v>
      </c>
      <c r="EJ34" s="12">
        <f>IF('Données projet'!$A$192&gt;35,EJ33+EI34-ER33,IF(A34&lt;'Données projet'!$A$192,$EG$205^A34,IF(A34='Données projet'!$A$192,'Données projet'!$B$192,EJ33+EI34-ER33)))</f>
        <v>66.982142857142847</v>
      </c>
      <c r="EK34" s="17">
        <f>EJ34*VLOOKUP('Données projet'!$B$15,Paramètres!$A$1:$I$89,3,0)*VLOOKUP('Données projet'!$B$15,Paramètres!$A$1:$I$89,5,0)</f>
        <v>42.841778571428563</v>
      </c>
      <c r="EL34" s="13">
        <f t="shared" si="45"/>
        <v>12.74882562483592</v>
      </c>
      <c r="EM34" s="20">
        <f t="shared" si="19"/>
        <v>96.820302308493964</v>
      </c>
      <c r="EN34" s="59">
        <f t="shared" si="20"/>
        <v>390.15363564182729</v>
      </c>
      <c r="EO34" s="59">
        <f ca="1">AVERAGE(OFFSET($EN$3,0,0,'Données projet'!$E$15+1,1))-AVERAGE(OFFSET($H$3,0,0,'Données projet'!$E$15+1,1))</f>
        <v>274.14900959323484</v>
      </c>
      <c r="EP34" s="59">
        <f t="shared" si="46"/>
        <v>130.44590390921582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14.6</v>
      </c>
      <c r="FE34" s="12">
        <f>IF('Données projet'!$A$218&gt;35,FE33+FD34-FM33,IF(A34&lt;'Données projet'!$A$218,$FB$205^A34,IF(A34='Données projet'!$A$218,'Données projet'!$B$218,FE33+FD34-FM33)))</f>
        <v>174.60000000000005</v>
      </c>
      <c r="FF34" s="17">
        <f>FE34*VLOOKUP('Données projet'!$B$16,Paramètres!$A$1:$I$89,3,0)*VLOOKUP('Données projet'!$B$16,Paramètres!$A$1:$I$89,5,0)</f>
        <v>104.41080000000004</v>
      </c>
      <c r="FG34" s="13">
        <f t="shared" si="47"/>
        <v>28.010155571424168</v>
      </c>
      <c r="FH34" s="20">
        <f t="shared" si="22"/>
        <v>230.63316428689714</v>
      </c>
      <c r="FI34" s="59">
        <f t="shared" si="23"/>
        <v>523.96649762023048</v>
      </c>
      <c r="FJ34" s="59">
        <f ca="1">AVERAGE(OFFSET($FI$3,0,0,'Données projet'!$E$16+1,1))-AVERAGE(OFFSET($H$3,0,0,'Données projet'!$E$16+1,1))</f>
        <v>405.42845699663462</v>
      </c>
      <c r="FK34" s="59">
        <f t="shared" si="48"/>
        <v>292.26503163353146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4.5865706140963454</v>
      </c>
      <c r="FR34" s="21">
        <f>EXP(-LN(2)/25)*FR33+(1-EXP(-LN(2)/25))/(LN(2)/25)*Calculateur!FM34*Calculateur!FO34*VLOOKUP('Données projet'!$B$16,Paramètres!$A$1:$I$89,3,0)*0.475*44/12</f>
        <v>13.520368192498635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18.106938806594982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14.6</v>
      </c>
      <c r="FZ34" s="12">
        <f>IF('Données projet'!$A$244&gt;35,FZ33+FY34-GH33,IF(A34&lt;'Données projet'!$A$244,$FW$205^A34,IF(A34='Données projet'!$A$244,'Données projet'!$B$244,FZ33+FY34-GH33)))</f>
        <v>174.60000000000005</v>
      </c>
      <c r="GA34" s="17">
        <f>FZ34*VLOOKUP('Données projet'!$B$17,Paramètres!$A$1:$I$89,3,0)*VLOOKUP('Données projet'!$B$17,Paramètres!$A$1:$I$89,5,0)</f>
        <v>104.41080000000004</v>
      </c>
      <c r="GB34" s="13">
        <f t="shared" si="49"/>
        <v>28.010155571424168</v>
      </c>
      <c r="GC34" s="20">
        <f t="shared" si="25"/>
        <v>230.63316428689714</v>
      </c>
      <c r="GD34" s="59">
        <f t="shared" si="26"/>
        <v>523.96649762023048</v>
      </c>
      <c r="GE34" s="59">
        <f ca="1">AVERAGE(OFFSET($GD$3,0,0,'Données projet'!$E$17+1,1))-AVERAGE(OFFSET($H$3,0,0,'Données projet'!$E$17+1,1))</f>
        <v>405.42845699663462</v>
      </c>
      <c r="GF34" s="59">
        <f t="shared" si="50"/>
        <v>292.26503163353146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4.5865706140963454</v>
      </c>
      <c r="GM34" s="21">
        <f>EXP(-LN(2)/25)*GM33+(1-EXP(-LN(2)/25))/(LN(2)/25)*Calculateur!GH34*Calculateur!GJ34*VLOOKUP('Données projet'!$B$17,Paramètres!$A$1:$I$89,3,0)*0.475*44/12</f>
        <v>13.520368192498635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18.106938806594982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</v>
      </c>
      <c r="N35" s="13">
        <f>IF('Données projet'!$A$36&gt;35,N34+M35-V34,IF(A35&lt;'Données projet'!$A$36,$K$205^A35,IF(A35='Données projet'!$A$36,'Données projet'!$B$36,N34+M35-V34)))</f>
        <v>166.02499999999992</v>
      </c>
      <c r="O35" s="13">
        <f>N35*VLOOKUP('Données projet'!$B$9,Paramètres!$A$1:$I$89,3,0)*VLOOKUP('Données projet'!$B$9,Paramètres!$A$1:$I$89,5,0)</f>
        <v>77.699699999999964</v>
      </c>
      <c r="P35" s="13">
        <f t="shared" si="33"/>
        <v>21.573797375192402</v>
      </c>
      <c r="Q35" s="20">
        <f t="shared" ref="Q35:Q66" si="53">(O35+P35)*0.475*44/12</f>
        <v>172.90134126179336</v>
      </c>
      <c r="R35" s="59">
        <f t="shared" si="0"/>
        <v>466.23467459512665</v>
      </c>
      <c r="S35" s="59">
        <f ca="1">AVERAGE(OFFSET($R$3,0,0,'Données projet'!$E$9+1,1))-AVERAGE(OFFSET($H$3,0,0,'Données projet'!$E$9+1,1))</f>
        <v>198.26255998041</v>
      </c>
      <c r="T35" s="59">
        <f t="shared" si="34"/>
        <v>238.62101708181166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29.147098931245356</v>
      </c>
      <c r="AB35" s="21">
        <f>EXP(-LN(2)/2)*AB34+(1-EXP(-LN(2)/2))/(LN(2)/2)*V35*Y35*VLOOKUP('Données projet'!$B$9,Paramètres!$A$1:$I$89,3,0)*0.475*44/12</f>
        <v>0</v>
      </c>
      <c r="AC35" s="22">
        <f t="shared" si="3"/>
        <v>29.147098931245356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>
        <f>VLOOKUP(A35,'Données projet'!$A$61:$I$81,2,0)</f>
        <v>332</v>
      </c>
      <c r="AG35" s="12">
        <f>VLOOKUP(A35,'Données projet'!$A$61:$I$81,9,0)</f>
        <v>19.714285714285715</v>
      </c>
      <c r="AH35" s="12">
        <f t="array" ref="AH35">INDEX(AG:AG,MIN(IF(ISNUMBER(AG35:AG231),ROW(AG35:AG231),"")))</f>
        <v>19.714285714285715</v>
      </c>
      <c r="AI35" s="13">
        <f>IF('Données projet'!$A$62&gt;35,AI34+AH35-AQ34,IF(A35&lt;'Données projet'!$A$62,$AF$205^A35,IF(A35='Données projet'!$A$62,'Données projet'!$B$62,AI34+AH35-AQ34)))</f>
        <v>332.00000000000006</v>
      </c>
      <c r="AJ35" s="13">
        <f>AI35*VLOOKUP('Données projet'!$B$10,Paramètres!$A$1:$I$89,3,0)*VLOOKUP('Données projet'!$B$10,Paramètres!$A$1:$I$89,5,0)</f>
        <v>185.58800000000002</v>
      </c>
      <c r="AK35" s="13">
        <f t="shared" si="35"/>
        <v>46.563192499694225</v>
      </c>
      <c r="AL35" s="20">
        <f t="shared" si="4"/>
        <v>404.32999360363414</v>
      </c>
      <c r="AM35" s="59">
        <f t="shared" si="5"/>
        <v>697.66332693696745</v>
      </c>
      <c r="AN35" s="59">
        <f ca="1">AVERAGE(OFFSET($AM$3,0,0,'Données projet'!$E$10+1,1))-AVERAGE(OFFSET($H$3,0,0,'Données projet'!$E$10+1,1))</f>
        <v>347.02720636703873</v>
      </c>
      <c r="AO35" s="59">
        <f t="shared" si="36"/>
        <v>394.03759949558702</v>
      </c>
      <c r="AP35" s="15">
        <f>IF(ISNA(VLOOKUP(A35,'Données projet'!$A$61:$I$81,3,0)),0,VLOOKUP(A35,'Données projet'!$A$61:$I$81,3,0))</f>
        <v>2</v>
      </c>
      <c r="AQ35" s="15">
        <f>IF(ISNA(VLOOKUP(A35,'Données projet'!$A$61:$I$81,4,0)),0,VLOOKUP(A35,'Données projet'!$A$61:$I$81,4,0))</f>
        <v>79</v>
      </c>
      <c r="AR35" s="16">
        <f>IF(ISNA(VLOOKUP(A35,'Données projet'!$A$61:$I$81,5,0)),0%,VLOOKUP(A35,'Données projet'!$A$61:$I$81,5,0)*VLOOKUP('Données projet'!$B$10,Paramètres!$A$1:$I$89,7,0))</f>
        <v>0.16500000000000001</v>
      </c>
      <c r="AS35" s="16">
        <f>IF(ISNA(VLOOKUP(A35,'Données projet'!$A$61:$I$81,6,0)),0%,VLOOKUP(A35,'Données projet'!$A$61:$I$81,6,0)*VLOOKUP('Données projet'!$B$10,Paramètres!$A$1:$I$89,7,0))</f>
        <v>0.27500000000000002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11.760928524537043</v>
      </c>
      <c r="AV35" s="21">
        <f>EXP(-LN(2)/25)*AV34+(1-EXP(-LN(2)/25))/(LN(2)/25)*Calculateur!AQ35*Calculateur!AS35*VLOOKUP('Données projet'!$B$10,Paramètres!$A$1:$I$89,3,0)*0.475*44/12</f>
        <v>31.83894842842119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43.599876952958233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18.8</v>
      </c>
      <c r="BD35" s="12">
        <f>IF('Données projet'!$A$88&gt;35,BD34+BC35-BL34,IF(A35&lt;'Données projet'!$A$88,$BA$205^A35,IF(A35='Données projet'!$A$88,'Données projet'!$B$88,BD34+BC35-BL34)))</f>
        <v>239.60000000000002</v>
      </c>
      <c r="BE35" s="13">
        <f>BD35*VLOOKUP('Données projet'!$B$11,Paramètres!$A$1:$I$89,3,0)*VLOOKUP('Données projet'!$B$11,Paramètres!$A$1:$I$89,5,0)</f>
        <v>143.28080000000003</v>
      </c>
      <c r="BF35" s="13">
        <f t="shared" si="37"/>
        <v>37.047574465948976</v>
      </c>
      <c r="BG35" s="20">
        <f t="shared" si="7"/>
        <v>314.07191886152782</v>
      </c>
      <c r="BH35" s="59">
        <f t="shared" si="8"/>
        <v>607.40525219486108</v>
      </c>
      <c r="BI35" s="59">
        <f ca="1">AVERAGE(OFFSET($BH$3,0,0,'Données projet'!$E$11+1,1))-AVERAGE(OFFSET($H$3,0,0,'Données projet'!$E$11+1,1))</f>
        <v>378.75660696651238</v>
      </c>
      <c r="BJ35" s="59">
        <f t="shared" si="38"/>
        <v>371.70674704563288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7.0994399887374069</v>
      </c>
      <c r="BQ35" s="21">
        <f>EXP(-LN(2)/25)*BQ34+(1-EXP(-LN(2)/25))/(LN(2)/25)*Calculateur!BL35*Calculateur!BN35*VLOOKUP('Données projet'!$B$11,Paramètres!$A$1:$I$89,3,0)*0.475*44/12</f>
        <v>24.0946953733743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31.194135362111709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2.1607142857142856</v>
      </c>
      <c r="BY35" s="12">
        <f>IF('Données projet'!$A$114&gt;35,BY34+BX35-CG34,IF(A35&lt;'Données projet'!$A$114,$BV$205^A35,IF(A35='Données projet'!$A$114,'Données projet'!$B$114,BY34+BX35-CG34)))</f>
        <v>69.142857142857139</v>
      </c>
      <c r="BZ35" s="13">
        <f>BY35*VLOOKUP('Données projet'!$B$12,Paramètres!$A$1:$I$89,3,0)*VLOOKUP('Données projet'!$B$12,Paramètres!$A$1:$I$89,5,0)</f>
        <v>70.110857142857142</v>
      </c>
      <c r="CA35" s="13">
        <f t="shared" si="39"/>
        <v>19.700984771131239</v>
      </c>
      <c r="CB35" s="20">
        <f t="shared" si="10"/>
        <v>156.42229133352976</v>
      </c>
      <c r="CC35" s="59">
        <f t="shared" si="11"/>
        <v>449.75562466686307</v>
      </c>
      <c r="CD35" s="59">
        <f ca="1">AVERAGE(OFFSET($CC$3,0,0,'Données projet'!$E$12+1,1))-AVERAGE(OFFSET($H$3,0,0,'Données projet'!$E$12+1,1))</f>
        <v>410.75375635525211</v>
      </c>
      <c r="CE35" s="59">
        <f t="shared" si="40"/>
        <v>183.55513001437367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3</v>
      </c>
      <c r="CT35" s="12">
        <f>IF('Données projet'!$A$140&gt;35,CT34+CS35-DB34,IF(A35&lt;'Données projet'!$A$140,$CQ$205^A35,IF(A35='Données projet'!$A$140,'Données projet'!$B$140,CT34+CS35-DB34)))</f>
        <v>96</v>
      </c>
      <c r="CU35" s="17">
        <f>CT35*VLOOKUP('Données projet'!$B$13,Paramètres!$A$1:$I$89,3,0)*VLOOKUP('Données projet'!$B$13,Paramètres!$A$1:$I$89,5,0)</f>
        <v>86.860799999999998</v>
      </c>
      <c r="CV35" s="13">
        <f t="shared" si="41"/>
        <v>23.806568296036275</v>
      </c>
      <c r="CW35" s="20">
        <f t="shared" si="13"/>
        <v>192.74566644892982</v>
      </c>
      <c r="CX35" s="59">
        <f t="shared" si="14"/>
        <v>486.07899978226317</v>
      </c>
      <c r="CY35" s="59">
        <f ca="1">AVERAGE(OFFSET($CX$3,0,0,'Données projet'!$E$13+1,1))-AVERAGE(OFFSET($H$3,0,0,'Données projet'!$E$13+1,1))</f>
        <v>436.12708882925142</v>
      </c>
      <c r="CZ35" s="59">
        <f t="shared" si="42"/>
        <v>217.65884352525285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20.8</v>
      </c>
      <c r="DO35" s="12">
        <f>IF('Données projet'!$A$166&gt;35,DO34+DN35-DW34,IF(A35&lt;'Données projet'!$A$166,$DL$205^A35,IF(A35='Données projet'!$A$166,'Données projet'!$B$166,DO34+DN35-DW34)))</f>
        <v>247.59999999999997</v>
      </c>
      <c r="DP35" s="17">
        <f>DO35*VLOOKUP('Données projet'!$B$14,Paramètres!$A$1:$I$89,3,0)*VLOOKUP('Données projet'!$B$14,Paramètres!$A$1:$I$89,5,0)</f>
        <v>235.61615999999998</v>
      </c>
      <c r="DQ35" s="13">
        <f t="shared" si="43"/>
        <v>57.495316365414773</v>
      </c>
      <c r="DR35" s="20">
        <f t="shared" si="16"/>
        <v>510.50248800309737</v>
      </c>
      <c r="DS35" s="59">
        <f t="shared" si="17"/>
        <v>803.83582133643063</v>
      </c>
      <c r="DT35" s="59">
        <f ca="1">AVERAGE(OFFSET($DS$3,0,0,'Données projet'!$E$14+1,1))-AVERAGE(OFFSET($H$3,0,0,'Données projet'!$E$14+1,1))</f>
        <v>735.50267870886194</v>
      </c>
      <c r="DU35" s="59">
        <f t="shared" si="44"/>
        <v>525.80345400853275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2.1607142857142856</v>
      </c>
      <c r="EJ35" s="12">
        <f>IF('Données projet'!$A$192&gt;35,EJ34+EI35-ER34,IF(A35&lt;'Données projet'!$A$192,$EG$205^A35,IF(A35='Données projet'!$A$192,'Données projet'!$B$192,EJ34+EI35-ER34)))</f>
        <v>69.142857142857139</v>
      </c>
      <c r="EK35" s="17">
        <f>EJ35*VLOOKUP('Données projet'!$B$15,Paramètres!$A$1:$I$89,3,0)*VLOOKUP('Données projet'!$B$15,Paramètres!$A$1:$I$89,5,0)</f>
        <v>44.223771428571425</v>
      </c>
      <c r="EL35" s="13">
        <f t="shared" si="45"/>
        <v>13.111534111322518</v>
      </c>
      <c r="EM35" s="20">
        <f t="shared" si="19"/>
        <v>99.858990481981948</v>
      </c>
      <c r="EN35" s="59">
        <f t="shared" si="20"/>
        <v>393.19232381531526</v>
      </c>
      <c r="EO35" s="59">
        <f ca="1">AVERAGE(OFFSET($EN$3,0,0,'Données projet'!$E$15+1,1))-AVERAGE(OFFSET($H$3,0,0,'Données projet'!$E$15+1,1))</f>
        <v>274.14900959323484</v>
      </c>
      <c r="EP35" s="59">
        <f t="shared" si="46"/>
        <v>130.44590390921582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14.6</v>
      </c>
      <c r="FE35" s="12">
        <f>IF('Données projet'!$A$218&gt;35,FE34+FD35-FM34,IF(A35&lt;'Données projet'!$A$218,$FB$205^A35,IF(A35='Données projet'!$A$218,'Données projet'!$B$218,FE34+FD35-FM34)))</f>
        <v>189.20000000000005</v>
      </c>
      <c r="FF35" s="17">
        <f>FE35*VLOOKUP('Données projet'!$B$16,Paramètres!$A$1:$I$89,3,0)*VLOOKUP('Données projet'!$B$16,Paramètres!$A$1:$I$89,5,0)</f>
        <v>113.14160000000004</v>
      </c>
      <c r="FG35" s="13">
        <f t="shared" si="47"/>
        <v>30.069952587742019</v>
      </c>
      <c r="FH35" s="20">
        <f t="shared" si="22"/>
        <v>249.42678742365072</v>
      </c>
      <c r="FI35" s="59">
        <f t="shared" si="23"/>
        <v>542.76012075698407</v>
      </c>
      <c r="FJ35" s="59">
        <f ca="1">AVERAGE(OFFSET($FI$3,0,0,'Données projet'!$E$16+1,1))-AVERAGE(OFFSET($H$3,0,0,'Données projet'!$E$16+1,1))</f>
        <v>405.42845699663462</v>
      </c>
      <c r="FK35" s="59">
        <f t="shared" si="48"/>
        <v>292.26503163353146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4.4966307618857577</v>
      </c>
      <c r="FR35" s="21">
        <f>EXP(-LN(2)/25)*FR34+(1-EXP(-LN(2)/25))/(LN(2)/25)*Calculateur!FM35*Calculateur!FO35*VLOOKUP('Données projet'!$B$16,Paramètres!$A$1:$I$89,3,0)*0.475*44/12</f>
        <v>13.150653013269498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17.647283775155255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14.6</v>
      </c>
      <c r="FZ35" s="12">
        <f>IF('Données projet'!$A$244&gt;35,FZ34+FY35-GH34,IF(A35&lt;'Données projet'!$A$244,$FW$205^A35,IF(A35='Données projet'!$A$244,'Données projet'!$B$244,FZ34+FY35-GH34)))</f>
        <v>189.20000000000005</v>
      </c>
      <c r="GA35" s="17">
        <f>FZ35*VLOOKUP('Données projet'!$B$17,Paramètres!$A$1:$I$89,3,0)*VLOOKUP('Données projet'!$B$17,Paramètres!$A$1:$I$89,5,0)</f>
        <v>113.14160000000004</v>
      </c>
      <c r="GB35" s="13">
        <f t="shared" si="49"/>
        <v>30.069952587742019</v>
      </c>
      <c r="GC35" s="20">
        <f t="shared" si="25"/>
        <v>249.42678742365072</v>
      </c>
      <c r="GD35" s="59">
        <f t="shared" si="26"/>
        <v>542.76012075698407</v>
      </c>
      <c r="GE35" s="59">
        <f ca="1">AVERAGE(OFFSET($GD$3,0,0,'Données projet'!$E$17+1,1))-AVERAGE(OFFSET($H$3,0,0,'Données projet'!$E$17+1,1))</f>
        <v>405.42845699663462</v>
      </c>
      <c r="GF35" s="59">
        <f t="shared" si="50"/>
        <v>292.26503163353146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4.4966307618857577</v>
      </c>
      <c r="GM35" s="21">
        <f>EXP(-LN(2)/25)*GM34+(1-EXP(-LN(2)/25))/(LN(2)/25)*Calculateur!GH35*Calculateur!GJ35*VLOOKUP('Données projet'!$B$17,Paramètres!$A$1:$I$89,3,0)*0.475*44/12</f>
        <v>13.150653013269498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17.647283775155255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</v>
      </c>
      <c r="N36" s="13">
        <f>IF('Données projet'!$A$36&gt;35,N35+M36-V35,IF(A36&lt;'Données projet'!$A$36,$K$205^A36,IF(A36='Données projet'!$A$36,'Données projet'!$B$36,N35+M36-V35)))</f>
        <v>176.02499999999992</v>
      </c>
      <c r="O36" s="13">
        <f>N36*VLOOKUP('Données projet'!$B$9,Paramètres!$A$1:$I$89,3,0)*VLOOKUP('Données projet'!$B$9,Paramètres!$A$1:$I$89,5,0)</f>
        <v>82.379699999999971</v>
      </c>
      <c r="P36" s="13">
        <f t="shared" si="33"/>
        <v>22.718036812754516</v>
      </c>
      <c r="Q36" s="20">
        <f t="shared" si="53"/>
        <v>183.04522494888076</v>
      </c>
      <c r="R36" s="59">
        <f t="shared" si="0"/>
        <v>476.37855828221404</v>
      </c>
      <c r="S36" s="59">
        <f ca="1">AVERAGE(OFFSET($R$3,0,0,'Données projet'!$E$9+1,1))-AVERAGE(OFFSET($H$3,0,0,'Données projet'!$E$9+1,1))</f>
        <v>198.26255998041</v>
      </c>
      <c r="T36" s="59">
        <f t="shared" si="34"/>
        <v>238.62101708181166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28.350069978191136</v>
      </c>
      <c r="AB36" s="21">
        <f>EXP(-LN(2)/2)*AB35+(1-EXP(-LN(2)/2))/(LN(2)/2)*V36*Y36*VLOOKUP('Données projet'!$B$9,Paramètres!$A$1:$I$89,3,0)*0.475*44/12</f>
        <v>0</v>
      </c>
      <c r="AC36" s="22">
        <f t="shared" si="3"/>
        <v>28.350069978191136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19.714285714285715</v>
      </c>
      <c r="AI36" s="13">
        <f>IF('Données projet'!$A$62&gt;35,AI35+AH36-AQ35,IF(A36&lt;'Données projet'!$A$62,$AF$205^A36,IF(A36='Données projet'!$A$62,'Données projet'!$B$62,AI35+AH36-AQ35)))</f>
        <v>272.71428571428578</v>
      </c>
      <c r="AJ36" s="13">
        <f>AI36*VLOOKUP('Données projet'!$B$10,Paramètres!$A$1:$I$89,3,0)*VLOOKUP('Données projet'!$B$10,Paramètres!$A$1:$I$89,5,0)</f>
        <v>152.44728571428575</v>
      </c>
      <c r="AK36" s="13">
        <f t="shared" si="35"/>
        <v>39.134215165354775</v>
      </c>
      <c r="AL36" s="20">
        <f t="shared" si="4"/>
        <v>333.67111403204058</v>
      </c>
      <c r="AM36" s="59">
        <f t="shared" si="5"/>
        <v>627.00444736537384</v>
      </c>
      <c r="AN36" s="59">
        <f ca="1">AVERAGE(OFFSET($AM$3,0,0,'Données projet'!$E$10+1,1))-AVERAGE(OFFSET($H$3,0,0,'Données projet'!$E$10+1,1))</f>
        <v>347.02720636703873</v>
      </c>
      <c r="AO36" s="59">
        <f t="shared" si="36"/>
        <v>394.03759949558702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11.530303889628952</v>
      </c>
      <c r="AV36" s="21">
        <f>EXP(-LN(2)/25)*AV35+(1-EXP(-LN(2)/25))/(LN(2)/25)*Calculateur!AQ36*Calculateur!AS36*VLOOKUP('Données projet'!$B$10,Paramètres!$A$1:$I$89,3,0)*0.475*44/12</f>
        <v>30.968310709308483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42.498614598937436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18.8</v>
      </c>
      <c r="BD36" s="12">
        <f>IF('Données projet'!$A$88&gt;35,BD35+BC36-BL35,IF(A36&lt;'Données projet'!$A$88,$BA$205^A36,IF(A36='Données projet'!$A$88,'Données projet'!$B$88,BD35+BC36-BL35)))</f>
        <v>258.40000000000003</v>
      </c>
      <c r="BE36" s="13">
        <f>BD36*VLOOKUP('Données projet'!$B$11,Paramètres!$A$1:$I$89,3,0)*VLOOKUP('Données projet'!$B$11,Paramètres!$A$1:$I$89,5,0)</f>
        <v>154.52320000000003</v>
      </c>
      <c r="BF36" s="13">
        <f t="shared" si="37"/>
        <v>39.60471498856284</v>
      </c>
      <c r="BG36" s="20">
        <f t="shared" si="7"/>
        <v>338.10611860508033</v>
      </c>
      <c r="BH36" s="59">
        <f t="shared" si="8"/>
        <v>631.43945193841364</v>
      </c>
      <c r="BI36" s="59">
        <f ca="1">AVERAGE(OFFSET($BH$3,0,0,'Données projet'!$E$11+1,1))-AVERAGE(OFFSET($H$3,0,0,'Données projet'!$E$11+1,1))</f>
        <v>378.75660696651238</v>
      </c>
      <c r="BJ36" s="59">
        <f t="shared" si="38"/>
        <v>371.70674704563288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6.9602243007890845</v>
      </c>
      <c r="BQ36" s="21">
        <f>EXP(-LN(2)/25)*BQ35+(1-EXP(-LN(2)/25))/(LN(2)/25)*Calculateur!BL36*Calculateur!BN36*VLOOKUP('Données projet'!$B$11,Paramètres!$A$1:$I$89,3,0)*0.475*44/12</f>
        <v>23.435824661304419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30.396048962093502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2.1607142857142856</v>
      </c>
      <c r="BY36" s="12">
        <f>IF('Données projet'!$A$114&gt;35,BY35+BX36-CG35,IF(A36&lt;'Données projet'!$A$114,$BV$205^A36,IF(A36='Données projet'!$A$114,'Données projet'!$B$114,BY35+BX36-CG35)))</f>
        <v>71.303571428571431</v>
      </c>
      <c r="BZ36" s="13">
        <f>BY36*VLOOKUP('Données projet'!$B$12,Paramètres!$A$1:$I$89,3,0)*VLOOKUP('Données projet'!$B$12,Paramètres!$A$1:$I$89,5,0)</f>
        <v>72.301821428571444</v>
      </c>
      <c r="CA36" s="13">
        <f t="shared" si="39"/>
        <v>20.244000144197486</v>
      </c>
      <c r="CB36" s="20">
        <f t="shared" si="10"/>
        <v>161.18397257257254</v>
      </c>
      <c r="CC36" s="59">
        <f t="shared" si="11"/>
        <v>454.51730590590586</v>
      </c>
      <c r="CD36" s="59">
        <f ca="1">AVERAGE(OFFSET($CC$3,0,0,'Données projet'!$E$12+1,1))-AVERAGE(OFFSET($H$3,0,0,'Données projet'!$E$12+1,1))</f>
        <v>410.75375635525211</v>
      </c>
      <c r="CE36" s="59">
        <f t="shared" si="40"/>
        <v>183.55513001437367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3</v>
      </c>
      <c r="CT36" s="12">
        <f>IF('Données projet'!$A$140&gt;35,CT35+CS36-DB35,IF(A36&lt;'Données projet'!$A$140,$CQ$205^A36,IF(A36='Données projet'!$A$140,'Données projet'!$B$140,CT35+CS36-DB35)))</f>
        <v>99</v>
      </c>
      <c r="CU36" s="17">
        <f>CT36*VLOOKUP('Données projet'!$B$13,Paramètres!$A$1:$I$89,3,0)*VLOOKUP('Données projet'!$B$13,Paramètres!$A$1:$I$89,5,0)</f>
        <v>89.575199999999995</v>
      </c>
      <c r="CV36" s="13">
        <f t="shared" si="41"/>
        <v>24.462745269668691</v>
      </c>
      <c r="CW36" s="20">
        <f t="shared" si="13"/>
        <v>198.6160880113396</v>
      </c>
      <c r="CX36" s="59">
        <f t="shared" si="14"/>
        <v>491.94942134467294</v>
      </c>
      <c r="CY36" s="59">
        <f ca="1">AVERAGE(OFFSET($CX$3,0,0,'Données projet'!$E$13+1,1))-AVERAGE(OFFSET($H$3,0,0,'Données projet'!$E$13+1,1))</f>
        <v>436.12708882925142</v>
      </c>
      <c r="CZ36" s="59">
        <f t="shared" si="42"/>
        <v>217.65884352525285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20.8</v>
      </c>
      <c r="DO36" s="12">
        <f>IF('Données projet'!$A$166&gt;35,DO35+DN36-DW35,IF(A36&lt;'Données projet'!$A$166,$DL$205^A36,IF(A36='Données projet'!$A$166,'Données projet'!$B$166,DO35+DN36-DW35)))</f>
        <v>268.39999999999998</v>
      </c>
      <c r="DP36" s="17">
        <f>DO36*VLOOKUP('Données projet'!$B$14,Paramètres!$A$1:$I$89,3,0)*VLOOKUP('Données projet'!$B$14,Paramètres!$A$1:$I$89,5,0)</f>
        <v>255.40943999999999</v>
      </c>
      <c r="DQ36" s="13">
        <f t="shared" si="43"/>
        <v>61.742843895173834</v>
      </c>
      <c r="DR36" s="20">
        <f t="shared" si="16"/>
        <v>552.3735611174277</v>
      </c>
      <c r="DS36" s="59">
        <f t="shared" si="17"/>
        <v>845.70689445076096</v>
      </c>
      <c r="DT36" s="59">
        <f ca="1">AVERAGE(OFFSET($DS$3,0,0,'Données projet'!$E$14+1,1))-AVERAGE(OFFSET($H$3,0,0,'Données projet'!$E$14+1,1))</f>
        <v>735.50267870886194</v>
      </c>
      <c r="DU36" s="59">
        <f t="shared" si="44"/>
        <v>525.80345400853275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2.1607142857142856</v>
      </c>
      <c r="EJ36" s="12">
        <f>IF('Données projet'!$A$192&gt;35,EJ35+EI36-ER35,IF(A36&lt;'Données projet'!$A$192,$EG$205^A36,IF(A36='Données projet'!$A$192,'Données projet'!$B$192,EJ35+EI36-ER35)))</f>
        <v>71.303571428571431</v>
      </c>
      <c r="EK36" s="17">
        <f>EJ36*VLOOKUP('Données projet'!$B$15,Paramètres!$A$1:$I$89,3,0)*VLOOKUP('Données projet'!$B$15,Paramètres!$A$1:$I$89,5,0)</f>
        <v>45.605764285714287</v>
      </c>
      <c r="EL36" s="13">
        <f t="shared" si="45"/>
        <v>13.472925415850778</v>
      </c>
      <c r="EM36" s="20">
        <f t="shared" si="19"/>
        <v>102.89538456355916</v>
      </c>
      <c r="EN36" s="59">
        <f t="shared" si="20"/>
        <v>396.22871789689248</v>
      </c>
      <c r="EO36" s="59">
        <f ca="1">AVERAGE(OFFSET($EN$3,0,0,'Données projet'!$E$15+1,1))-AVERAGE(OFFSET($H$3,0,0,'Données projet'!$E$15+1,1))</f>
        <v>274.14900959323484</v>
      </c>
      <c r="EP36" s="59">
        <f t="shared" si="46"/>
        <v>130.44590390921582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14.6</v>
      </c>
      <c r="FE36" s="12">
        <f>IF('Données projet'!$A$218&gt;35,FE35+FD36-FM35,IF(A36&lt;'Données projet'!$A$218,$FB$205^A36,IF(A36='Données projet'!$A$218,'Données projet'!$B$218,FE35+FD36-FM35)))</f>
        <v>203.80000000000004</v>
      </c>
      <c r="FF36" s="17">
        <f>FE36*VLOOKUP('Données projet'!$B$16,Paramètres!$A$1:$I$89,3,0)*VLOOKUP('Données projet'!$B$16,Paramètres!$A$1:$I$89,5,0)</f>
        <v>121.87240000000003</v>
      </c>
      <c r="FG36" s="13">
        <f t="shared" si="47"/>
        <v>32.111311550408985</v>
      </c>
      <c r="FH36" s="20">
        <f t="shared" si="22"/>
        <v>268.1882976169623</v>
      </c>
      <c r="FI36" s="59">
        <f t="shared" si="23"/>
        <v>561.52163095029562</v>
      </c>
      <c r="FJ36" s="59">
        <f ca="1">AVERAGE(OFFSET($FI$3,0,0,'Données projet'!$E$16+1,1))-AVERAGE(OFFSET($H$3,0,0,'Données projet'!$E$16+1,1))</f>
        <v>405.42845699663462</v>
      </c>
      <c r="FK36" s="59">
        <f t="shared" si="48"/>
        <v>292.26503163353146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4.4084545753191264</v>
      </c>
      <c r="FR36" s="21">
        <f>EXP(-LN(2)/25)*FR35+(1-EXP(-LN(2)/25))/(LN(2)/25)*Calculateur!FM36*Calculateur!FO36*VLOOKUP('Données projet'!$B$16,Paramètres!$A$1:$I$89,3,0)*0.475*44/12</f>
        <v>12.791047715058857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17.199502290377986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14.6</v>
      </c>
      <c r="FZ36" s="12">
        <f>IF('Données projet'!$A$244&gt;35,FZ35+FY36-GH35,IF(A36&lt;'Données projet'!$A$244,$FW$205^A36,IF(A36='Données projet'!$A$244,'Données projet'!$B$244,FZ35+FY36-GH35)))</f>
        <v>203.80000000000004</v>
      </c>
      <c r="GA36" s="17">
        <f>FZ36*VLOOKUP('Données projet'!$B$17,Paramètres!$A$1:$I$89,3,0)*VLOOKUP('Données projet'!$B$17,Paramètres!$A$1:$I$89,5,0)</f>
        <v>121.87240000000003</v>
      </c>
      <c r="GB36" s="13">
        <f t="shared" si="49"/>
        <v>32.111311550408985</v>
      </c>
      <c r="GC36" s="20">
        <f t="shared" si="25"/>
        <v>268.1882976169623</v>
      </c>
      <c r="GD36" s="59">
        <f t="shared" si="26"/>
        <v>561.52163095029562</v>
      </c>
      <c r="GE36" s="59">
        <f ca="1">AVERAGE(OFFSET($GD$3,0,0,'Données projet'!$E$17+1,1))-AVERAGE(OFFSET($H$3,0,0,'Données projet'!$E$17+1,1))</f>
        <v>405.42845699663462</v>
      </c>
      <c r="GF36" s="59">
        <f t="shared" si="50"/>
        <v>292.26503163353146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4.4084545753191264</v>
      </c>
      <c r="GM36" s="21">
        <f>EXP(-LN(2)/25)*GM35+(1-EXP(-LN(2)/25))/(LN(2)/25)*Calculateur!GH36*Calculateur!GJ36*VLOOKUP('Données projet'!$B$17,Paramètres!$A$1:$I$89,3,0)*0.475*44/12</f>
        <v>12.791047715058857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17.199502290377986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</v>
      </c>
      <c r="N37" s="13">
        <f>IF('Données projet'!$A$36&gt;35,N36+M37-V36,IF(A37&lt;'Données projet'!$A$36,$K$205^A37,IF(A37='Données projet'!$A$36,'Données projet'!$B$36,N36+M37-V36)))</f>
        <v>186.02499999999992</v>
      </c>
      <c r="O37" s="13">
        <f>N37*VLOOKUP('Données projet'!$B$9,Paramètres!$A$1:$I$89,3,0)*VLOOKUP('Données projet'!$B$9,Paramètres!$A$1:$I$89,5,0)</f>
        <v>87.059699999999964</v>
      </c>
      <c r="P37" s="13">
        <f t="shared" si="33"/>
        <v>23.854730419729592</v>
      </c>
      <c r="Q37" s="20">
        <f t="shared" si="53"/>
        <v>193.17596631436231</v>
      </c>
      <c r="R37" s="59">
        <f t="shared" si="0"/>
        <v>486.50929964769563</v>
      </c>
      <c r="S37" s="59">
        <f ca="1">AVERAGE(OFFSET($R$3,0,0,'Données projet'!$E$9+1,1))-AVERAGE(OFFSET($H$3,0,0,'Données projet'!$E$9+1,1))</f>
        <v>198.26255998041</v>
      </c>
      <c r="T37" s="59">
        <f t="shared" si="34"/>
        <v>238.62101708181166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27.574835823772116</v>
      </c>
      <c r="AB37" s="21">
        <f>EXP(-LN(2)/2)*AB36+(1-EXP(-LN(2)/2))/(LN(2)/2)*V37*Y37*VLOOKUP('Données projet'!$B$9,Paramètres!$A$1:$I$89,3,0)*0.475*44/12</f>
        <v>0</v>
      </c>
      <c r="AC37" s="22">
        <f t="shared" si="3"/>
        <v>27.574835823772116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19.714285714285715</v>
      </c>
      <c r="AI37" s="13">
        <f>IF('Données projet'!$A$62&gt;35,AI36+AH37-AQ36,IF(A37&lt;'Données projet'!$A$62,$AF$205^A37,IF(A37='Données projet'!$A$62,'Données projet'!$B$62,AI36+AH37-AQ36)))</f>
        <v>292.4285714285715</v>
      </c>
      <c r="AJ37" s="13">
        <f>AI37*VLOOKUP('Données projet'!$B$10,Paramètres!$A$1:$I$89,3,0)*VLOOKUP('Données projet'!$B$10,Paramètres!$A$1:$I$89,5,0)</f>
        <v>163.46757142857146</v>
      </c>
      <c r="AK37" s="13">
        <f t="shared" si="35"/>
        <v>41.623657176502142</v>
      </c>
      <c r="AL37" s="20">
        <f t="shared" si="4"/>
        <v>357.20055648716988</v>
      </c>
      <c r="AM37" s="59">
        <f t="shared" si="5"/>
        <v>650.53388982050319</v>
      </c>
      <c r="AN37" s="59">
        <f ca="1">AVERAGE(OFFSET($AM$3,0,0,'Données projet'!$E$10+1,1))-AVERAGE(OFFSET($H$3,0,0,'Données projet'!$E$10+1,1))</f>
        <v>347.02720636703873</v>
      </c>
      <c r="AO37" s="59">
        <f t="shared" si="36"/>
        <v>394.03759949558702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11.304201663144271</v>
      </c>
      <c r="AV37" s="21">
        <f>EXP(-LN(2)/25)*AV36+(1-EXP(-LN(2)/25))/(LN(2)/25)*Calculateur!AQ37*Calculateur!AS37*VLOOKUP('Données projet'!$B$10,Paramètres!$A$1:$I$89,3,0)*0.475*44/12</f>
        <v>30.121480624409759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41.425682287554032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18.8</v>
      </c>
      <c r="BD37" s="12">
        <f>IF('Données projet'!$A$88&gt;35,BD36+BC37-BL36,IF(A37&lt;'Données projet'!$A$88,$BA$205^A37,IF(A37='Données projet'!$A$88,'Données projet'!$B$88,BD36+BC37-BL36)))</f>
        <v>277.20000000000005</v>
      </c>
      <c r="BE37" s="13">
        <f>BD37*VLOOKUP('Données projet'!$B$11,Paramètres!$A$1:$I$89,3,0)*VLOOKUP('Données projet'!$B$11,Paramètres!$A$1:$I$89,5,0)</f>
        <v>165.76560000000003</v>
      </c>
      <c r="BF37" s="13">
        <f t="shared" si="37"/>
        <v>42.140271125684265</v>
      </c>
      <c r="BG37" s="20">
        <f t="shared" si="7"/>
        <v>362.10272554390014</v>
      </c>
      <c r="BH37" s="59">
        <f t="shared" si="8"/>
        <v>655.43605887723345</v>
      </c>
      <c r="BI37" s="59">
        <f ca="1">AVERAGE(OFFSET($BH$3,0,0,'Données projet'!$E$11+1,1))-AVERAGE(OFFSET($H$3,0,0,'Données projet'!$E$11+1,1))</f>
        <v>378.75660696651238</v>
      </c>
      <c r="BJ37" s="59">
        <f t="shared" si="38"/>
        <v>371.70674704563288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6.8237385475682437</v>
      </c>
      <c r="BQ37" s="21">
        <f>EXP(-LN(2)/25)*BQ36+(1-EXP(-LN(2)/25))/(LN(2)/25)*Calculateur!BL37*Calculateur!BN37*VLOOKUP('Données projet'!$B$11,Paramètres!$A$1:$I$89,3,0)*0.475*44/12</f>
        <v>22.794970803504594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29.618709351072837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2.1607142857142856</v>
      </c>
      <c r="BY37" s="12">
        <f>IF('Données projet'!$A$114&gt;35,BY36+BX37-CG36,IF(A37&lt;'Données projet'!$A$114,$BV$205^A37,IF(A37='Données projet'!$A$114,'Données projet'!$B$114,BY36+BX37-CG36)))</f>
        <v>73.464285714285722</v>
      </c>
      <c r="BZ37" s="13">
        <f>BY37*VLOOKUP('Données projet'!$B$12,Paramètres!$A$1:$I$89,3,0)*VLOOKUP('Données projet'!$B$12,Paramètres!$A$1:$I$89,5,0)</f>
        <v>74.492785714285731</v>
      </c>
      <c r="CA37" s="13">
        <f t="shared" si="39"/>
        <v>20.785103218758831</v>
      </c>
      <c r="CB37" s="20">
        <f t="shared" si="10"/>
        <v>165.9423232250526</v>
      </c>
      <c r="CC37" s="59">
        <f t="shared" si="11"/>
        <v>459.27565655838589</v>
      </c>
      <c r="CD37" s="59">
        <f ca="1">AVERAGE(OFFSET($CC$3,0,0,'Données projet'!$E$12+1,1))-AVERAGE(OFFSET($H$3,0,0,'Données projet'!$E$12+1,1))</f>
        <v>410.75375635525211</v>
      </c>
      <c r="CE37" s="59">
        <f t="shared" si="40"/>
        <v>183.55513001437367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3</v>
      </c>
      <c r="CT37" s="12">
        <f>IF('Données projet'!$A$140&gt;35,CT36+CS37-DB36,IF(A37&lt;'Données projet'!$A$140,$CQ$205^A37,IF(A37='Données projet'!$A$140,'Données projet'!$B$140,CT36+CS37-DB36)))</f>
        <v>102</v>
      </c>
      <c r="CU37" s="17">
        <f>CT37*VLOOKUP('Données projet'!$B$13,Paramètres!$A$1:$I$89,3,0)*VLOOKUP('Données projet'!$B$13,Paramètres!$A$1:$I$89,5,0)</f>
        <v>92.289599999999993</v>
      </c>
      <c r="CV37" s="13">
        <f t="shared" si="41"/>
        <v>25.116611431659546</v>
      </c>
      <c r="CW37" s="20">
        <f t="shared" si="13"/>
        <v>204.48248491014036</v>
      </c>
      <c r="CX37" s="59">
        <f t="shared" si="14"/>
        <v>497.8158182434737</v>
      </c>
      <c r="CY37" s="59">
        <f ca="1">AVERAGE(OFFSET($CX$3,0,0,'Données projet'!$E$13+1,1))-AVERAGE(OFFSET($H$3,0,0,'Données projet'!$E$13+1,1))</f>
        <v>436.12708882925142</v>
      </c>
      <c r="CZ37" s="59">
        <f t="shared" si="42"/>
        <v>217.65884352525285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20.8</v>
      </c>
      <c r="DO37" s="12">
        <f>IF('Données projet'!$A$166&gt;35,DO36+DN37-DW36,IF(A37&lt;'Données projet'!$A$166,$DL$205^A37,IF(A37='Données projet'!$A$166,'Données projet'!$B$166,DO36+DN37-DW36)))</f>
        <v>289.2</v>
      </c>
      <c r="DP37" s="17">
        <f>DO37*VLOOKUP('Données projet'!$B$14,Paramètres!$A$1:$I$89,3,0)*VLOOKUP('Données projet'!$B$14,Paramètres!$A$1:$I$89,5,0)</f>
        <v>275.20272</v>
      </c>
      <c r="DQ37" s="13">
        <f t="shared" si="43"/>
        <v>65.952188294449357</v>
      </c>
      <c r="DR37" s="20">
        <f t="shared" si="16"/>
        <v>594.17813194616588</v>
      </c>
      <c r="DS37" s="59">
        <f t="shared" si="17"/>
        <v>887.51146527949913</v>
      </c>
      <c r="DT37" s="59">
        <f ca="1">AVERAGE(OFFSET($DS$3,0,0,'Données projet'!$E$14+1,1))-AVERAGE(OFFSET($H$3,0,0,'Données projet'!$E$14+1,1))</f>
        <v>735.50267870886194</v>
      </c>
      <c r="DU37" s="59">
        <f t="shared" si="44"/>
        <v>525.80345400853275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2.1607142857142856</v>
      </c>
      <c r="EJ37" s="12">
        <f>IF('Données projet'!$A$192&gt;35,EJ36+EI37-ER36,IF(A37&lt;'Données projet'!$A$192,$EG$205^A37,IF(A37='Données projet'!$A$192,'Données projet'!$B$192,EJ36+EI37-ER36)))</f>
        <v>73.464285714285722</v>
      </c>
      <c r="EK37" s="17">
        <f>EJ37*VLOOKUP('Données projet'!$B$15,Paramètres!$A$1:$I$89,3,0)*VLOOKUP('Données projet'!$B$15,Paramètres!$A$1:$I$89,5,0)</f>
        <v>46.987757142857149</v>
      </c>
      <c r="EL37" s="13">
        <f t="shared" si="45"/>
        <v>13.833044034400686</v>
      </c>
      <c r="EM37" s="20">
        <f t="shared" si="19"/>
        <v>105.92956205039071</v>
      </c>
      <c r="EN37" s="59">
        <f t="shared" si="20"/>
        <v>399.26289538372401</v>
      </c>
      <c r="EO37" s="59">
        <f ca="1">AVERAGE(OFFSET($EN$3,0,0,'Données projet'!$E$15+1,1))-AVERAGE(OFFSET($H$3,0,0,'Données projet'!$E$15+1,1))</f>
        <v>274.14900959323484</v>
      </c>
      <c r="EP37" s="59">
        <f t="shared" si="46"/>
        <v>130.44590390921582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14.6</v>
      </c>
      <c r="FE37" s="12">
        <f>IF('Données projet'!$A$218&gt;35,FE36+FD37-FM36,IF(A37&lt;'Données projet'!$A$218,$FB$205^A37,IF(A37='Données projet'!$A$218,'Données projet'!$B$218,FE36+FD37-FM36)))</f>
        <v>218.40000000000003</v>
      </c>
      <c r="FF37" s="17">
        <f>FE37*VLOOKUP('Données projet'!$B$16,Paramètres!$A$1:$I$89,3,0)*VLOOKUP('Données projet'!$B$16,Paramètres!$A$1:$I$89,5,0)</f>
        <v>130.60320000000004</v>
      </c>
      <c r="FG37" s="13">
        <f t="shared" si="47"/>
        <v>34.135703567016428</v>
      </c>
      <c r="FH37" s="20">
        <f t="shared" si="22"/>
        <v>286.92025704588701</v>
      </c>
      <c r="FI37" s="59">
        <f t="shared" si="23"/>
        <v>580.25359037922033</v>
      </c>
      <c r="FJ37" s="59">
        <f ca="1">AVERAGE(OFFSET($FI$3,0,0,'Données projet'!$E$16+1,1))-AVERAGE(OFFSET($H$3,0,0,'Données projet'!$E$16+1,1))</f>
        <v>405.42845699663462</v>
      </c>
      <c r="FK37" s="59">
        <f t="shared" si="48"/>
        <v>292.26503163353146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4.3220074699889031</v>
      </c>
      <c r="FR37" s="21">
        <f>EXP(-LN(2)/25)*FR36+(1-EXP(-LN(2)/25))/(LN(2)/25)*Calculateur!FM37*Calculateur!FO37*VLOOKUP('Données projet'!$B$16,Paramètres!$A$1:$I$89,3,0)*0.475*44/12</f>
        <v>12.441275842638607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16.763283312627511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14.6</v>
      </c>
      <c r="FZ37" s="12">
        <f>IF('Données projet'!$A$244&gt;35,FZ36+FY37-GH36,IF(A37&lt;'Données projet'!$A$244,$FW$205^A37,IF(A37='Données projet'!$A$244,'Données projet'!$B$244,FZ36+FY37-GH36)))</f>
        <v>218.40000000000003</v>
      </c>
      <c r="GA37" s="17">
        <f>FZ37*VLOOKUP('Données projet'!$B$17,Paramètres!$A$1:$I$89,3,0)*VLOOKUP('Données projet'!$B$17,Paramètres!$A$1:$I$89,5,0)</f>
        <v>130.60320000000004</v>
      </c>
      <c r="GB37" s="13">
        <f t="shared" si="49"/>
        <v>34.135703567016428</v>
      </c>
      <c r="GC37" s="20">
        <f t="shared" si="25"/>
        <v>286.92025704588701</v>
      </c>
      <c r="GD37" s="59">
        <f t="shared" si="26"/>
        <v>580.25359037922033</v>
      </c>
      <c r="GE37" s="59">
        <f ca="1">AVERAGE(OFFSET($GD$3,0,0,'Données projet'!$E$17+1,1))-AVERAGE(OFFSET($H$3,0,0,'Données projet'!$E$17+1,1))</f>
        <v>405.42845699663462</v>
      </c>
      <c r="GF37" s="59">
        <f t="shared" si="50"/>
        <v>292.26503163353146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4.3220074699889031</v>
      </c>
      <c r="GM37" s="21">
        <f>EXP(-LN(2)/25)*GM36+(1-EXP(-LN(2)/25))/(LN(2)/25)*Calculateur!GH37*Calculateur!GJ37*VLOOKUP('Données projet'!$B$17,Paramètres!$A$1:$I$89,3,0)*0.475*44/12</f>
        <v>12.441275842638607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16.763283312627511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10</v>
      </c>
      <c r="N38" s="13">
        <f>IF('Données projet'!$A$36&gt;35,N37+M38-V37,IF(A38&lt;'Données projet'!$A$36,$K$205^A38,IF(A38='Données projet'!$A$36,'Données projet'!$B$36,N37+M38-V37)))</f>
        <v>196.02499999999992</v>
      </c>
      <c r="O38" s="13">
        <f>N38*VLOOKUP('Données projet'!$B$9,Paramètres!$A$1:$I$89,3,0)*VLOOKUP('Données projet'!$B$9,Paramètres!$A$1:$I$89,5,0)</f>
        <v>91.739699999999971</v>
      </c>
      <c r="P38" s="13">
        <f t="shared" si="33"/>
        <v>24.98433008014544</v>
      </c>
      <c r="Q38" s="20">
        <f t="shared" si="53"/>
        <v>203.29435238958658</v>
      </c>
      <c r="R38" s="59">
        <f t="shared" si="0"/>
        <v>496.62768572291986</v>
      </c>
      <c r="S38" s="59">
        <f ca="1">AVERAGE(OFFSET($R$3,0,0,'Données projet'!$E$9+1,1))-AVERAGE(OFFSET($H$3,0,0,'Données projet'!$E$9+1,1))</f>
        <v>198.26255998041</v>
      </c>
      <c r="T38" s="59">
        <f t="shared" si="34"/>
        <v>238.62101708181166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26.820800488073473</v>
      </c>
      <c r="AB38" s="21">
        <f>EXP(-LN(2)/2)*AB37+(1-EXP(-LN(2)/2))/(LN(2)/2)*V38*Y38*VLOOKUP('Données projet'!$B$9,Paramètres!$A$1:$I$89,3,0)*0.475*44/12</f>
        <v>0</v>
      </c>
      <c r="AC38" s="22">
        <f t="shared" si="3"/>
        <v>26.820800488073473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19.714285714285715</v>
      </c>
      <c r="AI38" s="13">
        <f>IF('Données projet'!$A$62&gt;35,AI37+AH38-AQ37,IF(A38&lt;'Données projet'!$A$62,$AF$205^A38,IF(A38='Données projet'!$A$62,'Données projet'!$B$62,AI37+AH38-AQ37)))</f>
        <v>312.14285714285722</v>
      </c>
      <c r="AJ38" s="13">
        <f>AI38*VLOOKUP('Données projet'!$B$10,Paramètres!$A$1:$I$89,3,0)*VLOOKUP('Données projet'!$B$10,Paramètres!$A$1:$I$89,5,0)</f>
        <v>174.48785714285722</v>
      </c>
      <c r="AK38" s="13">
        <f t="shared" si="35"/>
        <v>44.093624942634548</v>
      </c>
      <c r="AL38" s="20">
        <f t="shared" si="4"/>
        <v>380.69608129889815</v>
      </c>
      <c r="AM38" s="59">
        <f t="shared" si="5"/>
        <v>674.02941463223146</v>
      </c>
      <c r="AN38" s="59">
        <f ca="1">AVERAGE(OFFSET($AM$3,0,0,'Données projet'!$E$10+1,1))-AVERAGE(OFFSET($H$3,0,0,'Données projet'!$E$10+1,1))</f>
        <v>347.02720636703873</v>
      </c>
      <c r="AO38" s="59">
        <f t="shared" si="36"/>
        <v>394.03759949558702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11.082533163412213</v>
      </c>
      <c r="AV38" s="21">
        <f>EXP(-LN(2)/25)*AV37+(1-EXP(-LN(2)/25))/(LN(2)/25)*Calculateur!AQ38*Calculateur!AS38*VLOOKUP('Données projet'!$B$10,Paramètres!$A$1:$I$89,3,0)*0.475*44/12</f>
        <v>29.297807152715453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40.380340316127665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296</v>
      </c>
      <c r="BB38" s="12">
        <f>VLOOKUP(A38,'Données projet'!$A$87:$I$107,9,0)</f>
        <v>18.8</v>
      </c>
      <c r="BC38" s="12">
        <f t="array" ref="BC38">INDEX(BB:BB,MIN(IF(ISNUMBER(BB38:BB234),ROW(BB38:BB234),"")))</f>
        <v>18.8</v>
      </c>
      <c r="BD38" s="12">
        <f>IF('Données projet'!$A$88&gt;35,BD37+BC38-BL37,IF(A38&lt;'Données projet'!$A$88,$BA$205^A38,IF(A38='Données projet'!$A$88,'Données projet'!$B$88,BD37+BC38-BL37)))</f>
        <v>296.00000000000006</v>
      </c>
      <c r="BE38" s="13">
        <f>BD38*VLOOKUP('Données projet'!$B$11,Paramètres!$A$1:$I$89,3,0)*VLOOKUP('Données projet'!$B$11,Paramètres!$A$1:$I$89,5,0)</f>
        <v>177.00800000000004</v>
      </c>
      <c r="BF38" s="13">
        <f t="shared" si="37"/>
        <v>44.65587329900309</v>
      </c>
      <c r="BG38" s="20">
        <f t="shared" si="7"/>
        <v>386.06457932909711</v>
      </c>
      <c r="BH38" s="59">
        <f t="shared" si="8"/>
        <v>679.39791266243037</v>
      </c>
      <c r="BI38" s="59">
        <f ca="1">AVERAGE(OFFSET($BH$3,0,0,'Données projet'!$E$11+1,1))-AVERAGE(OFFSET($H$3,0,0,'Données projet'!$E$11+1,1))</f>
        <v>378.75660696651238</v>
      </c>
      <c r="BJ38" s="59">
        <f t="shared" si="38"/>
        <v>371.70674704563288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52</v>
      </c>
      <c r="BM38" s="16">
        <f>IF(ISNA(VLOOKUP(A38,'Données projet'!$A$87:$I$107,5,0)),0%,VLOOKUP(A38,'Données projet'!$A$87:$I$107,5,0)*VLOOKUP('Données projet'!$B$11,Paramètres!$A$1:$I$89,7,0))</f>
        <v>0.13500000000000001</v>
      </c>
      <c r="BN38" s="16">
        <f>IF(ISNA(VLOOKUP(A38,'Données projet'!$A$87:$I$107,6,0)),0%,VLOOKUP(A38,'Données projet'!$A$87:$I$107,6,0)*VLOOKUP('Données projet'!$B$11,Paramètres!$A$1:$I$89,7,0))</f>
        <v>0.22500000000000001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12.258793718076946</v>
      </c>
      <c r="BQ38" s="21">
        <f>EXP(-LN(2)/25)*BQ37+(1-EXP(-LN(2)/25))/(LN(2)/25)*Calculateur!BL38*Calculateur!BN38*VLOOKUP('Données projet'!$B$11,Paramètres!$A$1:$I$89,3,0)*0.475*44/12</f>
        <v>31.416537427868434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43.675331145945378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2.1607142857142856</v>
      </c>
      <c r="BY38" s="12">
        <f>IF('Données projet'!$A$114&gt;35,BY37+BX38-CG37,IF(A38&lt;'Données projet'!$A$114,$BV$205^A38,IF(A38='Données projet'!$A$114,'Données projet'!$B$114,BY37+BX38-CG37)))</f>
        <v>75.625000000000014</v>
      </c>
      <c r="BZ38" s="13">
        <f>BY38*VLOOKUP('Données projet'!$B$12,Paramètres!$A$1:$I$89,3,0)*VLOOKUP('Données projet'!$B$12,Paramètres!$A$1:$I$89,5,0)</f>
        <v>76.683750000000032</v>
      </c>
      <c r="CA38" s="13">
        <f t="shared" si="39"/>
        <v>21.324356696665347</v>
      </c>
      <c r="CB38" s="20">
        <f t="shared" si="10"/>
        <v>170.69745249669219</v>
      </c>
      <c r="CC38" s="59">
        <f t="shared" si="11"/>
        <v>464.03078583002548</v>
      </c>
      <c r="CD38" s="59">
        <f ca="1">AVERAGE(OFFSET($CC$3,0,0,'Données projet'!$E$12+1,1))-AVERAGE(OFFSET($H$3,0,0,'Données projet'!$E$12+1,1))</f>
        <v>410.75375635525211</v>
      </c>
      <c r="CE38" s="59">
        <f t="shared" si="40"/>
        <v>183.55513001437367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3</v>
      </c>
      <c r="CT38" s="12">
        <f>IF('Données projet'!$A$140&gt;35,CT37+CS38-DB37,IF(A38&lt;'Données projet'!$A$140,$CQ$205^A38,IF(A38='Données projet'!$A$140,'Données projet'!$B$140,CT37+CS38-DB37)))</f>
        <v>105</v>
      </c>
      <c r="CU38" s="17">
        <f>CT38*VLOOKUP('Données projet'!$B$13,Paramètres!$A$1:$I$89,3,0)*VLOOKUP('Données projet'!$B$13,Paramètres!$A$1:$I$89,5,0)</f>
        <v>95.004000000000005</v>
      </c>
      <c r="CV38" s="13">
        <f t="shared" si="41"/>
        <v>25.768242550600785</v>
      </c>
      <c r="CW38" s="20">
        <f t="shared" si="13"/>
        <v>210.34498910896306</v>
      </c>
      <c r="CX38" s="59">
        <f t="shared" si="14"/>
        <v>503.67832244229635</v>
      </c>
      <c r="CY38" s="59">
        <f ca="1">AVERAGE(OFFSET($CX$3,0,0,'Données projet'!$E$13+1,1))-AVERAGE(OFFSET($H$3,0,0,'Données projet'!$E$13+1,1))</f>
        <v>436.12708882925142</v>
      </c>
      <c r="CZ38" s="59">
        <f t="shared" si="42"/>
        <v>217.65884352525285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310</v>
      </c>
      <c r="DM38" s="12">
        <f>VLOOKUP(A38,'Données projet'!$A$165:$I$185,9,0)</f>
        <v>20.8</v>
      </c>
      <c r="DN38" s="12">
        <f t="array" ref="DN38">INDEX(DM:DM,MIN(IF(ISNUMBER(DM38:DM234),ROW(DM38:DM234),"")))</f>
        <v>20.8</v>
      </c>
      <c r="DO38" s="12">
        <f>IF('Données projet'!$A$166&gt;35,DO37+DN38-DW37,IF(A38&lt;'Données projet'!$A$166,$DL$205^A38,IF(A38='Données projet'!$A$166,'Données projet'!$B$166,DO37+DN38-DW37)))</f>
        <v>310</v>
      </c>
      <c r="DP38" s="17">
        <f>DO38*VLOOKUP('Données projet'!$B$14,Paramètres!$A$1:$I$89,3,0)*VLOOKUP('Données projet'!$B$14,Paramètres!$A$1:$I$89,5,0)</f>
        <v>294.99599999999998</v>
      </c>
      <c r="DQ38" s="13">
        <f t="shared" si="43"/>
        <v>70.126408118585388</v>
      </c>
      <c r="DR38" s="20">
        <f t="shared" si="16"/>
        <v>635.9215274732029</v>
      </c>
      <c r="DS38" s="59">
        <f t="shared" si="17"/>
        <v>929.25486080653627</v>
      </c>
      <c r="DT38" s="59">
        <f ca="1">AVERAGE(OFFSET($DS$3,0,0,'Données projet'!$E$14+1,1))-AVERAGE(OFFSET($H$3,0,0,'Données projet'!$E$14+1,1))</f>
        <v>735.50267870886194</v>
      </c>
      <c r="DU38" s="59">
        <f t="shared" si="44"/>
        <v>525.80345400853275</v>
      </c>
      <c r="DV38" s="15">
        <f>IF(ISNA(VLOOKUP(A38,'Données projet'!$A$165:$I$185,3,0)),0,VLOOKUP(A38,'Données projet'!$A$165:$I$185,3,0))</f>
        <v>5</v>
      </c>
      <c r="DW38" s="15">
        <f>IF(ISNA(VLOOKUP(A38,'Données projet'!$A$165:$I$185,4,0)),0,VLOOKUP(A38,'Données projet'!$A$165:$I$185,4,0))</f>
        <v>39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2.1607142857142856</v>
      </c>
      <c r="EJ38" s="12">
        <f>IF('Données projet'!$A$192&gt;35,EJ37+EI38-ER37,IF(A38&lt;'Données projet'!$A$192,$EG$205^A38,IF(A38='Données projet'!$A$192,'Données projet'!$B$192,EJ37+EI38-ER37)))</f>
        <v>75.625000000000014</v>
      </c>
      <c r="EK38" s="17">
        <f>EJ38*VLOOKUP('Données projet'!$B$15,Paramètres!$A$1:$I$89,3,0)*VLOOKUP('Données projet'!$B$15,Paramètres!$A$1:$I$89,5,0)</f>
        <v>48.36975000000001</v>
      </c>
      <c r="EL38" s="13">
        <f t="shared" si="45"/>
        <v>14.191931696736283</v>
      </c>
      <c r="EM38" s="20">
        <f t="shared" si="19"/>
        <v>108.96159562181572</v>
      </c>
      <c r="EN38" s="59">
        <f t="shared" si="20"/>
        <v>402.29492895514903</v>
      </c>
      <c r="EO38" s="59">
        <f ca="1">AVERAGE(OFFSET($EN$3,0,0,'Données projet'!$E$15+1,1))-AVERAGE(OFFSET($H$3,0,0,'Données projet'!$E$15+1,1))</f>
        <v>274.14900959323484</v>
      </c>
      <c r="EP38" s="59">
        <f t="shared" si="46"/>
        <v>130.44590390921582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233</v>
      </c>
      <c r="FC38" s="12">
        <f>VLOOKUP(A38,'Données projet'!$A$217:$I$237,9,0)</f>
        <v>14.6</v>
      </c>
      <c r="FD38" s="12">
        <f t="array" ref="FD38">INDEX(FC:FC,MIN(IF(ISNUMBER(FC38:FC234),ROW(FC38:FC234),"")))</f>
        <v>14.6</v>
      </c>
      <c r="FE38" s="12">
        <f>IF('Données projet'!$A$218&gt;35,FE37+FD38-FM37,IF(A38&lt;'Données projet'!$A$218,$FB$205^A38,IF(A38='Données projet'!$A$218,'Données projet'!$B$218,FE37+FD38-FM37)))</f>
        <v>233.00000000000003</v>
      </c>
      <c r="FF38" s="17">
        <f>FE38*VLOOKUP('Données projet'!$B$16,Paramètres!$A$1:$I$89,3,0)*VLOOKUP('Données projet'!$B$16,Paramètres!$A$1:$I$89,5,0)</f>
        <v>139.33400000000003</v>
      </c>
      <c r="FG38" s="13">
        <f t="shared" si="47"/>
        <v>36.144391930570897</v>
      </c>
      <c r="FH38" s="20">
        <f t="shared" si="22"/>
        <v>305.62486594574438</v>
      </c>
      <c r="FI38" s="59">
        <f t="shared" si="23"/>
        <v>598.95819927907769</v>
      </c>
      <c r="FJ38" s="59">
        <f ca="1">AVERAGE(OFFSET($FI$3,0,0,'Données projet'!$E$16+1,1))-AVERAGE(OFFSET($H$3,0,0,'Données projet'!$E$16+1,1))</f>
        <v>405.42845699663462</v>
      </c>
      <c r="FK38" s="59">
        <f t="shared" si="48"/>
        <v>292.26503163353146</v>
      </c>
      <c r="FL38" s="15">
        <f>IF(ISNA(VLOOKUP(A38,'Données projet'!$A$217:$I$237,3,0)),0,VLOOKUP(A38,'Données projet'!$A$217:$I$237,3,0))</f>
        <v>4</v>
      </c>
      <c r="FM38" s="15">
        <f>IF(ISNA(VLOOKUP(A38,'Données projet'!$A$217:$I$237,4,0)),0,VLOOKUP(A38,'Données projet'!$A$217:$I$237,4,0))</f>
        <v>41</v>
      </c>
      <c r="FN38" s="16">
        <f>IF(ISNA(VLOOKUP(A38,'Données projet'!$A$217:$I$237,5,0)),0%,VLOOKUP(A38,'Données projet'!$A$217:$I$237,5,0)*VLOOKUP('Données projet'!$B$16,Paramètres!$A$1:$I$89,7,0))</f>
        <v>0.13500000000000001</v>
      </c>
      <c r="FO38" s="16">
        <f>IF(ISNA(VLOOKUP(A38,'Données projet'!$A$217:$I$237,6,0)),0%,VLOOKUP(A38,'Données projet'!$A$217:$I$237,6,0)*VLOOKUP('Données projet'!$B$16,Paramètres!$A$1:$I$89,7,0))</f>
        <v>0.22500000000000001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8.6280910276596749</v>
      </c>
      <c r="FR38" s="21">
        <f>EXP(-LN(2)/25)*FR37+(1-EXP(-LN(2)/25))/(LN(2)/25)*Calculateur!FM38*Calculateur!FO38*VLOOKUP('Données projet'!$B$16,Paramètres!$A$1:$I$89,3,0)*0.475*44/12</f>
        <v>19.390313659858869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28.018404687518544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233</v>
      </c>
      <c r="FX38" s="12">
        <f>VLOOKUP(A38,'Données projet'!$A$243:$I$263,9,0)</f>
        <v>14.6</v>
      </c>
      <c r="FY38" s="12">
        <f t="array" ref="FY38">INDEX(FX:FX,MIN(IF(ISNUMBER(FX38:FX234),ROW(FX38:FX234),"")))</f>
        <v>14.6</v>
      </c>
      <c r="FZ38" s="12">
        <f>IF('Données projet'!$A$244&gt;35,FZ37+FY38-GH37,IF(A38&lt;'Données projet'!$A$244,$FW$205^A38,IF(A38='Données projet'!$A$244,'Données projet'!$B$244,FZ37+FY38-GH37)))</f>
        <v>233.00000000000003</v>
      </c>
      <c r="GA38" s="17">
        <f>FZ38*VLOOKUP('Données projet'!$B$17,Paramètres!$A$1:$I$89,3,0)*VLOOKUP('Données projet'!$B$17,Paramètres!$A$1:$I$89,5,0)</f>
        <v>139.33400000000003</v>
      </c>
      <c r="GB38" s="13">
        <f t="shared" si="49"/>
        <v>36.144391930570897</v>
      </c>
      <c r="GC38" s="20">
        <f t="shared" si="25"/>
        <v>305.62486594574438</v>
      </c>
      <c r="GD38" s="59">
        <f t="shared" si="26"/>
        <v>598.95819927907769</v>
      </c>
      <c r="GE38" s="59">
        <f ca="1">AVERAGE(OFFSET($GD$3,0,0,'Données projet'!$E$17+1,1))-AVERAGE(OFFSET($H$3,0,0,'Données projet'!$E$17+1,1))</f>
        <v>405.42845699663462</v>
      </c>
      <c r="GF38" s="59">
        <f t="shared" si="50"/>
        <v>292.26503163353146</v>
      </c>
      <c r="GG38" s="15">
        <f>IF(ISNA(VLOOKUP(A38,'Données projet'!$A$243:$I$263,3,0)),0,VLOOKUP(A38,'Données projet'!$A$243:$I$263,3,0))</f>
        <v>4</v>
      </c>
      <c r="GH38" s="15">
        <f>IF(ISNA(VLOOKUP(A38,'Données projet'!$A$243:$I$263,4,0)),0,VLOOKUP(A38,'Données projet'!$A$243:$I$263,4,0))</f>
        <v>41</v>
      </c>
      <c r="GI38" s="16">
        <f>IF(ISNA(VLOOKUP(A38,'Données projet'!$A$243:$I$263,5,0)),0%,VLOOKUP(A38,'Données projet'!$A$243:$I$263,5,0)*VLOOKUP('Données projet'!$B$17,Paramètres!$A$1:$I$89,7,0))</f>
        <v>0.13500000000000001</v>
      </c>
      <c r="GJ38" s="16">
        <f>IF(ISNA(VLOOKUP(A38,'Données projet'!$A$243:$I$263,6,0)),0%,VLOOKUP(A38,'Données projet'!$A$243:$I$263,6,0)*VLOOKUP('Données projet'!$B$17,Paramètres!$A$1:$I$89,7,0))</f>
        <v>0.22500000000000001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8.6280910276596749</v>
      </c>
      <c r="GM38" s="21">
        <f>EXP(-LN(2)/25)*GM37+(1-EXP(-LN(2)/25))/(LN(2)/25)*Calculateur!GH38*Calculateur!GJ38*VLOOKUP('Données projet'!$B$17,Paramètres!$A$1:$I$89,3,0)*0.475*44/12</f>
        <v>19.390313659858869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28.018404687518544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</v>
      </c>
      <c r="N39" s="13">
        <f>IF('Données projet'!$A$36&gt;35,N38+M39-V38,IF(A39&lt;'Données projet'!$A$36,$K$205^A39,IF(A39='Données projet'!$A$36,'Données projet'!$B$36,N38+M39-V38)))</f>
        <v>206.02499999999992</v>
      </c>
      <c r="O39" s="13">
        <f>N39*VLOOKUP('Données projet'!$B$9,Paramètres!$A$1:$I$89,3,0)*VLOOKUP('Données projet'!$B$9,Paramètres!$A$1:$I$89,5,0)</f>
        <v>96.419699999999963</v>
      </c>
      <c r="P39" s="13">
        <f t="shared" si="33"/>
        <v>26.107238969082097</v>
      </c>
      <c r="Q39" s="20">
        <f t="shared" si="53"/>
        <v>213.40108537115125</v>
      </c>
      <c r="R39" s="59">
        <f t="shared" si="0"/>
        <v>506.7344187044846</v>
      </c>
      <c r="S39" s="59">
        <f ca="1">AVERAGE(OFFSET($R$3,0,0,'Données projet'!$E$9+1,1))-AVERAGE(OFFSET($H$3,0,0,'Données projet'!$E$9+1,1))</f>
        <v>198.26255998041</v>
      </c>
      <c r="T39" s="59">
        <f t="shared" si="34"/>
        <v>238.62101708181166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26.087384288282507</v>
      </c>
      <c r="AB39" s="21">
        <f>EXP(-LN(2)/2)*AB38+(1-EXP(-LN(2)/2))/(LN(2)/2)*V39*Y39*VLOOKUP('Données projet'!$B$9,Paramètres!$A$1:$I$89,3,0)*0.475*44/12</f>
        <v>0</v>
      </c>
      <c r="AC39" s="22">
        <f t="shared" si="3"/>
        <v>26.087384288282507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19.714285714285715</v>
      </c>
      <c r="AI39" s="13">
        <f>IF('Données projet'!$A$62&gt;35,AI38+AH39-AQ38,IF(A39&lt;'Données projet'!$A$62,$AF$205^A39,IF(A39='Données projet'!$A$62,'Données projet'!$B$62,AI38+AH39-AQ38)))</f>
        <v>331.85714285714295</v>
      </c>
      <c r="AJ39" s="13">
        <f>AI39*VLOOKUP('Données projet'!$B$10,Paramètres!$A$1:$I$89,3,0)*VLOOKUP('Données projet'!$B$10,Paramètres!$A$1:$I$89,5,0)</f>
        <v>185.5081428571429</v>
      </c>
      <c r="AK39" s="13">
        <f t="shared" si="35"/>
        <v>46.545488425938196</v>
      </c>
      <c r="AL39" s="20">
        <f t="shared" si="4"/>
        <v>404.16007448469958</v>
      </c>
      <c r="AM39" s="59">
        <f t="shared" si="5"/>
        <v>697.49340781803289</v>
      </c>
      <c r="AN39" s="59">
        <f ca="1">AVERAGE(OFFSET($AM$3,0,0,'Données projet'!$E$10+1,1))-AVERAGE(OFFSET($H$3,0,0,'Données projet'!$E$10+1,1))</f>
        <v>347.02720636703873</v>
      </c>
      <c r="AO39" s="59">
        <f t="shared" si="36"/>
        <v>394.03759949558702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10.865211447755467</v>
      </c>
      <c r="AV39" s="21">
        <f>EXP(-LN(2)/25)*AV38+(1-EXP(-LN(2)/25))/(LN(2)/25)*Calculateur!AQ39*Calculateur!AS39*VLOOKUP('Données projet'!$B$10,Paramètres!$A$1:$I$89,3,0)*0.475*44/12</f>
        <v>28.496657075419733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39.361868523175204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17.600000000000001</v>
      </c>
      <c r="BD39" s="12">
        <f>IF('Données projet'!$A$88&gt;35,BD38+BC39-BL38,IF(A39&lt;'Données projet'!$A$88,$BA$205^A39,IF(A39='Données projet'!$A$88,'Données projet'!$B$88,BD38+BC39-BL38)))</f>
        <v>261.60000000000008</v>
      </c>
      <c r="BE39" s="13">
        <f>BD39*VLOOKUP('Données projet'!$B$11,Paramètres!$A$1:$I$89,3,0)*VLOOKUP('Données projet'!$B$11,Paramètres!$A$1:$I$89,5,0)</f>
        <v>156.43680000000006</v>
      </c>
      <c r="BF39" s="13">
        <f t="shared" si="37"/>
        <v>40.037775291207829</v>
      </c>
      <c r="BG39" s="20">
        <f t="shared" si="7"/>
        <v>342.1932186321871</v>
      </c>
      <c r="BH39" s="59">
        <f t="shared" si="8"/>
        <v>635.52655196552041</v>
      </c>
      <c r="BI39" s="59">
        <f ca="1">AVERAGE(OFFSET($BH$3,0,0,'Données projet'!$E$11+1,1))-AVERAGE(OFFSET($H$3,0,0,'Données projet'!$E$11+1,1))</f>
        <v>378.75660696651238</v>
      </c>
      <c r="BJ39" s="59">
        <f t="shared" si="38"/>
        <v>371.70674704563288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12.018406250391321</v>
      </c>
      <c r="BQ39" s="21">
        <f>EXP(-LN(2)/25)*BQ38+(1-EXP(-LN(2)/25))/(LN(2)/25)*Calculateur!BL39*Calculateur!BN39*VLOOKUP('Données projet'!$B$11,Paramètres!$A$1:$I$89,3,0)*0.475*44/12</f>
        <v>30.557450559779472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42.575856810170791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2.1607142857142856</v>
      </c>
      <c r="BY39" s="12">
        <f>IF('Données projet'!$A$114&gt;35,BY38+BX39-CG38,IF(A39&lt;'Données projet'!$A$114,$BV$205^A39,IF(A39='Données projet'!$A$114,'Données projet'!$B$114,BY38+BX39-CG38)))</f>
        <v>77.785714285714306</v>
      </c>
      <c r="BZ39" s="13">
        <f>BY39*VLOOKUP('Données projet'!$B$12,Paramètres!$A$1:$I$89,3,0)*VLOOKUP('Données projet'!$B$12,Paramètres!$A$1:$I$89,5,0)</f>
        <v>78.874714285714305</v>
      </c>
      <c r="CA39" s="13">
        <f t="shared" si="39"/>
        <v>21.861819493014629</v>
      </c>
      <c r="CB39" s="20">
        <f t="shared" si="10"/>
        <v>175.44946299795288</v>
      </c>
      <c r="CC39" s="59">
        <f t="shared" si="11"/>
        <v>468.78279633128619</v>
      </c>
      <c r="CD39" s="59">
        <f ca="1">AVERAGE(OFFSET($CC$3,0,0,'Données projet'!$E$12+1,1))-AVERAGE(OFFSET($H$3,0,0,'Données projet'!$E$12+1,1))</f>
        <v>410.75375635525211</v>
      </c>
      <c r="CE39" s="59">
        <f t="shared" si="40"/>
        <v>183.55513001437367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3</v>
      </c>
      <c r="CT39" s="12">
        <f>IF('Données projet'!$A$140&gt;35,CT38+CS39-DB38,IF(A39&lt;'Données projet'!$A$140,$CQ$205^A39,IF(A39='Données projet'!$A$140,'Données projet'!$B$140,CT38+CS39-DB38)))</f>
        <v>108</v>
      </c>
      <c r="CU39" s="17">
        <f>CT39*VLOOKUP('Données projet'!$B$13,Paramètres!$A$1:$I$89,3,0)*VLOOKUP('Données projet'!$B$13,Paramètres!$A$1:$I$89,5,0)</f>
        <v>97.718399999999988</v>
      </c>
      <c r="CV39" s="13">
        <f t="shared" si="41"/>
        <v>26.417709819192194</v>
      </c>
      <c r="CW39" s="20">
        <f t="shared" si="13"/>
        <v>216.20372460175972</v>
      </c>
      <c r="CX39" s="59">
        <f t="shared" si="14"/>
        <v>509.537057935093</v>
      </c>
      <c r="CY39" s="59">
        <f ca="1">AVERAGE(OFFSET($CX$3,0,0,'Données projet'!$E$13+1,1))-AVERAGE(OFFSET($H$3,0,0,'Données projet'!$E$13+1,1))</f>
        <v>436.12708882925142</v>
      </c>
      <c r="CZ39" s="59">
        <f t="shared" si="42"/>
        <v>217.65884352525285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18</v>
      </c>
      <c r="DO39" s="12">
        <f>IF('Données projet'!$A$166&gt;35,DO38+DN39-DW38,IF(A39&lt;'Données projet'!$A$166,$DL$205^A39,IF(A39='Données projet'!$A$166,'Données projet'!$B$166,DO38+DN39-DW38)))</f>
        <v>289</v>
      </c>
      <c r="DP39" s="17">
        <f>DO39*VLOOKUP('Données projet'!$B$14,Paramètres!$A$1:$I$89,3,0)*VLOOKUP('Données projet'!$B$14,Paramètres!$A$1:$I$89,5,0)</f>
        <v>275.01240000000001</v>
      </c>
      <c r="DQ39" s="13">
        <f t="shared" si="43"/>
        <v>65.911885597559035</v>
      </c>
      <c r="DR39" s="20">
        <f t="shared" si="16"/>
        <v>593.77646408241537</v>
      </c>
      <c r="DS39" s="59">
        <f t="shared" si="17"/>
        <v>887.10979741574874</v>
      </c>
      <c r="DT39" s="59">
        <f ca="1">AVERAGE(OFFSET($DS$3,0,0,'Données projet'!$E$14+1,1))-AVERAGE(OFFSET($H$3,0,0,'Données projet'!$E$14+1,1))</f>
        <v>735.50267870886194</v>
      </c>
      <c r="DU39" s="59">
        <f t="shared" si="44"/>
        <v>525.80345400853275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2.1607142857142856</v>
      </c>
      <c r="EJ39" s="12">
        <f>IF('Données projet'!$A$192&gt;35,EJ38+EI39-ER38,IF(A39&lt;'Données projet'!$A$192,$EG$205^A39,IF(A39='Données projet'!$A$192,'Données projet'!$B$192,EJ38+EI39-ER38)))</f>
        <v>77.785714285714306</v>
      </c>
      <c r="EK39" s="17">
        <f>EJ39*VLOOKUP('Données projet'!$B$15,Paramètres!$A$1:$I$89,3,0)*VLOOKUP('Données projet'!$B$15,Paramètres!$A$1:$I$89,5,0)</f>
        <v>49.751742857142872</v>
      </c>
      <c r="EL39" s="13">
        <f t="shared" si="45"/>
        <v>14.549627612436229</v>
      </c>
      <c r="EM39" s="20">
        <f t="shared" si="19"/>
        <v>111.99155356785026</v>
      </c>
      <c r="EN39" s="59">
        <f t="shared" si="20"/>
        <v>405.32488690118356</v>
      </c>
      <c r="EO39" s="59">
        <f ca="1">AVERAGE(OFFSET($EN$3,0,0,'Données projet'!$E$15+1,1))-AVERAGE(OFFSET($H$3,0,0,'Données projet'!$E$15+1,1))</f>
        <v>274.14900959323484</v>
      </c>
      <c r="EP39" s="59">
        <f t="shared" si="46"/>
        <v>130.44590390921582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14.4</v>
      </c>
      <c r="FE39" s="12">
        <f>IF('Données projet'!$A$218&gt;35,FE38+FD39-FM38,IF(A39&lt;'Données projet'!$A$218,$FB$205^A39,IF(A39='Données projet'!$A$218,'Données projet'!$B$218,FE38+FD39-FM38)))</f>
        <v>206.40000000000003</v>
      </c>
      <c r="FF39" s="17">
        <f>FE39*VLOOKUP('Données projet'!$B$16,Paramètres!$A$1:$I$89,3,0)*VLOOKUP('Données projet'!$B$16,Paramètres!$A$1:$I$89,5,0)</f>
        <v>123.42720000000003</v>
      </c>
      <c r="FG39" s="13">
        <f t="shared" si="47"/>
        <v>32.473022671122074</v>
      </c>
      <c r="FH39" s="20">
        <f t="shared" si="22"/>
        <v>271.5262211522043</v>
      </c>
      <c r="FI39" s="59">
        <f t="shared" si="23"/>
        <v>564.85955448553761</v>
      </c>
      <c r="FJ39" s="59">
        <f ca="1">AVERAGE(OFFSET($FI$3,0,0,'Données projet'!$E$16+1,1))-AVERAGE(OFFSET($H$3,0,0,'Données projet'!$E$16+1,1))</f>
        <v>405.42845699663462</v>
      </c>
      <c r="FK39" s="59">
        <f t="shared" si="48"/>
        <v>292.26503163353146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8.4588994252231551</v>
      </c>
      <c r="FR39" s="21">
        <f>EXP(-LN(2)/25)*FR38+(1-EXP(-LN(2)/25))/(LN(2)/25)*Calculateur!FM39*Calculateur!FO39*VLOOKUP('Données projet'!$B$16,Paramètres!$A$1:$I$89,3,0)*0.475*44/12</f>
        <v>18.86008451313775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27.318983938360905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14.4</v>
      </c>
      <c r="FZ39" s="12">
        <f>IF('Données projet'!$A$244&gt;35,FZ38+FY39-GH38,IF(A39&lt;'Données projet'!$A$244,$FW$205^A39,IF(A39='Données projet'!$A$244,'Données projet'!$B$244,FZ38+FY39-GH38)))</f>
        <v>206.40000000000003</v>
      </c>
      <c r="GA39" s="17">
        <f>FZ39*VLOOKUP('Données projet'!$B$17,Paramètres!$A$1:$I$89,3,0)*VLOOKUP('Données projet'!$B$17,Paramètres!$A$1:$I$89,5,0)</f>
        <v>123.42720000000003</v>
      </c>
      <c r="GB39" s="13">
        <f t="shared" si="49"/>
        <v>32.473022671122074</v>
      </c>
      <c r="GC39" s="20">
        <f t="shared" si="25"/>
        <v>271.5262211522043</v>
      </c>
      <c r="GD39" s="59">
        <f t="shared" si="26"/>
        <v>564.85955448553761</v>
      </c>
      <c r="GE39" s="59">
        <f ca="1">AVERAGE(OFFSET($GD$3,0,0,'Données projet'!$E$17+1,1))-AVERAGE(OFFSET($H$3,0,0,'Données projet'!$E$17+1,1))</f>
        <v>405.42845699663462</v>
      </c>
      <c r="GF39" s="59">
        <f t="shared" si="50"/>
        <v>292.26503163353146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8.4588994252231551</v>
      </c>
      <c r="GM39" s="21">
        <f>EXP(-LN(2)/25)*GM38+(1-EXP(-LN(2)/25))/(LN(2)/25)*Calculateur!GH39*Calculateur!GJ39*VLOOKUP('Données projet'!$B$17,Paramètres!$A$1:$I$89,3,0)*0.475*44/12</f>
        <v>18.86008451313775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27.318983938360905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</v>
      </c>
      <c r="N40" s="13">
        <f>IF('Données projet'!$A$36&gt;35,N39+M40-V39,IF(A40&lt;'Données projet'!$A$36,$K$205^A40,IF(A40='Données projet'!$A$36,'Données projet'!$B$36,N39+M40-V39)))</f>
        <v>216.02499999999992</v>
      </c>
      <c r="O40" s="13">
        <f>N40*VLOOKUP('Données projet'!$B$9,Paramètres!$A$1:$I$89,3,0)*VLOOKUP('Données projet'!$B$9,Paramètres!$A$1:$I$89,5,0)</f>
        <v>101.09969999999996</v>
      </c>
      <c r="P40" s="13">
        <f t="shared" si="33"/>
        <v>27.223818911890113</v>
      </c>
      <c r="Q40" s="20">
        <f t="shared" si="53"/>
        <v>223.49679543820852</v>
      </c>
      <c r="R40" s="59">
        <f t="shared" si="0"/>
        <v>516.83012877154181</v>
      </c>
      <c r="S40" s="59">
        <f ca="1">AVERAGE(OFFSET($R$3,0,0,'Données projet'!$E$9+1,1))-AVERAGE(OFFSET($H$3,0,0,'Données projet'!$E$9+1,1))</f>
        <v>198.26255998041</v>
      </c>
      <c r="T40" s="59">
        <f t="shared" si="34"/>
        <v>238.62101708181166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25.374023393043505</v>
      </c>
      <c r="AB40" s="21">
        <f>EXP(-LN(2)/2)*AB39+(1-EXP(-LN(2)/2))/(LN(2)/2)*V40*Y40*VLOOKUP('Données projet'!$B$9,Paramètres!$A$1:$I$89,3,0)*0.475*44/12</f>
        <v>0</v>
      </c>
      <c r="AC40" s="22">
        <f t="shared" si="3"/>
        <v>25.374023393043505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19.714285714285715</v>
      </c>
      <c r="AI40" s="13">
        <f>IF('Données projet'!$A$62&gt;35,AI39+AH40-AQ39,IF(A40&lt;'Données projet'!$A$62,$AF$205^A40,IF(A40='Données projet'!$A$62,'Données projet'!$B$62,AI39+AH40-AQ39)))</f>
        <v>351.57142857142867</v>
      </c>
      <c r="AJ40" s="13">
        <f>AI40*VLOOKUP('Données projet'!$B$10,Paramètres!$A$1:$I$89,3,0)*VLOOKUP('Données projet'!$B$10,Paramètres!$A$1:$I$89,5,0)</f>
        <v>196.52842857142863</v>
      </c>
      <c r="AK40" s="13">
        <f t="shared" si="35"/>
        <v>48.980445625371871</v>
      </c>
      <c r="AL40" s="20">
        <f t="shared" si="4"/>
        <v>427.59462255942753</v>
      </c>
      <c r="AM40" s="59">
        <f t="shared" si="5"/>
        <v>720.92795589276079</v>
      </c>
      <c r="AN40" s="59">
        <f ca="1">AVERAGE(OFFSET($AM$3,0,0,'Données projet'!$E$10+1,1))-AVERAGE(OFFSET($H$3,0,0,'Données projet'!$E$10+1,1))</f>
        <v>347.02720636703873</v>
      </c>
      <c r="AO40" s="59">
        <f t="shared" si="36"/>
        <v>394.03759949558702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10.65215127838959</v>
      </c>
      <c r="AV40" s="21">
        <f>EXP(-LN(2)/25)*AV39+(1-EXP(-LN(2)/25))/(LN(2)/25)*Calculateur!AQ40*Calculateur!AS40*VLOOKUP('Données projet'!$B$10,Paramètres!$A$1:$I$89,3,0)*0.475*44/12</f>
        <v>27.717414489118315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38.369565767507908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17.600000000000001</v>
      </c>
      <c r="BD40" s="12">
        <f>IF('Données projet'!$A$88&gt;35,BD39+BC40-BL39,IF(A40&lt;'Données projet'!$A$88,$BA$205^A40,IF(A40='Données projet'!$A$88,'Données projet'!$B$88,BD39+BC40-BL39)))</f>
        <v>279.2000000000001</v>
      </c>
      <c r="BE40" s="13">
        <f>BD40*VLOOKUP('Données projet'!$B$11,Paramètres!$A$1:$I$89,3,0)*VLOOKUP('Données projet'!$B$11,Paramètres!$A$1:$I$89,5,0)</f>
        <v>166.96160000000006</v>
      </c>
      <c r="BF40" s="13">
        <f t="shared" si="37"/>
        <v>42.408810446399933</v>
      </c>
      <c r="BG40" s="20">
        <f t="shared" si="7"/>
        <v>364.6534648608133</v>
      </c>
      <c r="BH40" s="59">
        <f t="shared" si="8"/>
        <v>657.98679819414656</v>
      </c>
      <c r="BI40" s="59">
        <f ca="1">AVERAGE(OFFSET($BH$3,0,0,'Données projet'!$E$11+1,1))-AVERAGE(OFFSET($H$3,0,0,'Données projet'!$E$11+1,1))</f>
        <v>378.75660696651238</v>
      </c>
      <c r="BJ40" s="59">
        <f t="shared" si="38"/>
        <v>371.70674704563288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11.782732634325132</v>
      </c>
      <c r="BQ40" s="21">
        <f>EXP(-LN(2)/25)*BQ39+(1-EXP(-LN(2)/25))/(LN(2)/25)*Calculateur!BL40*Calculateur!BN40*VLOOKUP('Données projet'!$B$11,Paramètres!$A$1:$I$89,3,0)*0.475*44/12</f>
        <v>29.721855467275816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41.504588101600945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2.1607142857142856</v>
      </c>
      <c r="BY40" s="12">
        <f>IF('Données projet'!$A$114&gt;35,BY39+BX40-CG39,IF(A40&lt;'Données projet'!$A$114,$BV$205^A40,IF(A40='Données projet'!$A$114,'Données projet'!$B$114,BY39+BX40-CG39)))</f>
        <v>79.946428571428598</v>
      </c>
      <c r="BZ40" s="13">
        <f>BY40*VLOOKUP('Données projet'!$B$12,Paramètres!$A$1:$I$89,3,0)*VLOOKUP('Données projet'!$B$12,Paramètres!$A$1:$I$89,5,0)</f>
        <v>81.065678571428606</v>
      </c>
      <c r="CA40" s="13">
        <f t="shared" si="39"/>
        <v>22.397547063599596</v>
      </c>
      <c r="CB40" s="20">
        <f t="shared" si="10"/>
        <v>180.19845131434079</v>
      </c>
      <c r="CC40" s="59">
        <f t="shared" si="11"/>
        <v>473.5317846476741</v>
      </c>
      <c r="CD40" s="59">
        <f ca="1">AVERAGE(OFFSET($CC$3,0,0,'Données projet'!$E$12+1,1))-AVERAGE(OFFSET($H$3,0,0,'Données projet'!$E$12+1,1))</f>
        <v>410.75375635525211</v>
      </c>
      <c r="CE40" s="59">
        <f t="shared" si="40"/>
        <v>183.55513001437367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3</v>
      </c>
      <c r="CT40" s="12">
        <f>IF('Données projet'!$A$140&gt;35,CT39+CS40-DB39,IF(A40&lt;'Données projet'!$A$140,$CQ$205^A40,IF(A40='Données projet'!$A$140,'Données projet'!$B$140,CT39+CS40-DB39)))</f>
        <v>111</v>
      </c>
      <c r="CU40" s="17">
        <f>CT40*VLOOKUP('Données projet'!$B$13,Paramètres!$A$1:$I$89,3,0)*VLOOKUP('Données projet'!$B$13,Paramètres!$A$1:$I$89,5,0)</f>
        <v>100.4328</v>
      </c>
      <c r="CV40" s="13">
        <f t="shared" si="41"/>
        <v>27.065080249927675</v>
      </c>
      <c r="CW40" s="20">
        <f t="shared" si="13"/>
        <v>222.0588081019574</v>
      </c>
      <c r="CX40" s="59">
        <f t="shared" si="14"/>
        <v>515.39214143529068</v>
      </c>
      <c r="CY40" s="59">
        <f ca="1">AVERAGE(OFFSET($CX$3,0,0,'Données projet'!$E$13+1,1))-AVERAGE(OFFSET($H$3,0,0,'Données projet'!$E$13+1,1))</f>
        <v>436.12708882925142</v>
      </c>
      <c r="CZ40" s="59">
        <f t="shared" si="42"/>
        <v>217.65884352525285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18</v>
      </c>
      <c r="DO40" s="12">
        <f>IF('Données projet'!$A$166&gt;35,DO39+DN40-DW39,IF(A40&lt;'Données projet'!$A$166,$DL$205^A40,IF(A40='Données projet'!$A$166,'Données projet'!$B$166,DO39+DN40-DW39)))</f>
        <v>307</v>
      </c>
      <c r="DP40" s="17">
        <f>DO40*VLOOKUP('Données projet'!$B$14,Paramètres!$A$1:$I$89,3,0)*VLOOKUP('Données projet'!$B$14,Paramètres!$A$1:$I$89,5,0)</f>
        <v>292.14119999999997</v>
      </c>
      <c r="DQ40" s="13">
        <f t="shared" si="43"/>
        <v>69.526420504752267</v>
      </c>
      <c r="DR40" s="20">
        <f t="shared" si="16"/>
        <v>629.90443904577683</v>
      </c>
      <c r="DS40" s="59">
        <f t="shared" si="17"/>
        <v>923.23777237911008</v>
      </c>
      <c r="DT40" s="59">
        <f ca="1">AVERAGE(OFFSET($DS$3,0,0,'Données projet'!$E$14+1,1))-AVERAGE(OFFSET($H$3,0,0,'Données projet'!$E$14+1,1))</f>
        <v>735.50267870886194</v>
      </c>
      <c r="DU40" s="59">
        <f t="shared" si="44"/>
        <v>525.80345400853275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2.1607142857142856</v>
      </c>
      <c r="EJ40" s="12">
        <f>IF('Données projet'!$A$192&gt;35,EJ39+EI40-ER39,IF(A40&lt;'Données projet'!$A$192,$EG$205^A40,IF(A40='Données projet'!$A$192,'Données projet'!$B$192,EJ39+EI40-ER39)))</f>
        <v>79.946428571428598</v>
      </c>
      <c r="EK40" s="17">
        <f>EJ40*VLOOKUP('Données projet'!$B$15,Paramètres!$A$1:$I$89,3,0)*VLOOKUP('Données projet'!$B$15,Paramètres!$A$1:$I$89,5,0)</f>
        <v>51.133735714285727</v>
      </c>
      <c r="EL40" s="13">
        <f t="shared" si="45"/>
        <v>14.906168688819045</v>
      </c>
      <c r="EM40" s="20">
        <f t="shared" si="19"/>
        <v>115.01950016874081</v>
      </c>
      <c r="EN40" s="59">
        <f t="shared" si="20"/>
        <v>408.35283350207413</v>
      </c>
      <c r="EO40" s="59">
        <f ca="1">AVERAGE(OFFSET($EN$3,0,0,'Données projet'!$E$15+1,1))-AVERAGE(OFFSET($H$3,0,0,'Données projet'!$E$15+1,1))</f>
        <v>274.14900959323484</v>
      </c>
      <c r="EP40" s="59">
        <f t="shared" si="46"/>
        <v>130.44590390921582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14.4</v>
      </c>
      <c r="FE40" s="12">
        <f>IF('Données projet'!$A$218&gt;35,FE39+FD40-FM39,IF(A40&lt;'Données projet'!$A$218,$FB$205^A40,IF(A40='Données projet'!$A$218,'Données projet'!$B$218,FE39+FD40-FM39)))</f>
        <v>220.80000000000004</v>
      </c>
      <c r="FF40" s="17">
        <f>FE40*VLOOKUP('Données projet'!$B$16,Paramètres!$A$1:$I$89,3,0)*VLOOKUP('Données projet'!$B$16,Paramètres!$A$1:$I$89,5,0)</f>
        <v>132.03840000000005</v>
      </c>
      <c r="FG40" s="13">
        <f t="shared" si="47"/>
        <v>34.466946374534373</v>
      </c>
      <c r="FH40" s="20">
        <f t="shared" si="22"/>
        <v>289.99681160231415</v>
      </c>
      <c r="FI40" s="59">
        <f t="shared" si="23"/>
        <v>583.33014493564747</v>
      </c>
      <c r="FJ40" s="59">
        <f ca="1">AVERAGE(OFFSET($FI$3,0,0,'Données projet'!$E$16+1,1))-AVERAGE(OFFSET($H$3,0,0,'Données projet'!$E$16+1,1))</f>
        <v>405.42845699663462</v>
      </c>
      <c r="FK40" s="59">
        <f t="shared" si="48"/>
        <v>292.26503163353146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8.2930255669137285</v>
      </c>
      <c r="FR40" s="21">
        <f>EXP(-LN(2)/25)*FR39+(1-EXP(-LN(2)/25))/(LN(2)/25)*Calculateur!FM40*Calculateur!FO40*VLOOKUP('Données projet'!$B$16,Paramètres!$A$1:$I$89,3,0)*0.475*44/12</f>
        <v>18.34435451031726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26.637380077230986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14.4</v>
      </c>
      <c r="FZ40" s="12">
        <f>IF('Données projet'!$A$244&gt;35,FZ39+FY40-GH39,IF(A40&lt;'Données projet'!$A$244,$FW$205^A40,IF(A40='Données projet'!$A$244,'Données projet'!$B$244,FZ39+FY40-GH39)))</f>
        <v>220.80000000000004</v>
      </c>
      <c r="GA40" s="17">
        <f>FZ40*VLOOKUP('Données projet'!$B$17,Paramètres!$A$1:$I$89,3,0)*VLOOKUP('Données projet'!$B$17,Paramètres!$A$1:$I$89,5,0)</f>
        <v>132.03840000000005</v>
      </c>
      <c r="GB40" s="13">
        <f t="shared" si="49"/>
        <v>34.466946374534373</v>
      </c>
      <c r="GC40" s="20">
        <f t="shared" si="25"/>
        <v>289.99681160231415</v>
      </c>
      <c r="GD40" s="59">
        <f t="shared" si="26"/>
        <v>583.33014493564747</v>
      </c>
      <c r="GE40" s="59">
        <f ca="1">AVERAGE(OFFSET($GD$3,0,0,'Données projet'!$E$17+1,1))-AVERAGE(OFFSET($H$3,0,0,'Données projet'!$E$17+1,1))</f>
        <v>405.42845699663462</v>
      </c>
      <c r="GF40" s="59">
        <f t="shared" si="50"/>
        <v>292.26503163353146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8.2930255669137285</v>
      </c>
      <c r="GM40" s="21">
        <f>EXP(-LN(2)/25)*GM39+(1-EXP(-LN(2)/25))/(LN(2)/25)*Calculateur!GH40*Calculateur!GJ40*VLOOKUP('Données projet'!$B$17,Paramètres!$A$1:$I$89,3,0)*0.475*44/12</f>
        <v>18.34435451031726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26.637380077230986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</v>
      </c>
      <c r="N41" s="13">
        <f>IF('Données projet'!$A$36&gt;35,N40+M41-V40,IF(A41&lt;'Données projet'!$A$36,$K$205^A41,IF(A41='Données projet'!$A$36,'Données projet'!$B$36,N40+M41-V40)))</f>
        <v>226.02499999999992</v>
      </c>
      <c r="O41" s="13">
        <f>N41*VLOOKUP('Données projet'!$B$9,Paramètres!$A$1:$I$89,3,0)*VLOOKUP('Données projet'!$B$9,Paramètres!$A$1:$I$89,5,0)</f>
        <v>105.77969999999996</v>
      </c>
      <c r="P41" s="13">
        <f t="shared" si="33"/>
        <v>28.334396342195824</v>
      </c>
      <c r="Q41" s="20">
        <f t="shared" si="53"/>
        <v>233.58205112932433</v>
      </c>
      <c r="R41" s="59">
        <f t="shared" si="0"/>
        <v>526.91538446265758</v>
      </c>
      <c r="S41" s="59">
        <f ca="1">AVERAGE(OFFSET($R$3,0,0,'Données projet'!$E$9+1,1))-AVERAGE(OFFSET($H$3,0,0,'Données projet'!$E$9+1,1))</f>
        <v>198.26255998041</v>
      </c>
      <c r="T41" s="59">
        <f t="shared" si="34"/>
        <v>238.62101708181166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24.680169388998834</v>
      </c>
      <c r="AB41" s="21">
        <f>EXP(-LN(2)/2)*AB40+(1-EXP(-LN(2)/2))/(LN(2)/2)*V41*Y41*VLOOKUP('Données projet'!$B$9,Paramètres!$A$1:$I$89,3,0)*0.475*44/12</f>
        <v>0</v>
      </c>
      <c r="AC41" s="22">
        <f t="shared" si="3"/>
        <v>24.680169388998834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19.714285714285715</v>
      </c>
      <c r="AI41" s="13">
        <f>IF('Données projet'!$A$62&gt;35,AI40+AH41-AQ40,IF(A41&lt;'Données projet'!$A$62,$AF$205^A41,IF(A41='Données projet'!$A$62,'Données projet'!$B$62,AI40+AH41-AQ40)))</f>
        <v>371.28571428571439</v>
      </c>
      <c r="AJ41" s="13">
        <f>AI41*VLOOKUP('Données projet'!$B$10,Paramètres!$A$1:$I$89,3,0)*VLOOKUP('Données projet'!$B$10,Paramètres!$A$1:$I$89,5,0)</f>
        <v>207.54871428571434</v>
      </c>
      <c r="AK41" s="13">
        <f t="shared" si="35"/>
        <v>51.3995525965097</v>
      </c>
      <c r="AL41" s="20">
        <f t="shared" si="4"/>
        <v>451.00156481987352</v>
      </c>
      <c r="AM41" s="59">
        <f t="shared" si="5"/>
        <v>744.33489815320684</v>
      </c>
      <c r="AN41" s="59">
        <f ca="1">AVERAGE(OFFSET($AM$3,0,0,'Données projet'!$E$10+1,1))-AVERAGE(OFFSET($H$3,0,0,'Données projet'!$E$10+1,1))</f>
        <v>347.02720636703873</v>
      </c>
      <c r="AO41" s="59">
        <f t="shared" si="36"/>
        <v>394.03759949558702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10.443269088991109</v>
      </c>
      <c r="AV41" s="21">
        <f>EXP(-LN(2)/25)*AV40+(1-EXP(-LN(2)/25))/(LN(2)/25)*Calculateur!AQ41*Calculateur!AS41*VLOOKUP('Données projet'!$B$10,Paramètres!$A$1:$I$89,3,0)*0.475*44/12</f>
        <v>26.959480332317895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37.402749421309004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17.600000000000001</v>
      </c>
      <c r="BD41" s="12">
        <f>IF('Données projet'!$A$88&gt;35,BD40+BC41-BL40,IF(A41&lt;'Données projet'!$A$88,$BA$205^A41,IF(A41='Données projet'!$A$88,'Données projet'!$B$88,BD40+BC41-BL40)))</f>
        <v>296.80000000000013</v>
      </c>
      <c r="BE41" s="13">
        <f>BD41*VLOOKUP('Données projet'!$B$11,Paramètres!$A$1:$I$89,3,0)*VLOOKUP('Données projet'!$B$11,Paramètres!$A$1:$I$89,5,0)</f>
        <v>177.48640000000012</v>
      </c>
      <c r="BF41" s="13">
        <f t="shared" si="37"/>
        <v>44.762499594286361</v>
      </c>
      <c r="BG41" s="20">
        <f t="shared" si="7"/>
        <v>387.08350012671559</v>
      </c>
      <c r="BH41" s="59">
        <f t="shared" si="8"/>
        <v>680.41683346004891</v>
      </c>
      <c r="BI41" s="59">
        <f ca="1">AVERAGE(OFFSET($BH$3,0,0,'Données projet'!$E$11+1,1))-AVERAGE(OFFSET($H$3,0,0,'Données projet'!$E$11+1,1))</f>
        <v>378.75660696651238</v>
      </c>
      <c r="BJ41" s="59">
        <f t="shared" si="38"/>
        <v>371.70674704563288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11.551680434123289</v>
      </c>
      <c r="BQ41" s="21">
        <f>EXP(-LN(2)/25)*BQ40+(1-EXP(-LN(2)/25))/(LN(2)/25)*Calculateur!BL41*Calculateur!BN41*VLOOKUP('Données projet'!$B$11,Paramètres!$A$1:$I$89,3,0)*0.475*44/12</f>
        <v>28.909109766518711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40.460790200642002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2.1607142857142856</v>
      </c>
      <c r="BY41" s="12">
        <f>IF('Données projet'!$A$114&gt;35,BY40+BX41-CG40,IF(A41&lt;'Données projet'!$A$114,$BV$205^A41,IF(A41='Données projet'!$A$114,'Données projet'!$B$114,BY40+BX41-CG40)))</f>
        <v>82.10714285714289</v>
      </c>
      <c r="BZ41" s="13">
        <f>BY41*VLOOKUP('Données projet'!$B$12,Paramètres!$A$1:$I$89,3,0)*VLOOKUP('Données projet'!$B$12,Paramètres!$A$1:$I$89,5,0)</f>
        <v>83.256642857142893</v>
      </c>
      <c r="CA41" s="13">
        <f t="shared" si="39"/>
        <v>22.931591695960901</v>
      </c>
      <c r="CB41" s="20">
        <f t="shared" si="10"/>
        <v>184.94450851332246</v>
      </c>
      <c r="CC41" s="59">
        <f t="shared" si="11"/>
        <v>478.27784184665575</v>
      </c>
      <c r="CD41" s="59">
        <f ca="1">AVERAGE(OFFSET($CC$3,0,0,'Données projet'!$E$12+1,1))-AVERAGE(OFFSET($H$3,0,0,'Données projet'!$E$12+1,1))</f>
        <v>410.75375635525211</v>
      </c>
      <c r="CE41" s="59">
        <f t="shared" si="40"/>
        <v>183.55513001437367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3</v>
      </c>
      <c r="CT41" s="12">
        <f>IF('Données projet'!$A$140&gt;35,CT40+CS41-DB40,IF(A41&lt;'Données projet'!$A$140,$CQ$205^A41,IF(A41='Données projet'!$A$140,'Données projet'!$B$140,CT40+CS41-DB40)))</f>
        <v>114</v>
      </c>
      <c r="CU41" s="17">
        <f>CT41*VLOOKUP('Données projet'!$B$13,Paramètres!$A$1:$I$89,3,0)*VLOOKUP('Données projet'!$B$13,Paramètres!$A$1:$I$89,5,0)</f>
        <v>103.14719999999998</v>
      </c>
      <c r="CV41" s="13">
        <f t="shared" si="41"/>
        <v>27.710417026801451</v>
      </c>
      <c r="CW41" s="20">
        <f t="shared" si="13"/>
        <v>227.91034965501251</v>
      </c>
      <c r="CX41" s="59">
        <f t="shared" si="14"/>
        <v>521.24368298834588</v>
      </c>
      <c r="CY41" s="59">
        <f ca="1">AVERAGE(OFFSET($CX$3,0,0,'Données projet'!$E$13+1,1))-AVERAGE(OFFSET($H$3,0,0,'Données projet'!$E$13+1,1))</f>
        <v>436.12708882925142</v>
      </c>
      <c r="CZ41" s="59">
        <f t="shared" si="42"/>
        <v>217.65884352525285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18</v>
      </c>
      <c r="DO41" s="12">
        <f>IF('Données projet'!$A$166&gt;35,DO40+DN41-DW40,IF(A41&lt;'Données projet'!$A$166,$DL$205^A41,IF(A41='Données projet'!$A$166,'Données projet'!$B$166,DO40+DN41-DW40)))</f>
        <v>325</v>
      </c>
      <c r="DP41" s="17">
        <f>DO41*VLOOKUP('Données projet'!$B$14,Paramètres!$A$1:$I$89,3,0)*VLOOKUP('Données projet'!$B$14,Paramètres!$A$1:$I$89,5,0)</f>
        <v>309.27000000000004</v>
      </c>
      <c r="DQ41" s="13">
        <f t="shared" si="43"/>
        <v>73.116356204711096</v>
      </c>
      <c r="DR41" s="20">
        <f t="shared" si="16"/>
        <v>665.9895703898718</v>
      </c>
      <c r="DS41" s="59">
        <f t="shared" si="17"/>
        <v>959.32290372320517</v>
      </c>
      <c r="DT41" s="59">
        <f ca="1">AVERAGE(OFFSET($DS$3,0,0,'Données projet'!$E$14+1,1))-AVERAGE(OFFSET($H$3,0,0,'Données projet'!$E$14+1,1))</f>
        <v>735.50267870886194</v>
      </c>
      <c r="DU41" s="59">
        <f t="shared" si="44"/>
        <v>525.80345400853275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2.1607142857142856</v>
      </c>
      <c r="EJ41" s="12">
        <f>IF('Données projet'!$A$192&gt;35,EJ40+EI41-ER40,IF(A41&lt;'Données projet'!$A$192,$EG$205^A41,IF(A41='Données projet'!$A$192,'Données projet'!$B$192,EJ40+EI41-ER40)))</f>
        <v>82.10714285714289</v>
      </c>
      <c r="EK41" s="17">
        <f>EJ41*VLOOKUP('Données projet'!$B$15,Paramètres!$A$1:$I$89,3,0)*VLOOKUP('Données projet'!$B$15,Paramètres!$A$1:$I$89,5,0)</f>
        <v>52.515728571428596</v>
      </c>
      <c r="EL41" s="13">
        <f t="shared" si="45"/>
        <v>15.261589724646383</v>
      </c>
      <c r="EM41" s="20">
        <f t="shared" si="19"/>
        <v>118.04549603233058</v>
      </c>
      <c r="EN41" s="59">
        <f t="shared" si="20"/>
        <v>411.37882936566388</v>
      </c>
      <c r="EO41" s="59">
        <f ca="1">AVERAGE(OFFSET($EN$3,0,0,'Données projet'!$E$15+1,1))-AVERAGE(OFFSET($H$3,0,0,'Données projet'!$E$15+1,1))</f>
        <v>274.14900959323484</v>
      </c>
      <c r="EP41" s="59">
        <f t="shared" si="46"/>
        <v>130.44590390921582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14.4</v>
      </c>
      <c r="FE41" s="12">
        <f>IF('Données projet'!$A$218&gt;35,FE40+FD41-FM40,IF(A41&lt;'Données projet'!$A$218,$FB$205^A41,IF(A41='Données projet'!$A$218,'Données projet'!$B$218,FE40+FD41-FM40)))</f>
        <v>235.20000000000005</v>
      </c>
      <c r="FF41" s="17">
        <f>FE41*VLOOKUP('Données projet'!$B$16,Paramètres!$A$1:$I$89,3,0)*VLOOKUP('Données projet'!$B$16,Paramètres!$A$1:$I$89,5,0)</f>
        <v>140.64960000000002</v>
      </c>
      <c r="FG41" s="13">
        <f t="shared" si="47"/>
        <v>36.445779615258601</v>
      </c>
      <c r="FH41" s="20">
        <f t="shared" si="22"/>
        <v>308.44111949657542</v>
      </c>
      <c r="FI41" s="59">
        <f t="shared" si="23"/>
        <v>601.7744528299088</v>
      </c>
      <c r="FJ41" s="59">
        <f ca="1">AVERAGE(OFFSET($FI$3,0,0,'Données projet'!$E$16+1,1))-AVERAGE(OFFSET($H$3,0,0,'Données projet'!$E$16+1,1))</f>
        <v>405.42845699663462</v>
      </c>
      <c r="FK41" s="59">
        <f t="shared" si="48"/>
        <v>292.26503163353146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8.130404393792686</v>
      </c>
      <c r="FR41" s="21">
        <f>EXP(-LN(2)/25)*FR40+(1-EXP(-LN(2)/25))/(LN(2)/25)*Calculateur!FM41*Calculateur!FO41*VLOOKUP('Données projet'!$B$16,Paramètres!$A$1:$I$89,3,0)*0.475*44/12</f>
        <v>17.842727171544958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25.973131565337646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14.4</v>
      </c>
      <c r="FZ41" s="12">
        <f>IF('Données projet'!$A$244&gt;35,FZ40+FY41-GH40,IF(A41&lt;'Données projet'!$A$244,$FW$205^A41,IF(A41='Données projet'!$A$244,'Données projet'!$B$244,FZ40+FY41-GH40)))</f>
        <v>235.20000000000005</v>
      </c>
      <c r="GA41" s="17">
        <f>FZ41*VLOOKUP('Données projet'!$B$17,Paramètres!$A$1:$I$89,3,0)*VLOOKUP('Données projet'!$B$17,Paramètres!$A$1:$I$89,5,0)</f>
        <v>140.64960000000002</v>
      </c>
      <c r="GB41" s="13">
        <f t="shared" si="49"/>
        <v>36.445779615258601</v>
      </c>
      <c r="GC41" s="20">
        <f t="shared" si="25"/>
        <v>308.44111949657542</v>
      </c>
      <c r="GD41" s="59">
        <f t="shared" si="26"/>
        <v>601.7744528299088</v>
      </c>
      <c r="GE41" s="59">
        <f ca="1">AVERAGE(OFFSET($GD$3,0,0,'Données projet'!$E$17+1,1))-AVERAGE(OFFSET($H$3,0,0,'Données projet'!$E$17+1,1))</f>
        <v>405.42845699663462</v>
      </c>
      <c r="GF41" s="59">
        <f t="shared" si="50"/>
        <v>292.26503163353146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8.130404393792686</v>
      </c>
      <c r="GM41" s="21">
        <f>EXP(-LN(2)/25)*GM40+(1-EXP(-LN(2)/25))/(LN(2)/25)*Calculateur!GH41*Calculateur!GJ41*VLOOKUP('Données projet'!$B$17,Paramètres!$A$1:$I$89,3,0)*0.475*44/12</f>
        <v>17.842727171544958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25.973131565337646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</v>
      </c>
      <c r="N42" s="13">
        <f>IF('Données projet'!$A$36&gt;35,N41+M42-V41,IF(A42&lt;'Données projet'!$A$36,$K$205^A42,IF(A42='Données projet'!$A$36,'Données projet'!$B$36,N41+M42-V41)))</f>
        <v>236.02499999999992</v>
      </c>
      <c r="O42" s="13">
        <f>N42*VLOOKUP('Données projet'!$B$9,Paramètres!$A$1:$I$89,3,0)*VLOOKUP('Données projet'!$B$9,Paramètres!$A$1:$I$89,5,0)</f>
        <v>110.45969999999996</v>
      </c>
      <c r="P42" s="13">
        <f t="shared" si="33"/>
        <v>29.439267175737907</v>
      </c>
      <c r="Q42" s="20">
        <f t="shared" si="53"/>
        <v>243.65736783107673</v>
      </c>
      <c r="R42" s="59">
        <f t="shared" si="0"/>
        <v>536.99070116440998</v>
      </c>
      <c r="S42" s="59">
        <f ca="1">AVERAGE(OFFSET($R$3,0,0,'Données projet'!$E$9+1,1))-AVERAGE(OFFSET($H$3,0,0,'Données projet'!$E$9+1,1))</f>
        <v>198.26255998041</v>
      </c>
      <c r="T42" s="59">
        <f t="shared" si="34"/>
        <v>238.62101708181166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24.005288859182961</v>
      </c>
      <c r="AB42" s="21">
        <f>EXP(-LN(2)/2)*AB41+(1-EXP(-LN(2)/2))/(LN(2)/2)*V42*Y42*VLOOKUP('Données projet'!$B$9,Paramètres!$A$1:$I$89,3,0)*0.475*44/12</f>
        <v>0</v>
      </c>
      <c r="AC42" s="22">
        <f t="shared" si="3"/>
        <v>24.005288859182961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>
        <f>VLOOKUP(A42,'Données projet'!$A$61:$I$81,2,0)</f>
        <v>391</v>
      </c>
      <c r="AG42" s="12">
        <f>VLOOKUP(A42,'Données projet'!$A$61:$I$81,9,0)</f>
        <v>19.714285714285715</v>
      </c>
      <c r="AH42" s="12">
        <f t="array" ref="AH42">INDEX(AG:AG,MIN(IF(ISNUMBER(AG42:AG238),ROW(AG42:AG238),"")))</f>
        <v>19.714285714285715</v>
      </c>
      <c r="AI42" s="13">
        <f>IF('Données projet'!$A$62&gt;35,AI41+AH42-AQ41,IF(A42&lt;'Données projet'!$A$62,$AF$205^A42,IF(A42='Données projet'!$A$62,'Données projet'!$B$62,AI41+AH42-AQ41)))</f>
        <v>391.00000000000011</v>
      </c>
      <c r="AJ42" s="13">
        <f>AI42*VLOOKUP('Données projet'!$B$10,Paramètres!$A$1:$I$89,3,0)*VLOOKUP('Données projet'!$B$10,Paramètres!$A$1:$I$89,5,0)</f>
        <v>218.56900000000007</v>
      </c>
      <c r="AK42" s="13">
        <f t="shared" si="35"/>
        <v>53.803746913464231</v>
      </c>
      <c r="AL42" s="20">
        <f t="shared" si="4"/>
        <v>474.38253420761703</v>
      </c>
      <c r="AM42" s="59">
        <f t="shared" si="5"/>
        <v>767.71586754095028</v>
      </c>
      <c r="AN42" s="59">
        <f ca="1">AVERAGE(OFFSET($AM$3,0,0,'Données projet'!$E$10+1,1))-AVERAGE(OFFSET($H$3,0,0,'Données projet'!$E$10+1,1))</f>
        <v>347.02720636703873</v>
      </c>
      <c r="AO42" s="59">
        <f t="shared" si="36"/>
        <v>394.03759949558702</v>
      </c>
      <c r="AP42" s="15">
        <f>IF(ISNA(VLOOKUP(A42,'Données projet'!$A$61:$I$81,3,0)),0,VLOOKUP(A42,'Données projet'!$A$61:$I$81,3,0))</f>
        <v>3</v>
      </c>
      <c r="AQ42" s="15">
        <f>IF(ISNA(VLOOKUP(A42,'Données projet'!$A$61:$I$81,4,0)),0,VLOOKUP(A42,'Données projet'!$A$61:$I$81,4,0))</f>
        <v>80</v>
      </c>
      <c r="AR42" s="16">
        <f>IF(ISNA(VLOOKUP(A42,'Données projet'!$A$61:$I$81,5,0)),0%,VLOOKUP(A42,'Données projet'!$A$61:$I$81,5,0)*VLOOKUP('Données projet'!$B$10,Paramètres!$A$1:$I$89,7,0))</f>
        <v>0.16500000000000001</v>
      </c>
      <c r="AS42" s="16">
        <f>IF(ISNA(VLOOKUP(A42,'Données projet'!$A$61:$I$81,6,0)),0%,VLOOKUP(A42,'Données projet'!$A$61:$I$81,6,0)*VLOOKUP('Données projet'!$B$10,Paramètres!$A$1:$I$89,7,0))</f>
        <v>0.27500000000000002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20.026936755718456</v>
      </c>
      <c r="AV42" s="21">
        <f>EXP(-LN(2)/25)*AV41+(1-EXP(-LN(2)/25))/(LN(2)/25)*Calculateur!AQ42*Calculateur!AS42*VLOOKUP('Données projet'!$B$10,Paramètres!$A$1:$I$89,3,0)*0.475*44/12</f>
        <v>42.472126810690582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62.499063566409035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17.600000000000001</v>
      </c>
      <c r="BD42" s="12">
        <f>IF('Données projet'!$A$88&gt;35,BD41+BC42-BL41,IF(A42&lt;'Données projet'!$A$88,$BA$205^A42,IF(A42='Données projet'!$A$88,'Données projet'!$B$88,BD41+BC42-BL41)))</f>
        <v>314.40000000000015</v>
      </c>
      <c r="BE42" s="13">
        <f>BD42*VLOOKUP('Données projet'!$B$11,Paramètres!$A$1:$I$89,3,0)*VLOOKUP('Données projet'!$B$11,Paramètres!$A$1:$I$89,5,0)</f>
        <v>188.01120000000012</v>
      </c>
      <c r="BF42" s="13">
        <f t="shared" si="37"/>
        <v>47.099988496591031</v>
      </c>
      <c r="BG42" s="20">
        <f t="shared" si="7"/>
        <v>409.48531996489623</v>
      </c>
      <c r="BH42" s="59">
        <f t="shared" si="8"/>
        <v>702.81865329822949</v>
      </c>
      <c r="BI42" s="59">
        <f ca="1">AVERAGE(OFFSET($BH$3,0,0,'Données projet'!$E$11+1,1))-AVERAGE(OFFSET($H$3,0,0,'Données projet'!$E$11+1,1))</f>
        <v>378.75660696651238</v>
      </c>
      <c r="BJ42" s="59">
        <f t="shared" si="38"/>
        <v>371.70674704563288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11.325159026639479</v>
      </c>
      <c r="BQ42" s="21">
        <f>EXP(-LN(2)/25)*BQ41+(1-EXP(-LN(2)/25))/(LN(2)/25)*Calculateur!BL42*Calculateur!BN42*VLOOKUP('Données projet'!$B$11,Paramètres!$A$1:$I$89,3,0)*0.475*44/12</f>
        <v>28.118588639689246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39.443747666328726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2.1607142857142856</v>
      </c>
      <c r="BY42" s="12">
        <f>IF('Données projet'!$A$114&gt;35,BY41+BX42-CG41,IF(A42&lt;'Données projet'!$A$114,$BV$205^A42,IF(A42='Données projet'!$A$114,'Données projet'!$B$114,BY41+BX42-CG41)))</f>
        <v>84.267857142857181</v>
      </c>
      <c r="BZ42" s="13">
        <f>BY42*VLOOKUP('Données projet'!$B$12,Paramètres!$A$1:$I$89,3,0)*VLOOKUP('Données projet'!$B$12,Paramètres!$A$1:$I$89,5,0)</f>
        <v>85.44760714285718</v>
      </c>
      <c r="CA42" s="13">
        <f t="shared" si="39"/>
        <v>23.464002768940567</v>
      </c>
      <c r="CB42" s="20">
        <f t="shared" si="10"/>
        <v>189.68772059638104</v>
      </c>
      <c r="CC42" s="59">
        <f t="shared" si="11"/>
        <v>483.02105392971436</v>
      </c>
      <c r="CD42" s="59">
        <f ca="1">AVERAGE(OFFSET($CC$3,0,0,'Données projet'!$E$12+1,1))-AVERAGE(OFFSET($H$3,0,0,'Données projet'!$E$12+1,1))</f>
        <v>410.75375635525211</v>
      </c>
      <c r="CE42" s="59">
        <f t="shared" si="40"/>
        <v>183.55513001437367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3</v>
      </c>
      <c r="CT42" s="12">
        <f>IF('Données projet'!$A$140&gt;35,CT41+CS42-DB41,IF(A42&lt;'Données projet'!$A$140,$CQ$205^A42,IF(A42='Données projet'!$A$140,'Données projet'!$B$140,CT41+CS42-DB41)))</f>
        <v>117</v>
      </c>
      <c r="CU42" s="17">
        <f>CT42*VLOOKUP('Données projet'!$B$13,Paramètres!$A$1:$I$89,3,0)*VLOOKUP('Données projet'!$B$13,Paramètres!$A$1:$I$89,5,0)</f>
        <v>105.8616</v>
      </c>
      <c r="CV42" s="13">
        <f t="shared" si="41"/>
        <v>28.353779818951288</v>
      </c>
      <c r="CW42" s="20">
        <f t="shared" si="13"/>
        <v>233.75845318467347</v>
      </c>
      <c r="CX42" s="59">
        <f t="shared" si="14"/>
        <v>527.09178651800676</v>
      </c>
      <c r="CY42" s="59">
        <f ca="1">AVERAGE(OFFSET($CX$3,0,0,'Données projet'!$E$13+1,1))-AVERAGE(OFFSET($H$3,0,0,'Données projet'!$E$13+1,1))</f>
        <v>436.12708882925142</v>
      </c>
      <c r="CZ42" s="59">
        <f t="shared" si="42"/>
        <v>217.65884352525285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18</v>
      </c>
      <c r="DO42" s="12">
        <f>IF('Données projet'!$A$166&gt;35,DO41+DN42-DW41,IF(A42&lt;'Données projet'!$A$166,$DL$205^A42,IF(A42='Données projet'!$A$166,'Données projet'!$B$166,DO41+DN42-DW41)))</f>
        <v>343</v>
      </c>
      <c r="DP42" s="17">
        <f>DO42*VLOOKUP('Données projet'!$B$14,Paramètres!$A$1:$I$89,3,0)*VLOOKUP('Données projet'!$B$14,Paramètres!$A$1:$I$89,5,0)</f>
        <v>326.39879999999999</v>
      </c>
      <c r="DQ42" s="13">
        <f t="shared" si="43"/>
        <v>76.683210401884097</v>
      </c>
      <c r="DR42" s="20">
        <f t="shared" si="16"/>
        <v>702.03450144994804</v>
      </c>
      <c r="DS42" s="59">
        <f t="shared" si="17"/>
        <v>995.3678347832813</v>
      </c>
      <c r="DT42" s="59">
        <f ca="1">AVERAGE(OFFSET($DS$3,0,0,'Données projet'!$E$14+1,1))-AVERAGE(OFFSET($H$3,0,0,'Données projet'!$E$14+1,1))</f>
        <v>735.50267870886194</v>
      </c>
      <c r="DU42" s="59">
        <f t="shared" si="44"/>
        <v>525.80345400853275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2.1607142857142856</v>
      </c>
      <c r="EJ42" s="12">
        <f>IF('Données projet'!$A$192&gt;35,EJ41+EI42-ER41,IF(A42&lt;'Données projet'!$A$192,$EG$205^A42,IF(A42='Données projet'!$A$192,'Données projet'!$B$192,EJ41+EI42-ER41)))</f>
        <v>84.267857142857181</v>
      </c>
      <c r="EK42" s="17">
        <f>EJ42*VLOOKUP('Données projet'!$B$15,Paramètres!$A$1:$I$89,3,0)*VLOOKUP('Données projet'!$B$15,Paramètres!$A$1:$I$89,5,0)</f>
        <v>53.897721428571451</v>
      </c>
      <c r="EL42" s="13">
        <f t="shared" si="45"/>
        <v>15.615923582862846</v>
      </c>
      <c r="EM42" s="20">
        <f t="shared" si="19"/>
        <v>121.06959839491471</v>
      </c>
      <c r="EN42" s="59">
        <f t="shared" si="20"/>
        <v>414.40293172824801</v>
      </c>
      <c r="EO42" s="59">
        <f ca="1">AVERAGE(OFFSET($EN$3,0,0,'Données projet'!$E$15+1,1))-AVERAGE(OFFSET($H$3,0,0,'Données projet'!$E$15+1,1))</f>
        <v>274.14900959323484</v>
      </c>
      <c r="EP42" s="59">
        <f t="shared" si="46"/>
        <v>130.44590390921582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14.4</v>
      </c>
      <c r="FE42" s="12">
        <f>IF('Données projet'!$A$218&gt;35,FE41+FD42-FM41,IF(A42&lt;'Données projet'!$A$218,$FB$205^A42,IF(A42='Données projet'!$A$218,'Données projet'!$B$218,FE41+FD42-FM41)))</f>
        <v>249.60000000000005</v>
      </c>
      <c r="FF42" s="17">
        <f>FE42*VLOOKUP('Données projet'!$B$16,Paramètres!$A$1:$I$89,3,0)*VLOOKUP('Données projet'!$B$16,Paramètres!$A$1:$I$89,5,0)</f>
        <v>149.26080000000005</v>
      </c>
      <c r="FG42" s="13">
        <f t="shared" si="47"/>
        <v>38.410551499792909</v>
      </c>
      <c r="FH42" s="20">
        <f t="shared" si="22"/>
        <v>326.86093719547273</v>
      </c>
      <c r="FI42" s="59">
        <f t="shared" si="23"/>
        <v>620.1942705288061</v>
      </c>
      <c r="FJ42" s="59">
        <f ca="1">AVERAGE(OFFSET($FI$3,0,0,'Données projet'!$E$16+1,1))-AVERAGE(OFFSET($H$3,0,0,'Données projet'!$E$16+1,1))</f>
        <v>405.42845699663462</v>
      </c>
      <c r="FK42" s="59">
        <f t="shared" si="48"/>
        <v>292.26503163353146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7.9709721226874253</v>
      </c>
      <c r="FR42" s="21">
        <f>EXP(-LN(2)/25)*FR41+(1-EXP(-LN(2)/25))/(LN(2)/25)*Calculateur!FM42*Calculateur!FO42*VLOOKUP('Données projet'!$B$16,Paramètres!$A$1:$I$89,3,0)*0.475*44/12</f>
        <v>17.354816858730818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25.325788981418242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14.4</v>
      </c>
      <c r="FZ42" s="12">
        <f>IF('Données projet'!$A$244&gt;35,FZ41+FY42-GH41,IF(A42&lt;'Données projet'!$A$244,$FW$205^A42,IF(A42='Données projet'!$A$244,'Données projet'!$B$244,FZ41+FY42-GH41)))</f>
        <v>249.60000000000005</v>
      </c>
      <c r="GA42" s="17">
        <f>FZ42*VLOOKUP('Données projet'!$B$17,Paramètres!$A$1:$I$89,3,0)*VLOOKUP('Données projet'!$B$17,Paramètres!$A$1:$I$89,5,0)</f>
        <v>149.26080000000005</v>
      </c>
      <c r="GB42" s="13">
        <f t="shared" si="49"/>
        <v>38.410551499792909</v>
      </c>
      <c r="GC42" s="20">
        <f t="shared" si="25"/>
        <v>326.86093719547273</v>
      </c>
      <c r="GD42" s="59">
        <f t="shared" si="26"/>
        <v>620.1942705288061</v>
      </c>
      <c r="GE42" s="59">
        <f ca="1">AVERAGE(OFFSET($GD$3,0,0,'Données projet'!$E$17+1,1))-AVERAGE(OFFSET($H$3,0,0,'Données projet'!$E$17+1,1))</f>
        <v>405.42845699663462</v>
      </c>
      <c r="GF42" s="59">
        <f t="shared" si="50"/>
        <v>292.26503163353146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7.9709721226874253</v>
      </c>
      <c r="GM42" s="21">
        <f>EXP(-LN(2)/25)*GM41+(1-EXP(-LN(2)/25))/(LN(2)/25)*Calculateur!GH42*Calculateur!GJ42*VLOOKUP('Données projet'!$B$17,Paramètres!$A$1:$I$89,3,0)*0.475*44/12</f>
        <v>17.354816858730818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25.325788981418242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246.02499999999998</v>
      </c>
      <c r="L43" s="12">
        <f>VLOOKUP(A43,'Données projet'!$A$35:$I$55,9,0)</f>
        <v>10</v>
      </c>
      <c r="M43" s="12">
        <f t="array" ref="M43">INDEX(L:L,MIN(IF(ISNUMBER(L43:L239),ROW(L43:L239),"")))</f>
        <v>10</v>
      </c>
      <c r="N43" s="13">
        <f>IF('Données projet'!$A$36&gt;35,N42+M43-V42,IF(A43&lt;'Données projet'!$A$36,$K$205^A43,IF(A43='Données projet'!$A$36,'Données projet'!$B$36,N42+M43-V42)))</f>
        <v>246.02499999999992</v>
      </c>
      <c r="O43" s="13">
        <f>N43*VLOOKUP('Données projet'!$B$9,Paramètres!$A$1:$I$89,3,0)*VLOOKUP('Données projet'!$B$9,Paramètres!$A$1:$I$89,5,0)</f>
        <v>115.13969999999998</v>
      </c>
      <c r="P43" s="13">
        <f t="shared" si="33"/>
        <v>30.538700834930708</v>
      </c>
      <c r="Q43" s="20">
        <f t="shared" si="53"/>
        <v>253.72321478750428</v>
      </c>
      <c r="R43" s="59">
        <f t="shared" si="0"/>
        <v>547.05654812083753</v>
      </c>
      <c r="S43" s="59">
        <f ca="1">AVERAGE(OFFSET($R$3,0,0,'Données projet'!$E$9+1,1))-AVERAGE(OFFSET($H$3,0,0,'Données projet'!$E$9+1,1))</f>
        <v>198.26255998041</v>
      </c>
      <c r="T43" s="59">
        <f t="shared" si="34"/>
        <v>238.62101708181166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49.204999999999998</v>
      </c>
      <c r="W43" s="16">
        <f>IF(ISNA(VLOOKUP(A43,'Données projet'!$A$35:$I$55,5,0)),0%,VLOOKUP(A43,'Données projet'!$A$35:$I$55,5,0)*VLOOKUP('Données projet'!$B$9,Paramètres!$A$1:$I$89,7,0))</f>
        <v>0.27500000000000002</v>
      </c>
      <c r="X43" s="16">
        <f>IF(ISNA(VLOOKUP(A43,'Données projet'!$A$35:$I$55,6,0)),0%,VLOOKUP(A43,'Données projet'!$A$35:$I$55,6,0)*VLOOKUP('Données projet'!$B$9,Paramètres!$A$1:$I$89,7,0))</f>
        <v>0.27500000000000002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8.4007128386484613</v>
      </c>
      <c r="AA43" s="21">
        <f>EXP(-LN(2)/25)*AA42+(1-EXP(-LN(2)/25))/(LN(2)/25)*Calculateur!V43*Calculateur!X43*VLOOKUP('Données projet'!$B$9,Paramètres!$A$1:$I$89,3,0)*0.475*44/12</f>
        <v>31.71649900422549</v>
      </c>
      <c r="AB43" s="21">
        <f>EXP(-LN(2)/2)*AB42+(1-EXP(-LN(2)/2))/(LN(2)/2)*V43*Y43*VLOOKUP('Données projet'!$B$9,Paramètres!$A$1:$I$89,3,0)*0.475*44/12</f>
        <v>0</v>
      </c>
      <c r="AC43" s="22">
        <f t="shared" si="3"/>
        <v>40.117211842873949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19</v>
      </c>
      <c r="AI43" s="13">
        <f>IF('Données projet'!$A$62&gt;35,AI42+AH43-AQ42,IF(A43&lt;'Données projet'!$A$62,$AF$205^A43,IF(A43='Données projet'!$A$62,'Données projet'!$B$62,AI42+AH43-AQ42)))</f>
        <v>330.00000000000011</v>
      </c>
      <c r="AJ43" s="13">
        <f>AI43*VLOOKUP('Données projet'!$B$10,Paramètres!$A$1:$I$89,3,0)*VLOOKUP('Données projet'!$B$10,Paramètres!$A$1:$I$89,5,0)</f>
        <v>184.47000000000006</v>
      </c>
      <c r="AK43" s="13">
        <f t="shared" si="35"/>
        <v>46.315254582516594</v>
      </c>
      <c r="AL43" s="20">
        <f t="shared" si="4"/>
        <v>401.9509850645498</v>
      </c>
      <c r="AM43" s="59">
        <f t="shared" si="5"/>
        <v>695.28431839788311</v>
      </c>
      <c r="AN43" s="59">
        <f ca="1">AVERAGE(OFFSET($AM$3,0,0,'Données projet'!$E$10+1,1))-AVERAGE(OFFSET($H$3,0,0,'Données projet'!$E$10+1,1))</f>
        <v>347.02720636703873</v>
      </c>
      <c r="AO43" s="59">
        <f t="shared" si="36"/>
        <v>394.03759949558702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19.634220741164086</v>
      </c>
      <c r="AV43" s="21">
        <f>EXP(-LN(2)/25)*AV42+(1-EXP(-LN(2)/25))/(LN(2)/25)*Calculateur!AQ43*Calculateur!AS43*VLOOKUP('Données projet'!$B$10,Paramètres!$A$1:$I$89,3,0)*0.475*44/12</f>
        <v>41.310724269540174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60.944945010704259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332</v>
      </c>
      <c r="BB43" s="12">
        <f>VLOOKUP(A43,'Données projet'!$A$87:$I$107,9,0)</f>
        <v>17.600000000000001</v>
      </c>
      <c r="BC43" s="12">
        <f t="array" ref="BC43">INDEX(BB:BB,MIN(IF(ISNUMBER(BB43:BB239),ROW(BB43:BB239),"")))</f>
        <v>17.600000000000001</v>
      </c>
      <c r="BD43" s="12">
        <f>IF('Données projet'!$A$88&gt;35,BD42+BC43-BL42,IF(A43&lt;'Données projet'!$A$88,$BA$205^A43,IF(A43='Données projet'!$A$88,'Données projet'!$B$88,BD42+BC43-BL42)))</f>
        <v>332.00000000000017</v>
      </c>
      <c r="BE43" s="13">
        <f>BD43*VLOOKUP('Données projet'!$B$11,Paramètres!$A$1:$I$89,3,0)*VLOOKUP('Données projet'!$B$11,Paramètres!$A$1:$I$89,5,0)</f>
        <v>198.53600000000012</v>
      </c>
      <c r="BF43" s="13">
        <f t="shared" si="37"/>
        <v>49.42228739122875</v>
      </c>
      <c r="BG43" s="20">
        <f t="shared" si="7"/>
        <v>431.86068387305687</v>
      </c>
      <c r="BH43" s="59">
        <f t="shared" si="8"/>
        <v>725.19401720639019</v>
      </c>
      <c r="BI43" s="59">
        <f ca="1">AVERAGE(OFFSET($BH$3,0,0,'Données projet'!$E$11+1,1))-AVERAGE(OFFSET($H$3,0,0,'Données projet'!$E$11+1,1))</f>
        <v>378.75660696651238</v>
      </c>
      <c r="BJ43" s="59">
        <f t="shared" si="38"/>
        <v>371.70674704563288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48</v>
      </c>
      <c r="BM43" s="16">
        <f>IF(ISNA(VLOOKUP(A43,'Données projet'!$A$87:$I$107,5,0)),0%,VLOOKUP(A43,'Données projet'!$A$87:$I$107,5,0)*VLOOKUP('Données projet'!$B$11,Paramètres!$A$1:$I$89,7,0))</f>
        <v>0.13500000000000001</v>
      </c>
      <c r="BN43" s="16">
        <f>IF(ISNA(VLOOKUP(A43,'Données projet'!$A$87:$I$107,6,0)),0%,VLOOKUP(A43,'Données projet'!$A$87:$I$107,6,0)*VLOOKUP('Données projet'!$B$11,Paramètres!$A$1:$I$89,7,0))</f>
        <v>0.22500000000000001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16.243569893198448</v>
      </c>
      <c r="BQ43" s="21">
        <f>EXP(-LN(2)/25)*BQ42+(1-EXP(-LN(2)/25))/(LN(2)/25)*Calculateur!BL43*Calculateur!BN43*VLOOKUP('Données projet'!$B$11,Paramètres!$A$1:$I$89,3,0)*0.475*44/12</f>
        <v>35.88343478515641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52.127004678354858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2.1607142857142856</v>
      </c>
      <c r="BY43" s="12">
        <f>IF('Données projet'!$A$114&gt;35,BY42+BX43-CG42,IF(A43&lt;'Données projet'!$A$114,$BV$205^A43,IF(A43='Données projet'!$A$114,'Données projet'!$B$114,BY42+BX43-CG42)))</f>
        <v>86.428571428571473</v>
      </c>
      <c r="BZ43" s="13">
        <f>BY43*VLOOKUP('Données projet'!$B$12,Paramètres!$A$1:$I$89,3,0)*VLOOKUP('Données projet'!$B$12,Paramètres!$A$1:$I$89,5,0)</f>
        <v>87.638571428571481</v>
      </c>
      <c r="CA43" s="13">
        <f t="shared" si="39"/>
        <v>23.994826984865576</v>
      </c>
      <c r="CB43" s="20">
        <f t="shared" si="10"/>
        <v>194.42816890340285</v>
      </c>
      <c r="CC43" s="59">
        <f t="shared" si="11"/>
        <v>487.76150223673619</v>
      </c>
      <c r="CD43" s="59">
        <f ca="1">AVERAGE(OFFSET($CC$3,0,0,'Données projet'!$E$12+1,1))-AVERAGE(OFFSET($H$3,0,0,'Données projet'!$E$12+1,1))</f>
        <v>410.75375635525211</v>
      </c>
      <c r="CE43" s="59">
        <f t="shared" si="40"/>
        <v>183.55513001437367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3</v>
      </c>
      <c r="CT43" s="12">
        <f>IF('Données projet'!$A$140&gt;35,CT42+CS43-DB42,IF(A43&lt;'Données projet'!$A$140,$CQ$205^A43,IF(A43='Données projet'!$A$140,'Données projet'!$B$140,CT42+CS43-DB42)))</f>
        <v>120</v>
      </c>
      <c r="CU43" s="17">
        <f>CT43*VLOOKUP('Données projet'!$B$13,Paramètres!$A$1:$I$89,3,0)*VLOOKUP('Données projet'!$B$13,Paramètres!$A$1:$I$89,5,0)</f>
        <v>108.57599999999999</v>
      </c>
      <c r="CV43" s="13">
        <f t="shared" si="41"/>
        <v>28.995225061228002</v>
      </c>
      <c r="CW43" s="20">
        <f t="shared" si="13"/>
        <v>239.60321698163875</v>
      </c>
      <c r="CX43" s="59">
        <f t="shared" si="14"/>
        <v>532.93655031497201</v>
      </c>
      <c r="CY43" s="59">
        <f ca="1">AVERAGE(OFFSET($CX$3,0,0,'Données projet'!$E$13+1,1))-AVERAGE(OFFSET($H$3,0,0,'Données projet'!$E$13+1,1))</f>
        <v>436.12708882925142</v>
      </c>
      <c r="CZ43" s="59">
        <f t="shared" si="42"/>
        <v>217.65884352525285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361</v>
      </c>
      <c r="DM43" s="12">
        <f>VLOOKUP(A43,'Données projet'!$A$165:$I$185,9,0)</f>
        <v>18</v>
      </c>
      <c r="DN43" s="12">
        <f t="array" ref="DN43">INDEX(DM:DM,MIN(IF(ISNUMBER(DM43:DM239),ROW(DM43:DM239),"")))</f>
        <v>18</v>
      </c>
      <c r="DO43" s="12">
        <f>IF('Données projet'!$A$166&gt;35,DO42+DN43-DW42,IF(A43&lt;'Données projet'!$A$166,$DL$205^A43,IF(A43='Données projet'!$A$166,'Données projet'!$B$166,DO42+DN43-DW42)))</f>
        <v>361</v>
      </c>
      <c r="DP43" s="17">
        <f>DO43*VLOOKUP('Données projet'!$B$14,Paramètres!$A$1:$I$89,3,0)*VLOOKUP('Données projet'!$B$14,Paramètres!$A$1:$I$89,5,0)</f>
        <v>343.52760000000001</v>
      </c>
      <c r="DQ43" s="13">
        <f t="shared" si="43"/>
        <v>80.228332511267624</v>
      </c>
      <c r="DR43" s="20">
        <f t="shared" si="16"/>
        <v>738.04158245712449</v>
      </c>
      <c r="DS43" s="59">
        <f t="shared" si="17"/>
        <v>1031.3749157904579</v>
      </c>
      <c r="DT43" s="59">
        <f ca="1">AVERAGE(OFFSET($DS$3,0,0,'Données projet'!$E$14+1,1))-AVERAGE(OFFSET($H$3,0,0,'Données projet'!$E$14+1,1))</f>
        <v>735.50267870886194</v>
      </c>
      <c r="DU43" s="59">
        <f t="shared" si="44"/>
        <v>525.80345400853275</v>
      </c>
      <c r="DV43" s="15">
        <f>IF(ISNA(VLOOKUP(A43,'Données projet'!$A$165:$I$185,3,0)),0,VLOOKUP(A43,'Données projet'!$A$165:$I$185,3,0))</f>
        <v>6</v>
      </c>
      <c r="DW43" s="15">
        <f>IF(ISNA(VLOOKUP(A43,'Données projet'!$A$165:$I$185,4,0)),0,VLOOKUP(A43,'Données projet'!$A$165:$I$185,4,0))</f>
        <v>44</v>
      </c>
      <c r="DX43" s="16">
        <f>IF(ISNA(VLOOKUP(A43,'Données projet'!$A$165:$I$185,5,0)),0%,VLOOKUP(A43,'Données projet'!$A$165:$I$185,5,0)*VLOOKUP('Données projet'!$B$14,Paramètres!$A$1:$I$89,7,0))</f>
        <v>0.129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5.9709568203163395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5.9709568203163395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2.1607142857142856</v>
      </c>
      <c r="EJ43" s="12">
        <f>IF('Données projet'!$A$192&gt;35,EJ42+EI43-ER42,IF(A43&lt;'Données projet'!$A$192,$EG$205^A43,IF(A43='Données projet'!$A$192,'Données projet'!$B$192,EJ42+EI43-ER42)))</f>
        <v>86.428571428571473</v>
      </c>
      <c r="EK43" s="17">
        <f>EJ43*VLOOKUP('Données projet'!$B$15,Paramètres!$A$1:$I$89,3,0)*VLOOKUP('Données projet'!$B$15,Paramètres!$A$1:$I$89,5,0)</f>
        <v>55.27971428571432</v>
      </c>
      <c r="EL43" s="13">
        <f t="shared" si="45"/>
        <v>15.969201345120464</v>
      </c>
      <c r="EM43" s="20">
        <f t="shared" si="19"/>
        <v>124.09186139037058</v>
      </c>
      <c r="EN43" s="59">
        <f t="shared" si="20"/>
        <v>417.4251947237039</v>
      </c>
      <c r="EO43" s="59">
        <f ca="1">AVERAGE(OFFSET($EN$3,0,0,'Données projet'!$E$15+1,1))-AVERAGE(OFFSET($H$3,0,0,'Données projet'!$E$15+1,1))</f>
        <v>274.14900959323484</v>
      </c>
      <c r="EP43" s="59">
        <f t="shared" si="46"/>
        <v>130.44590390921582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264</v>
      </c>
      <c r="FC43" s="12">
        <f>VLOOKUP(A43,'Données projet'!$A$217:$I$237,9,0)</f>
        <v>14.4</v>
      </c>
      <c r="FD43" s="12">
        <f t="array" ref="FD43">INDEX(FC:FC,MIN(IF(ISNUMBER(FC43:FC239),ROW(FC43:FC239),"")))</f>
        <v>14.4</v>
      </c>
      <c r="FE43" s="12">
        <f>IF('Données projet'!$A$218&gt;35,FE42+FD43-FM42,IF(A43&lt;'Données projet'!$A$218,$FB$205^A43,IF(A43='Données projet'!$A$218,'Données projet'!$B$218,FE42+FD43-FM42)))</f>
        <v>264.00000000000006</v>
      </c>
      <c r="FF43" s="17">
        <f>FE43*VLOOKUP('Données projet'!$B$16,Paramètres!$A$1:$I$89,3,0)*VLOOKUP('Données projet'!$B$16,Paramètres!$A$1:$I$89,5,0)</f>
        <v>157.87200000000004</v>
      </c>
      <c r="FG43" s="13">
        <f t="shared" si="47"/>
        <v>40.362165684361159</v>
      </c>
      <c r="FH43" s="20">
        <f t="shared" si="22"/>
        <v>345.25783856692902</v>
      </c>
      <c r="FI43" s="59">
        <f t="shared" si="23"/>
        <v>638.59117190026234</v>
      </c>
      <c r="FJ43" s="59">
        <f ca="1">AVERAGE(OFFSET($FI$3,0,0,'Données projet'!$E$16+1,1))-AVERAGE(OFFSET($H$3,0,0,'Données projet'!$E$16+1,1))</f>
        <v>405.42845699663462</v>
      </c>
      <c r="FK43" s="59">
        <f t="shared" si="48"/>
        <v>292.26503163353146</v>
      </c>
      <c r="FL43" s="15">
        <f>IF(ISNA(VLOOKUP(A43,'Données projet'!$A$217:$I$237,3,0)),0,VLOOKUP(A43,'Données projet'!$A$217:$I$237,3,0))</f>
        <v>5</v>
      </c>
      <c r="FM43" s="15">
        <f>IF(ISNA(VLOOKUP(A43,'Données projet'!$A$217:$I$237,4,0)),0,VLOOKUP(A43,'Données projet'!$A$217:$I$237,4,0))</f>
        <v>41</v>
      </c>
      <c r="FN43" s="16">
        <f>IF(ISNA(VLOOKUP(A43,'Données projet'!$A$217:$I$237,5,0)),0%,VLOOKUP(A43,'Données projet'!$A$217:$I$237,5,0)*VLOOKUP('Données projet'!$B$16,Paramètres!$A$1:$I$89,7,0))</f>
        <v>0.13500000000000001</v>
      </c>
      <c r="FO43" s="16">
        <f>IF(ISNA(VLOOKUP(A43,'Données projet'!$A$217:$I$237,6,0)),0%,VLOOKUP(A43,'Données projet'!$A$217:$I$237,6,0)*VLOOKUP('Données projet'!$B$16,Paramètres!$A$1:$I$89,7,0))</f>
        <v>0.22500000000000001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12.205501709167454</v>
      </c>
      <c r="FR43" s="21">
        <f>EXP(-LN(2)/25)*FR42+(1-EXP(-LN(2)/25))/(LN(2)/25)*Calculateur!FM43*Calculateur!FO43*VLOOKUP('Données projet'!$B$16,Paramètres!$A$1:$I$89,3,0)*0.475*44/12</f>
        <v>24.169493638474144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36.374995347641601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264</v>
      </c>
      <c r="FX43" s="12">
        <f>VLOOKUP(A43,'Données projet'!$A$243:$I$263,9,0)</f>
        <v>14.4</v>
      </c>
      <c r="FY43" s="12">
        <f t="array" ref="FY43">INDEX(FX:FX,MIN(IF(ISNUMBER(FX43:FX239),ROW(FX43:FX239),"")))</f>
        <v>14.4</v>
      </c>
      <c r="FZ43" s="12">
        <f>IF('Données projet'!$A$244&gt;35,FZ42+FY43-GH42,IF(A43&lt;'Données projet'!$A$244,$FW$205^A43,IF(A43='Données projet'!$A$244,'Données projet'!$B$244,FZ42+FY43-GH42)))</f>
        <v>264.00000000000006</v>
      </c>
      <c r="GA43" s="17">
        <f>FZ43*VLOOKUP('Données projet'!$B$17,Paramètres!$A$1:$I$89,3,0)*VLOOKUP('Données projet'!$B$17,Paramètres!$A$1:$I$89,5,0)</f>
        <v>157.87200000000004</v>
      </c>
      <c r="GB43" s="13">
        <f t="shared" si="49"/>
        <v>40.362165684361159</v>
      </c>
      <c r="GC43" s="20">
        <f t="shared" si="25"/>
        <v>345.25783856692902</v>
      </c>
      <c r="GD43" s="59">
        <f t="shared" si="26"/>
        <v>638.59117190026234</v>
      </c>
      <c r="GE43" s="59">
        <f ca="1">AVERAGE(OFFSET($GD$3,0,0,'Données projet'!$E$17+1,1))-AVERAGE(OFFSET($H$3,0,0,'Données projet'!$E$17+1,1))</f>
        <v>405.42845699663462</v>
      </c>
      <c r="GF43" s="59">
        <f t="shared" si="50"/>
        <v>292.26503163353146</v>
      </c>
      <c r="GG43" s="15">
        <f>IF(ISNA(VLOOKUP(A43,'Données projet'!$A$243:$I$263,3,0)),0,VLOOKUP(A43,'Données projet'!$A$243:$I$263,3,0))</f>
        <v>5</v>
      </c>
      <c r="GH43" s="15">
        <f>IF(ISNA(VLOOKUP(A43,'Données projet'!$A$243:$I$263,4,0)),0,VLOOKUP(A43,'Données projet'!$A$243:$I$263,4,0))</f>
        <v>41</v>
      </c>
      <c r="GI43" s="16">
        <f>IF(ISNA(VLOOKUP(A43,'Données projet'!$A$243:$I$263,5,0)),0%,VLOOKUP(A43,'Données projet'!$A$243:$I$263,5,0)*VLOOKUP('Données projet'!$B$17,Paramètres!$A$1:$I$89,7,0))</f>
        <v>0.13500000000000001</v>
      </c>
      <c r="GJ43" s="16">
        <f>IF(ISNA(VLOOKUP(A43,'Données projet'!$A$243:$I$263,6,0)),0%,VLOOKUP(A43,'Données projet'!$A$243:$I$263,6,0)*VLOOKUP('Données projet'!$B$17,Paramètres!$A$1:$I$89,7,0))</f>
        <v>0.22500000000000001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12.205501709167454</v>
      </c>
      <c r="GM43" s="21">
        <f>EXP(-LN(2)/25)*GM42+(1-EXP(-LN(2)/25))/(LN(2)/25)*Calculateur!GH43*Calculateur!GJ43*VLOOKUP('Données projet'!$B$17,Paramètres!$A$1:$I$89,3,0)*0.475*44/12</f>
        <v>24.169493638474144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36.374995347641601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11.5</v>
      </c>
      <c r="N44" s="13">
        <f>IF('Données projet'!$A$36&gt;35,N43+M44-V43,IF(A44&lt;'Données projet'!$A$36,$K$205^A44,IF(A44='Données projet'!$A$36,'Données projet'!$B$36,N43+M44-V43)))</f>
        <v>208.31999999999994</v>
      </c>
      <c r="O44" s="13">
        <f>N44*VLOOKUP('Données projet'!$B$9,Paramètres!$A$1:$I$89,3,0)*VLOOKUP('Données projet'!$B$9,Paramètres!$A$1:$I$89,5,0)</f>
        <v>97.493759999999966</v>
      </c>
      <c r="P44" s="13">
        <f t="shared" si="33"/>
        <v>26.364041280888848</v>
      </c>
      <c r="Q44" s="20">
        <f t="shared" si="53"/>
        <v>215.71900389754799</v>
      </c>
      <c r="R44" s="59">
        <f t="shared" si="0"/>
        <v>509.05233723088134</v>
      </c>
      <c r="S44" s="59">
        <f ca="1">AVERAGE(OFFSET($R$3,0,0,'Données projet'!$E$9+1,1))-AVERAGE(OFFSET($H$3,0,0,'Données projet'!$E$9+1,1))</f>
        <v>198.26255998041</v>
      </c>
      <c r="T44" s="59">
        <f t="shared" si="34"/>
        <v>238.62101708181166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8.2359799838114505</v>
      </c>
      <c r="AA44" s="21">
        <f>EXP(-LN(2)/25)*AA43+(1-EXP(-LN(2)/25))/(LN(2)/25)*Calculateur!V44*Calculateur!X44*VLOOKUP('Données projet'!$B$9,Paramètres!$A$1:$I$89,3,0)*0.475*44/12</f>
        <v>30.849209671056752</v>
      </c>
      <c r="AB44" s="21">
        <f>EXP(-LN(2)/2)*AB43+(1-EXP(-LN(2)/2))/(LN(2)/2)*V44*Y44*VLOOKUP('Données projet'!$B$9,Paramètres!$A$1:$I$89,3,0)*0.475*44/12</f>
        <v>0</v>
      </c>
      <c r="AC44" s="22">
        <f t="shared" si="3"/>
        <v>39.085189654868202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19</v>
      </c>
      <c r="AI44" s="13">
        <f>IF('Données projet'!$A$62&gt;35,AI43+AH44-AQ43,IF(A44&lt;'Données projet'!$A$62,$AF$205^A44,IF(A44='Données projet'!$A$62,'Données projet'!$B$62,AI43+AH44-AQ43)))</f>
        <v>349.00000000000011</v>
      </c>
      <c r="AJ44" s="13">
        <f>AI44*VLOOKUP('Données projet'!$B$10,Paramètres!$A$1:$I$89,3,0)*VLOOKUP('Données projet'!$B$10,Paramètres!$A$1:$I$89,5,0)</f>
        <v>195.09100000000007</v>
      </c>
      <c r="AK44" s="13">
        <f t="shared" si="35"/>
        <v>48.663762686246173</v>
      </c>
      <c r="AL44" s="20">
        <f t="shared" si="4"/>
        <v>424.53954501187883</v>
      </c>
      <c r="AM44" s="59">
        <f t="shared" si="5"/>
        <v>717.87287834521214</v>
      </c>
      <c r="AN44" s="59">
        <f ca="1">AVERAGE(OFFSET($AM$3,0,0,'Données projet'!$E$10+1,1))-AVERAGE(OFFSET($H$3,0,0,'Données projet'!$E$10+1,1))</f>
        <v>347.02720636703873</v>
      </c>
      <c r="AO44" s="59">
        <f t="shared" si="36"/>
        <v>394.03759949558702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19.249205648122008</v>
      </c>
      <c r="AV44" s="21">
        <f>EXP(-LN(2)/25)*AV43+(1-EXP(-LN(2)/25))/(LN(2)/25)*Calculateur!AQ44*Calculateur!AS44*VLOOKUP('Données projet'!$B$10,Paramètres!$A$1:$I$89,3,0)*0.475*44/12</f>
        <v>40.181080341953027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59.430285990075035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20</v>
      </c>
      <c r="BD44" s="12">
        <f>IF('Données projet'!$A$88&gt;35,BD43+BC44-BL43,IF(A44&lt;'Données projet'!$A$88,$BA$205^A44,IF(A44='Données projet'!$A$88,'Données projet'!$B$88,BD43+BC44-BL43)))</f>
        <v>304.00000000000017</v>
      </c>
      <c r="BE44" s="13">
        <f>BD44*VLOOKUP('Données projet'!$B$11,Paramètres!$A$1:$I$89,3,0)*VLOOKUP('Données projet'!$B$11,Paramètres!$A$1:$I$89,5,0)</f>
        <v>181.79200000000012</v>
      </c>
      <c r="BF44" s="13">
        <f t="shared" si="37"/>
        <v>45.720642997712574</v>
      </c>
      <c r="BG44" s="20">
        <f t="shared" si="7"/>
        <v>396.25118655434966</v>
      </c>
      <c r="BH44" s="59">
        <f t="shared" si="8"/>
        <v>689.58451988768297</v>
      </c>
      <c r="BI44" s="59">
        <f ca="1">AVERAGE(OFFSET($BH$3,0,0,'Données projet'!$E$11+1,1))-AVERAGE(OFFSET($H$3,0,0,'Données projet'!$E$11+1,1))</f>
        <v>378.75660696651238</v>
      </c>
      <c r="BJ44" s="59">
        <f t="shared" si="38"/>
        <v>371.70674704563288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15.925043395192167</v>
      </c>
      <c r="BQ44" s="21">
        <f>EXP(-LN(2)/25)*BQ43+(1-EXP(-LN(2)/25))/(LN(2)/25)*Calculateur!BL44*Calculateur!BN44*VLOOKUP('Données projet'!$B$11,Paramètres!$A$1:$I$89,3,0)*0.475*44/12</f>
        <v>34.902200373928487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50.827243769120656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2.1607142857142856</v>
      </c>
      <c r="BY44" s="12">
        <f>IF('Données projet'!$A$114&gt;35,BY43+BX44-CG43,IF(A44&lt;'Données projet'!$A$114,$BV$205^A44,IF(A44='Données projet'!$A$114,'Données projet'!$B$114,BY43+BX44-CG43)))</f>
        <v>88.589285714285765</v>
      </c>
      <c r="BZ44" s="13">
        <f>BY44*VLOOKUP('Données projet'!$B$12,Paramètres!$A$1:$I$89,3,0)*VLOOKUP('Données projet'!$B$12,Paramètres!$A$1:$I$89,5,0)</f>
        <v>89.829535714285768</v>
      </c>
      <c r="CA44" s="13">
        <f t="shared" si="39"/>
        <v>24.524108577859487</v>
      </c>
      <c r="CB44" s="20">
        <f t="shared" si="10"/>
        <v>199.16593047548631</v>
      </c>
      <c r="CC44" s="59">
        <f t="shared" si="11"/>
        <v>492.49926380881959</v>
      </c>
      <c r="CD44" s="59">
        <f ca="1">AVERAGE(OFFSET($CC$3,0,0,'Données projet'!$E$12+1,1))-AVERAGE(OFFSET($H$3,0,0,'Données projet'!$E$12+1,1))</f>
        <v>410.75375635525211</v>
      </c>
      <c r="CE44" s="59">
        <f t="shared" si="40"/>
        <v>183.55513001437367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3</v>
      </c>
      <c r="CT44" s="12">
        <f>IF('Données projet'!$A$140&gt;35,CT43+CS44-DB43,IF(A44&lt;'Données projet'!$A$140,$CQ$205^A44,IF(A44='Données projet'!$A$140,'Données projet'!$B$140,CT43+CS44-DB43)))</f>
        <v>123</v>
      </c>
      <c r="CU44" s="17">
        <f>CT44*VLOOKUP('Données projet'!$B$13,Paramètres!$A$1:$I$89,3,0)*VLOOKUP('Données projet'!$B$13,Paramètres!$A$1:$I$89,5,0)</f>
        <v>111.29039999999999</v>
      </c>
      <c r="CV44" s="13">
        <f t="shared" si="41"/>
        <v>29.634806205918245</v>
      </c>
      <c r="CW44" s="20">
        <f t="shared" si="13"/>
        <v>245.44473414197429</v>
      </c>
      <c r="CX44" s="59">
        <f t="shared" si="14"/>
        <v>538.77806747530758</v>
      </c>
      <c r="CY44" s="59">
        <f ca="1">AVERAGE(OFFSET($CX$3,0,0,'Données projet'!$E$13+1,1))-AVERAGE(OFFSET($H$3,0,0,'Données projet'!$E$13+1,1))</f>
        <v>436.12708882925142</v>
      </c>
      <c r="CZ44" s="59">
        <f t="shared" si="42"/>
        <v>217.65884352525285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16.600000000000001</v>
      </c>
      <c r="DO44" s="12">
        <f>IF('Données projet'!$A$166&gt;35,DO43+DN44-DW43,IF(A44&lt;'Données projet'!$A$166,$DL$205^A44,IF(A44='Données projet'!$A$166,'Données projet'!$B$166,DO43+DN44-DW43)))</f>
        <v>333.6</v>
      </c>
      <c r="DP44" s="17">
        <f>DO44*VLOOKUP('Données projet'!$B$14,Paramètres!$A$1:$I$89,3,0)*VLOOKUP('Données projet'!$B$14,Paramètres!$A$1:$I$89,5,0)</f>
        <v>317.45376000000005</v>
      </c>
      <c r="DQ44" s="13">
        <f t="shared" si="43"/>
        <v>74.823312835926544</v>
      </c>
      <c r="DR44" s="20">
        <f t="shared" si="16"/>
        <v>683.21590185590537</v>
      </c>
      <c r="DS44" s="59">
        <f t="shared" si="17"/>
        <v>976.54923518923874</v>
      </c>
      <c r="DT44" s="59">
        <f ca="1">AVERAGE(OFFSET($DS$3,0,0,'Données projet'!$E$14+1,1))-AVERAGE(OFFSET($H$3,0,0,'Données projet'!$E$14+1,1))</f>
        <v>735.50267870886194</v>
      </c>
      <c r="DU44" s="59">
        <f t="shared" si="44"/>
        <v>525.80345400853275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5.8538699989939866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5.8538699989939866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2.1607142857142856</v>
      </c>
      <c r="EJ44" s="12">
        <f>IF('Données projet'!$A$192&gt;35,EJ43+EI44-ER43,IF(A44&lt;'Données projet'!$A$192,$EG$205^A44,IF(A44='Données projet'!$A$192,'Données projet'!$B$192,EJ43+EI44-ER43)))</f>
        <v>88.589285714285765</v>
      </c>
      <c r="EK44" s="17">
        <f>EJ44*VLOOKUP('Données projet'!$B$15,Paramètres!$A$1:$I$89,3,0)*VLOOKUP('Données projet'!$B$15,Paramètres!$A$1:$I$89,5,0)</f>
        <v>56.661707142857175</v>
      </c>
      <c r="EL44" s="13">
        <f t="shared" si="45"/>
        <v>16.321452450415666</v>
      </c>
      <c r="EM44" s="20">
        <f t="shared" si="19"/>
        <v>127.11233629161687</v>
      </c>
      <c r="EN44" s="59">
        <f t="shared" si="20"/>
        <v>420.4456696249502</v>
      </c>
      <c r="EO44" s="59">
        <f ca="1">AVERAGE(OFFSET($EN$3,0,0,'Données projet'!$E$15+1,1))-AVERAGE(OFFSET($H$3,0,0,'Données projet'!$E$15+1,1))</f>
        <v>274.14900959323484</v>
      </c>
      <c r="EP44" s="59">
        <f t="shared" si="46"/>
        <v>130.44590390921582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19</v>
      </c>
      <c r="FE44" s="12">
        <f>IF('Données projet'!$A$218&gt;35,FE43+FD44-FM43,IF(A44&lt;'Données projet'!$A$218,$FB$205^A44,IF(A44='Données projet'!$A$218,'Données projet'!$B$218,FE43+FD44-FM43)))</f>
        <v>242.00000000000006</v>
      </c>
      <c r="FF44" s="17">
        <f>FE44*VLOOKUP('Données projet'!$B$16,Paramètres!$A$1:$I$89,3,0)*VLOOKUP('Données projet'!$B$16,Paramètres!$A$1:$I$89,5,0)</f>
        <v>144.71600000000007</v>
      </c>
      <c r="FG44" s="13">
        <f t="shared" si="47"/>
        <v>37.375282885096105</v>
      </c>
      <c r="FH44" s="20">
        <f t="shared" si="22"/>
        <v>317.14231769154247</v>
      </c>
      <c r="FI44" s="59">
        <f t="shared" si="23"/>
        <v>610.47565102487579</v>
      </c>
      <c r="FJ44" s="59">
        <f ca="1">AVERAGE(OFFSET($FI$3,0,0,'Données projet'!$E$16+1,1))-AVERAGE(OFFSET($H$3,0,0,'Données projet'!$E$16+1,1))</f>
        <v>405.42845699663462</v>
      </c>
      <c r="FK44" s="59">
        <f t="shared" si="48"/>
        <v>292.26503163353146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11.966159265271628</v>
      </c>
      <c r="FR44" s="21">
        <f>EXP(-LN(2)/25)*FR43+(1-EXP(-LN(2)/25))/(LN(2)/25)*Calculateur!FM44*Calculateur!FO44*VLOOKUP('Données projet'!$B$16,Paramètres!$A$1:$I$89,3,0)*0.475*44/12</f>
        <v>23.508577563911636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35.474736829183264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19</v>
      </c>
      <c r="FZ44" s="12">
        <f>IF('Données projet'!$A$244&gt;35,FZ43+FY44-GH43,IF(A44&lt;'Données projet'!$A$244,$FW$205^A44,IF(A44='Données projet'!$A$244,'Données projet'!$B$244,FZ43+FY44-GH43)))</f>
        <v>242.00000000000006</v>
      </c>
      <c r="GA44" s="17">
        <f>FZ44*VLOOKUP('Données projet'!$B$17,Paramètres!$A$1:$I$89,3,0)*VLOOKUP('Données projet'!$B$17,Paramètres!$A$1:$I$89,5,0)</f>
        <v>144.71600000000007</v>
      </c>
      <c r="GB44" s="13">
        <f t="shared" si="49"/>
        <v>37.375282885096105</v>
      </c>
      <c r="GC44" s="20">
        <f t="shared" si="25"/>
        <v>317.14231769154247</v>
      </c>
      <c r="GD44" s="59">
        <f t="shared" si="26"/>
        <v>610.47565102487579</v>
      </c>
      <c r="GE44" s="59">
        <f ca="1">AVERAGE(OFFSET($GD$3,0,0,'Données projet'!$E$17+1,1))-AVERAGE(OFFSET($H$3,0,0,'Données projet'!$E$17+1,1))</f>
        <v>405.42845699663462</v>
      </c>
      <c r="GF44" s="59">
        <f t="shared" si="50"/>
        <v>292.26503163353146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11.966159265271628</v>
      </c>
      <c r="GM44" s="21">
        <f>EXP(-LN(2)/25)*GM43+(1-EXP(-LN(2)/25))/(LN(2)/25)*Calculateur!GH44*Calculateur!GJ44*VLOOKUP('Données projet'!$B$17,Paramètres!$A$1:$I$89,3,0)*0.475*44/12</f>
        <v>23.508577563911636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35.474736829183264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11.5</v>
      </c>
      <c r="N45" s="13">
        <f>IF('Données projet'!$A$36&gt;35,N44+M45-V44,IF(A45&lt;'Données projet'!$A$36,$K$205^A45,IF(A45='Données projet'!$A$36,'Données projet'!$B$36,N44+M45-V44)))</f>
        <v>219.81999999999994</v>
      </c>
      <c r="O45" s="13">
        <f>N45*VLOOKUP('Données projet'!$B$9,Paramètres!$A$1:$I$89,3,0)*VLOOKUP('Données projet'!$B$9,Paramètres!$A$1:$I$89,5,0)</f>
        <v>102.87575999999996</v>
      </c>
      <c r="P45" s="13">
        <f t="shared" si="33"/>
        <v>27.645973136743791</v>
      </c>
      <c r="Q45" s="20">
        <f t="shared" si="53"/>
        <v>227.32535187982873</v>
      </c>
      <c r="R45" s="59">
        <f t="shared" si="0"/>
        <v>520.65868521316202</v>
      </c>
      <c r="S45" s="59">
        <f ca="1">AVERAGE(OFFSET($R$3,0,0,'Données projet'!$E$9+1,1))-AVERAGE(OFFSET($H$3,0,0,'Données projet'!$E$9+1,1))</f>
        <v>198.26255998041</v>
      </c>
      <c r="T45" s="59">
        <f t="shared" si="34"/>
        <v>238.62101708181166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8.074477439780674</v>
      </c>
      <c r="AA45" s="21">
        <f>EXP(-LN(2)/25)*AA44+(1-EXP(-LN(2)/25))/(LN(2)/25)*Calculateur!V45*Calculateur!X45*VLOOKUP('Données projet'!$B$9,Paramètres!$A$1:$I$89,3,0)*0.475*44/12</f>
        <v>30.005636410312274</v>
      </c>
      <c r="AB45" s="21">
        <f>EXP(-LN(2)/2)*AB44+(1-EXP(-LN(2)/2))/(LN(2)/2)*V45*Y45*VLOOKUP('Données projet'!$B$9,Paramètres!$A$1:$I$89,3,0)*0.475*44/12</f>
        <v>0</v>
      </c>
      <c r="AC45" s="22">
        <f t="shared" si="3"/>
        <v>38.08011385009295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19</v>
      </c>
      <c r="AI45" s="13">
        <f>IF('Données projet'!$A$62&gt;35,AI44+AH45-AQ44,IF(A45&lt;'Données projet'!$A$62,$AF$205^A45,IF(A45='Données projet'!$A$62,'Données projet'!$B$62,AI44+AH45-AQ44)))</f>
        <v>368.00000000000011</v>
      </c>
      <c r="AJ45" s="13">
        <f>AI45*VLOOKUP('Données projet'!$B$10,Paramètres!$A$1:$I$89,3,0)*VLOOKUP('Données projet'!$B$10,Paramètres!$A$1:$I$89,5,0)</f>
        <v>205.71200000000005</v>
      </c>
      <c r="AK45" s="13">
        <f t="shared" si="35"/>
        <v>50.997427696933762</v>
      </c>
      <c r="AL45" s="20">
        <f t="shared" si="4"/>
        <v>447.10225323882634</v>
      </c>
      <c r="AM45" s="59">
        <f t="shared" si="5"/>
        <v>740.43558657215965</v>
      </c>
      <c r="AN45" s="59">
        <f ca="1">AVERAGE(OFFSET($AM$3,0,0,'Données projet'!$E$10+1,1))-AVERAGE(OFFSET($H$3,0,0,'Données projet'!$E$10+1,1))</f>
        <v>347.02720636703873</v>
      </c>
      <c r="AO45" s="59">
        <f t="shared" si="36"/>
        <v>394.03759949558702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18.871740466218466</v>
      </c>
      <c r="AV45" s="21">
        <f>EXP(-LN(2)/25)*AV44+(1-EXP(-LN(2)/25))/(LN(2)/25)*Calculateur!AQ45*Calculateur!AS45*VLOOKUP('Données projet'!$B$10,Paramètres!$A$1:$I$89,3,0)*0.475*44/12</f>
        <v>39.082326586971142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57.954067053189604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20</v>
      </c>
      <c r="BD45" s="12">
        <f>IF('Données projet'!$A$88&gt;35,BD44+BC45-BL44,IF(A45&lt;'Données projet'!$A$88,$BA$205^A45,IF(A45='Données projet'!$A$88,'Données projet'!$B$88,BD44+BC45-BL44)))</f>
        <v>324.00000000000017</v>
      </c>
      <c r="BE45" s="13">
        <f>BD45*VLOOKUP('Données projet'!$B$11,Paramètres!$A$1:$I$89,3,0)*VLOOKUP('Données projet'!$B$11,Paramètres!$A$1:$I$89,5,0)</f>
        <v>193.75200000000009</v>
      </c>
      <c r="BF45" s="13">
        <f t="shared" si="37"/>
        <v>48.368520355376113</v>
      </c>
      <c r="BG45" s="20">
        <f t="shared" si="7"/>
        <v>421.69323961894696</v>
      </c>
      <c r="BH45" s="59">
        <f t="shared" si="8"/>
        <v>715.02657295228028</v>
      </c>
      <c r="BI45" s="59">
        <f ca="1">AVERAGE(OFFSET($BH$3,0,0,'Données projet'!$E$11+1,1))-AVERAGE(OFFSET($H$3,0,0,'Données projet'!$E$11+1,1))</f>
        <v>378.75660696651238</v>
      </c>
      <c r="BJ45" s="59">
        <f t="shared" si="38"/>
        <v>371.70674704563288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15.612763007529809</v>
      </c>
      <c r="BQ45" s="21">
        <f>EXP(-LN(2)/25)*BQ44+(1-EXP(-LN(2)/25))/(LN(2)/25)*Calculateur!BL45*Calculateur!BN45*VLOOKUP('Données projet'!$B$11,Paramètres!$A$1:$I$89,3,0)*0.475*44/12</f>
        <v>33.947797869276464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49.560560876806271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2.1607142857142856</v>
      </c>
      <c r="BY45" s="12">
        <f>IF('Données projet'!$A$114&gt;35,BY44+BX45-CG44,IF(A45&lt;'Données projet'!$A$114,$BV$205^A45,IF(A45='Données projet'!$A$114,'Données projet'!$B$114,BY44+BX45-CG44)))</f>
        <v>90.750000000000057</v>
      </c>
      <c r="BZ45" s="13">
        <f>BY45*VLOOKUP('Données projet'!$B$12,Paramètres!$A$1:$I$89,3,0)*VLOOKUP('Données projet'!$B$12,Paramètres!$A$1:$I$89,5,0)</f>
        <v>92.020500000000069</v>
      </c>
      <c r="CA45" s="13">
        <f t="shared" si="39"/>
        <v>25.051889501258934</v>
      </c>
      <c r="CB45" s="20">
        <f t="shared" si="10"/>
        <v>203.90107838135944</v>
      </c>
      <c r="CC45" s="59">
        <f t="shared" si="11"/>
        <v>497.23441171469278</v>
      </c>
      <c r="CD45" s="59">
        <f ca="1">AVERAGE(OFFSET($CC$3,0,0,'Données projet'!$E$12+1,1))-AVERAGE(OFFSET($H$3,0,0,'Données projet'!$E$12+1,1))</f>
        <v>410.75375635525211</v>
      </c>
      <c r="CE45" s="59">
        <f t="shared" si="40"/>
        <v>183.55513001437367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126</v>
      </c>
      <c r="CR45" s="12">
        <f>VLOOKUP(A45,'Données projet'!$A$139:$I$159,9,0)</f>
        <v>3</v>
      </c>
      <c r="CS45" s="12">
        <f t="array" ref="CS45">INDEX(CR:CR,MIN(IF(ISNUMBER(CR45:CR241),ROW(CR45:CR241),"")))</f>
        <v>3</v>
      </c>
      <c r="CT45" s="12">
        <f>IF('Données projet'!$A$140&gt;35,CT44+CS45-DB44,IF(A45&lt;'Données projet'!$A$140,$CQ$205^A45,IF(A45='Données projet'!$A$140,'Données projet'!$B$140,CT44+CS45-DB44)))</f>
        <v>126</v>
      </c>
      <c r="CU45" s="17">
        <f>CT45*VLOOKUP('Données projet'!$B$13,Paramètres!$A$1:$I$89,3,0)*VLOOKUP('Données projet'!$B$13,Paramètres!$A$1:$I$89,5,0)</f>
        <v>114.0048</v>
      </c>
      <c r="CV45" s="13">
        <f t="shared" si="41"/>
        <v>30.272573949217303</v>
      </c>
      <c r="CW45" s="20">
        <f t="shared" si="13"/>
        <v>251.28309296155342</v>
      </c>
      <c r="CX45" s="59">
        <f t="shared" si="14"/>
        <v>544.61642629488676</v>
      </c>
      <c r="CY45" s="59">
        <f ca="1">AVERAGE(OFFSET($CX$3,0,0,'Données projet'!$E$13+1,1))-AVERAGE(OFFSET($H$3,0,0,'Données projet'!$E$13+1,1))</f>
        <v>436.12708882925142</v>
      </c>
      <c r="CZ45" s="59">
        <f t="shared" si="42"/>
        <v>217.65884352525285</v>
      </c>
      <c r="DA45" s="15">
        <f>IF(ISNA(VLOOKUP(A45,'Données projet'!$A$139:$I$159,3,0)),0,VLOOKUP(A45,'Données projet'!$A$139:$I$159,3,0))</f>
        <v>1</v>
      </c>
      <c r="DB45" s="15">
        <f>IF(ISNA(VLOOKUP(A45,'Données projet'!$A$139:$I$159,4,0)),0,VLOOKUP(A45,'Données projet'!$A$139:$I$159,4,0))</f>
        <v>30</v>
      </c>
      <c r="DC45" s="16">
        <f>IF(ISNA(VLOOKUP(A45,'Données projet'!$A$139:$I$159,5,0)),0%,VLOOKUP(A45,'Données projet'!$A$139:$I$159,5,0)*VLOOKUP('Données projet'!$B$13,Paramètres!$A$1:$I$89,7,0))</f>
        <v>0.129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3.8708885496834688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3.8708885496834688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16.600000000000001</v>
      </c>
      <c r="DO45" s="12">
        <f>IF('Données projet'!$A$166&gt;35,DO44+DN45-DW44,IF(A45&lt;'Données projet'!$A$166,$DL$205^A45,IF(A45='Données projet'!$A$166,'Données projet'!$B$166,DO44+DN45-DW44)))</f>
        <v>350.20000000000005</v>
      </c>
      <c r="DP45" s="17">
        <f>DO45*VLOOKUP('Données projet'!$B$14,Paramètres!$A$1:$I$89,3,0)*VLOOKUP('Données projet'!$B$14,Paramètres!$A$1:$I$89,5,0)</f>
        <v>333.25032000000004</v>
      </c>
      <c r="DQ45" s="13">
        <f t="shared" si="43"/>
        <v>78.103796552521999</v>
      </c>
      <c r="DR45" s="20">
        <f t="shared" si="16"/>
        <v>716.44175299564256</v>
      </c>
      <c r="DS45" s="59">
        <f t="shared" si="17"/>
        <v>1009.7750863289759</v>
      </c>
      <c r="DT45" s="59">
        <f ca="1">AVERAGE(OFFSET($DS$3,0,0,'Données projet'!$E$14+1,1))-AVERAGE(OFFSET($H$3,0,0,'Données projet'!$E$14+1,1))</f>
        <v>735.50267870886194</v>
      </c>
      <c r="DU45" s="59">
        <f t="shared" si="44"/>
        <v>525.80345400853275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5.7390791788218554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5.7390791788218554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2.1607142857142856</v>
      </c>
      <c r="EJ45" s="12">
        <f>IF('Données projet'!$A$192&gt;35,EJ44+EI45-ER44,IF(A45&lt;'Données projet'!$A$192,$EG$205^A45,IF(A45='Données projet'!$A$192,'Données projet'!$B$192,EJ44+EI45-ER44)))</f>
        <v>90.750000000000057</v>
      </c>
      <c r="EK45" s="17">
        <f>EJ45*VLOOKUP('Données projet'!$B$15,Paramètres!$A$1:$I$89,3,0)*VLOOKUP('Données projet'!$B$15,Paramètres!$A$1:$I$89,5,0)</f>
        <v>58.043700000000037</v>
      </c>
      <c r="EL45" s="13">
        <f t="shared" si="45"/>
        <v>16.67270481981992</v>
      </c>
      <c r="EM45" s="20">
        <f t="shared" si="19"/>
        <v>130.13107172785308</v>
      </c>
      <c r="EN45" s="59">
        <f t="shared" si="20"/>
        <v>423.46440506118643</v>
      </c>
      <c r="EO45" s="59">
        <f ca="1">AVERAGE(OFFSET($EN$3,0,0,'Données projet'!$E$15+1,1))-AVERAGE(OFFSET($H$3,0,0,'Données projet'!$E$15+1,1))</f>
        <v>274.14900959323484</v>
      </c>
      <c r="EP45" s="59">
        <f t="shared" si="46"/>
        <v>130.44590390921582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19</v>
      </c>
      <c r="FE45" s="12">
        <f>IF('Données projet'!$A$218&gt;35,FE44+FD45-FM44,IF(A45&lt;'Données projet'!$A$218,$FB$205^A45,IF(A45='Données projet'!$A$218,'Données projet'!$B$218,FE44+FD45-FM44)))</f>
        <v>261.00000000000006</v>
      </c>
      <c r="FF45" s="17">
        <f>FE45*VLOOKUP('Données projet'!$B$16,Paramètres!$A$1:$I$89,3,0)*VLOOKUP('Données projet'!$B$16,Paramètres!$A$1:$I$89,5,0)</f>
        <v>156.07800000000003</v>
      </c>
      <c r="FG45" s="13">
        <f t="shared" si="47"/>
        <v>39.956623674978466</v>
      </c>
      <c r="FH45" s="20">
        <f t="shared" si="22"/>
        <v>341.42696956725422</v>
      </c>
      <c r="FI45" s="59">
        <f t="shared" si="23"/>
        <v>634.76030290058748</v>
      </c>
      <c r="FJ45" s="59">
        <f ca="1">AVERAGE(OFFSET($FI$3,0,0,'Données projet'!$E$16+1,1))-AVERAGE(OFFSET($H$3,0,0,'Données projet'!$E$16+1,1))</f>
        <v>405.42845699663462</v>
      </c>
      <c r="FK45" s="59">
        <f t="shared" si="48"/>
        <v>292.26503163353146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11.731510180716123</v>
      </c>
      <c r="FR45" s="21">
        <f>EXP(-LN(2)/25)*FR44+(1-EXP(-LN(2)/25))/(LN(2)/25)*Calculateur!FM45*Calculateur!FO45*VLOOKUP('Données projet'!$B$16,Paramètres!$A$1:$I$89,3,0)*0.475*44/12</f>
        <v>22.865734274164108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34.597244454880233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19</v>
      </c>
      <c r="FZ45" s="12">
        <f>IF('Données projet'!$A$244&gt;35,FZ44+FY45-GH44,IF(A45&lt;'Données projet'!$A$244,$FW$205^A45,IF(A45='Données projet'!$A$244,'Données projet'!$B$244,FZ44+FY45-GH44)))</f>
        <v>261.00000000000006</v>
      </c>
      <c r="GA45" s="17">
        <f>FZ45*VLOOKUP('Données projet'!$B$17,Paramètres!$A$1:$I$89,3,0)*VLOOKUP('Données projet'!$B$17,Paramètres!$A$1:$I$89,5,0)</f>
        <v>156.07800000000003</v>
      </c>
      <c r="GB45" s="13">
        <f t="shared" si="49"/>
        <v>39.956623674978466</v>
      </c>
      <c r="GC45" s="20">
        <f t="shared" si="25"/>
        <v>341.42696956725422</v>
      </c>
      <c r="GD45" s="59">
        <f t="shared" si="26"/>
        <v>634.76030290058748</v>
      </c>
      <c r="GE45" s="59">
        <f ca="1">AVERAGE(OFFSET($GD$3,0,0,'Données projet'!$E$17+1,1))-AVERAGE(OFFSET($H$3,0,0,'Données projet'!$E$17+1,1))</f>
        <v>405.42845699663462</v>
      </c>
      <c r="GF45" s="59">
        <f t="shared" si="50"/>
        <v>292.26503163353146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11.731510180716123</v>
      </c>
      <c r="GM45" s="21">
        <f>EXP(-LN(2)/25)*GM44+(1-EXP(-LN(2)/25))/(LN(2)/25)*Calculateur!GH45*Calculateur!GJ45*VLOOKUP('Données projet'!$B$17,Paramètres!$A$1:$I$89,3,0)*0.475*44/12</f>
        <v>22.865734274164108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34.597244454880233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11.5</v>
      </c>
      <c r="N46" s="13">
        <f>IF('Données projet'!$A$36&gt;35,N45+M46-V45,IF(A46&lt;'Données projet'!$A$36,$K$205^A46,IF(A46='Données projet'!$A$36,'Données projet'!$B$36,N45+M46-V45)))</f>
        <v>231.31999999999994</v>
      </c>
      <c r="O46" s="13">
        <f>N46*VLOOKUP('Données projet'!$B$9,Paramètres!$A$1:$I$89,3,0)*VLOOKUP('Données projet'!$B$9,Paramètres!$A$1:$I$89,5,0)</f>
        <v>108.25775999999996</v>
      </c>
      <c r="P46" s="13">
        <f t="shared" si="33"/>
        <v>28.920118603728753</v>
      </c>
      <c r="Q46" s="20">
        <f t="shared" si="53"/>
        <v>238.91813856816086</v>
      </c>
      <c r="R46" s="59">
        <f t="shared" si="0"/>
        <v>532.25147190149414</v>
      </c>
      <c r="S46" s="59">
        <f ca="1">AVERAGE(OFFSET($R$3,0,0,'Données projet'!$E$9+1,1))-AVERAGE(OFFSET($H$3,0,0,'Données projet'!$E$9+1,1))</f>
        <v>198.26255998041</v>
      </c>
      <c r="T46" s="59">
        <f t="shared" si="34"/>
        <v>238.62101708181166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7.9161418621315152</v>
      </c>
      <c r="AA46" s="21">
        <f>EXP(-LN(2)/25)*AA45+(1-EXP(-LN(2)/25))/(LN(2)/25)*Calculateur!V46*Calculateur!X46*VLOOKUP('Données projet'!$B$9,Paramètres!$A$1:$I$89,3,0)*0.475*44/12</f>
        <v>29.185130704744445</v>
      </c>
      <c r="AB46" s="21">
        <f>EXP(-LN(2)/2)*AB45+(1-EXP(-LN(2)/2))/(LN(2)/2)*V46*Y46*VLOOKUP('Données projet'!$B$9,Paramètres!$A$1:$I$89,3,0)*0.475*44/12</f>
        <v>0</v>
      </c>
      <c r="AC46" s="22">
        <f t="shared" si="3"/>
        <v>37.101272566875963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19</v>
      </c>
      <c r="AI46" s="13">
        <f>IF('Données projet'!$A$62&gt;35,AI45+AH46-AQ45,IF(A46&lt;'Données projet'!$A$62,$AF$205^A46,IF(A46='Données projet'!$A$62,'Données projet'!$B$62,AI45+AH46-AQ45)))</f>
        <v>387.00000000000011</v>
      </c>
      <c r="AJ46" s="13">
        <f>AI46*VLOOKUP('Données projet'!$B$10,Paramètres!$A$1:$I$89,3,0)*VLOOKUP('Données projet'!$B$10,Paramètres!$A$1:$I$89,5,0)</f>
        <v>216.33300000000008</v>
      </c>
      <c r="AK46" s="13">
        <f t="shared" si="35"/>
        <v>53.317103385534637</v>
      </c>
      <c r="AL46" s="20">
        <f t="shared" si="4"/>
        <v>469.6405967298063</v>
      </c>
      <c r="AM46" s="59">
        <f t="shared" si="5"/>
        <v>762.97393006313962</v>
      </c>
      <c r="AN46" s="59">
        <f ca="1">AVERAGE(OFFSET($AM$3,0,0,'Données projet'!$E$10+1,1))-AVERAGE(OFFSET($H$3,0,0,'Données projet'!$E$10+1,1))</f>
        <v>347.02720636703873</v>
      </c>
      <c r="AO46" s="59">
        <f t="shared" si="36"/>
        <v>394.03759949558702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18.501677146301027</v>
      </c>
      <c r="AV46" s="21">
        <f>EXP(-LN(2)/25)*AV45+(1-EXP(-LN(2)/25))/(LN(2)/25)*Calculateur!AQ46*Calculateur!AS46*VLOOKUP('Données projet'!$B$10,Paramètres!$A$1:$I$89,3,0)*0.475*44/12</f>
        <v>38.013618311200183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56.51529545750121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20</v>
      </c>
      <c r="BD46" s="12">
        <f>IF('Données projet'!$A$88&gt;35,BD45+BC46-BL45,IF(A46&lt;'Données projet'!$A$88,$BA$205^A46,IF(A46='Données projet'!$A$88,'Données projet'!$B$88,BD45+BC46-BL45)))</f>
        <v>344.00000000000017</v>
      </c>
      <c r="BE46" s="13">
        <f>BD46*VLOOKUP('Données projet'!$B$11,Paramètres!$A$1:$I$89,3,0)*VLOOKUP('Données projet'!$B$11,Paramètres!$A$1:$I$89,5,0)</f>
        <v>205.71200000000013</v>
      </c>
      <c r="BF46" s="13">
        <f t="shared" si="37"/>
        <v>50.997427696933762</v>
      </c>
      <c r="BG46" s="20">
        <f t="shared" si="7"/>
        <v>447.10225323882656</v>
      </c>
      <c r="BH46" s="59">
        <f t="shared" si="8"/>
        <v>740.43558657215988</v>
      </c>
      <c r="BI46" s="59">
        <f ca="1">AVERAGE(OFFSET($BH$3,0,0,'Données projet'!$E$11+1,1))-AVERAGE(OFFSET($H$3,0,0,'Données projet'!$E$11+1,1))</f>
        <v>378.75660696651238</v>
      </c>
      <c r="BJ46" s="59">
        <f t="shared" si="38"/>
        <v>371.70674704563288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15.306606247797282</v>
      </c>
      <c r="BQ46" s="21">
        <f>EXP(-LN(2)/25)*BQ45+(1-EXP(-LN(2)/25))/(LN(2)/25)*Calculateur!BL46*Calculateur!BN46*VLOOKUP('Données projet'!$B$11,Paramètres!$A$1:$I$89,3,0)*0.475*44/12</f>
        <v>33.019493551303995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48.326099799101279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2.1607142857142856</v>
      </c>
      <c r="BY46" s="12">
        <f>IF('Données projet'!$A$114&gt;35,BY45+BX46-CG45,IF(A46&lt;'Données projet'!$A$114,$BV$205^A46,IF(A46='Données projet'!$A$114,'Données projet'!$B$114,BY45+BX46-CG45)))</f>
        <v>92.910714285714349</v>
      </c>
      <c r="BZ46" s="13">
        <f>BY46*VLOOKUP('Données projet'!$B$12,Paramètres!$A$1:$I$89,3,0)*VLOOKUP('Données projet'!$B$12,Paramètres!$A$1:$I$89,5,0)</f>
        <v>94.211464285714356</v>
      </c>
      <c r="CA46" s="13">
        <f t="shared" si="39"/>
        <v>25.578209596677851</v>
      </c>
      <c r="CB46" s="20">
        <f t="shared" si="10"/>
        <v>208.63368201183309</v>
      </c>
      <c r="CC46" s="59">
        <f t="shared" si="11"/>
        <v>501.96701534516637</v>
      </c>
      <c r="CD46" s="59">
        <f ca="1">AVERAGE(OFFSET($CC$3,0,0,'Données projet'!$E$12+1,1))-AVERAGE(OFFSET($H$3,0,0,'Données projet'!$E$12+1,1))</f>
        <v>410.75375635525211</v>
      </c>
      <c r="CE46" s="59">
        <f t="shared" si="40"/>
        <v>183.55513001437367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6.875</v>
      </c>
      <c r="CT46" s="12">
        <f>IF('Données projet'!$A$140&gt;35,CT45+CS46-DB45,IF(A46&lt;'Données projet'!$A$140,$CQ$205^A46,IF(A46='Données projet'!$A$140,'Données projet'!$B$140,CT45+CS46-DB45)))</f>
        <v>102.875</v>
      </c>
      <c r="CU46" s="17">
        <f>CT46*VLOOKUP('Données projet'!$B$13,Paramètres!$A$1:$I$89,3,0)*VLOOKUP('Données projet'!$B$13,Paramètres!$A$1:$I$89,5,0)</f>
        <v>93.081299999999999</v>
      </c>
      <c r="CV46" s="13">
        <f t="shared" si="41"/>
        <v>25.306898135221367</v>
      </c>
      <c r="CW46" s="20">
        <f t="shared" si="13"/>
        <v>206.19277841884386</v>
      </c>
      <c r="CX46" s="59">
        <f t="shared" si="14"/>
        <v>499.52611175217714</v>
      </c>
      <c r="CY46" s="59">
        <f ca="1">AVERAGE(OFFSET($CX$3,0,0,'Données projet'!$E$13+1,1))-AVERAGE(OFFSET($H$3,0,0,'Données projet'!$E$13+1,1))</f>
        <v>436.12708882925142</v>
      </c>
      <c r="CZ46" s="59">
        <f t="shared" si="42"/>
        <v>217.65884352525285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3.794982786233061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3.794982786233061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16.600000000000001</v>
      </c>
      <c r="DO46" s="12">
        <f>IF('Données projet'!$A$166&gt;35,DO45+DN46-DW45,IF(A46&lt;'Données projet'!$A$166,$DL$205^A46,IF(A46='Données projet'!$A$166,'Données projet'!$B$166,DO45+DN46-DW45)))</f>
        <v>366.80000000000007</v>
      </c>
      <c r="DP46" s="17">
        <f>DO46*VLOOKUP('Données projet'!$B$14,Paramètres!$A$1:$I$89,3,0)*VLOOKUP('Données projet'!$B$14,Paramètres!$A$1:$I$89,5,0)</f>
        <v>349.0468800000001</v>
      </c>
      <c r="DQ46" s="13">
        <f t="shared" si="43"/>
        <v>81.366222794979109</v>
      </c>
      <c r="DR46" s="20">
        <f t="shared" si="16"/>
        <v>749.6361540345888</v>
      </c>
      <c r="DS46" s="59">
        <f t="shared" si="17"/>
        <v>1042.9694873679221</v>
      </c>
      <c r="DT46" s="59">
        <f ca="1">AVERAGE(OFFSET($DS$3,0,0,'Données projet'!$E$14+1,1))-AVERAGE(OFFSET($H$3,0,0,'Données projet'!$E$14+1,1))</f>
        <v>735.50267870886194</v>
      </c>
      <c r="DU46" s="59">
        <f t="shared" si="44"/>
        <v>525.80345400853275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5.6265393366178129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5.6265393366178129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2.1607142857142856</v>
      </c>
      <c r="EJ46" s="12">
        <f>IF('Données projet'!$A$192&gt;35,EJ45+EI46-ER45,IF(A46&lt;'Données projet'!$A$192,$EG$205^A46,IF(A46='Données projet'!$A$192,'Données projet'!$B$192,EJ45+EI46-ER45)))</f>
        <v>92.910714285714349</v>
      </c>
      <c r="EK46" s="17">
        <f>EJ46*VLOOKUP('Données projet'!$B$15,Paramètres!$A$1:$I$89,3,0)*VLOOKUP('Données projet'!$B$15,Paramètres!$A$1:$I$89,5,0)</f>
        <v>59.425692857142899</v>
      </c>
      <c r="EL46" s="13">
        <f t="shared" si="45"/>
        <v>17.022984968996624</v>
      </c>
      <c r="EM46" s="20">
        <f t="shared" si="19"/>
        <v>133.14811388052632</v>
      </c>
      <c r="EN46" s="59">
        <f t="shared" si="20"/>
        <v>426.48144721385961</v>
      </c>
      <c r="EO46" s="59">
        <f ca="1">AVERAGE(OFFSET($EN$3,0,0,'Données projet'!$E$15+1,1))-AVERAGE(OFFSET($H$3,0,0,'Données projet'!$E$15+1,1))</f>
        <v>274.14900959323484</v>
      </c>
      <c r="EP46" s="59">
        <f t="shared" si="46"/>
        <v>130.44590390921582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19</v>
      </c>
      <c r="FE46" s="12">
        <f>IF('Données projet'!$A$218&gt;35,FE45+FD46-FM45,IF(A46&lt;'Données projet'!$A$218,$FB$205^A46,IF(A46='Données projet'!$A$218,'Données projet'!$B$218,FE45+FD46-FM45)))</f>
        <v>280.00000000000006</v>
      </c>
      <c r="FF46" s="17">
        <f>FE46*VLOOKUP('Données projet'!$B$16,Paramètres!$A$1:$I$89,3,0)*VLOOKUP('Données projet'!$B$16,Paramètres!$A$1:$I$89,5,0)</f>
        <v>167.44000000000005</v>
      </c>
      <c r="FG46" s="13">
        <f t="shared" si="47"/>
        <v>42.516163405082935</v>
      </c>
      <c r="FH46" s="20">
        <f t="shared" si="22"/>
        <v>365.67365126385283</v>
      </c>
      <c r="FI46" s="59">
        <f t="shared" si="23"/>
        <v>659.00698459718615</v>
      </c>
      <c r="FJ46" s="59">
        <f ca="1">AVERAGE(OFFSET($FI$3,0,0,'Données projet'!$E$16+1,1))-AVERAGE(OFFSET($H$3,0,0,'Données projet'!$E$16+1,1))</f>
        <v>405.42845699663462</v>
      </c>
      <c r="FK46" s="59">
        <f t="shared" si="48"/>
        <v>292.26503163353146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11.501462421586941</v>
      </c>
      <c r="FR46" s="21">
        <f>EXP(-LN(2)/25)*FR45+(1-EXP(-LN(2)/25))/(LN(2)/25)*Calculateur!FM46*Calculateur!FO46*VLOOKUP('Données projet'!$B$16,Paramètres!$A$1:$I$89,3,0)*0.475*44/12</f>
        <v>22.240469567980384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33.741931989567327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19</v>
      </c>
      <c r="FZ46" s="12">
        <f>IF('Données projet'!$A$244&gt;35,FZ45+FY46-GH45,IF(A46&lt;'Données projet'!$A$244,$FW$205^A46,IF(A46='Données projet'!$A$244,'Données projet'!$B$244,FZ45+FY46-GH45)))</f>
        <v>280.00000000000006</v>
      </c>
      <c r="GA46" s="17">
        <f>FZ46*VLOOKUP('Données projet'!$B$17,Paramètres!$A$1:$I$89,3,0)*VLOOKUP('Données projet'!$B$17,Paramètres!$A$1:$I$89,5,0)</f>
        <v>167.44000000000005</v>
      </c>
      <c r="GB46" s="13">
        <f t="shared" si="49"/>
        <v>42.516163405082935</v>
      </c>
      <c r="GC46" s="20">
        <f t="shared" si="25"/>
        <v>365.67365126385283</v>
      </c>
      <c r="GD46" s="59">
        <f t="shared" si="26"/>
        <v>659.00698459718615</v>
      </c>
      <c r="GE46" s="59">
        <f ca="1">AVERAGE(OFFSET($GD$3,0,0,'Données projet'!$E$17+1,1))-AVERAGE(OFFSET($H$3,0,0,'Données projet'!$E$17+1,1))</f>
        <v>405.42845699663462</v>
      </c>
      <c r="GF46" s="59">
        <f t="shared" si="50"/>
        <v>292.26503163353146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11.501462421586941</v>
      </c>
      <c r="GM46" s="21">
        <f>EXP(-LN(2)/25)*GM45+(1-EXP(-LN(2)/25))/(LN(2)/25)*Calculateur!GH46*Calculateur!GJ46*VLOOKUP('Données projet'!$B$17,Paramètres!$A$1:$I$89,3,0)*0.475*44/12</f>
        <v>22.240469567980384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33.741931989567327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11.5</v>
      </c>
      <c r="N47" s="13">
        <f>IF('Données projet'!$A$36&gt;35,N46+M47-V46,IF(A47&lt;'Données projet'!$A$36,$K$205^A47,IF(A47='Données projet'!$A$36,'Données projet'!$B$36,N46+M47-V46)))</f>
        <v>242.81999999999994</v>
      </c>
      <c r="O47" s="13">
        <f>N47*VLOOKUP('Données projet'!$B$9,Paramètres!$A$1:$I$89,3,0)*VLOOKUP('Données projet'!$B$9,Paramètres!$A$1:$I$89,5,0)</f>
        <v>113.63975999999997</v>
      </c>
      <c r="P47" s="13">
        <f t="shared" si="33"/>
        <v>30.186908953692303</v>
      </c>
      <c r="Q47" s="20">
        <f t="shared" si="53"/>
        <v>250.49811509434733</v>
      </c>
      <c r="R47" s="59">
        <f t="shared" si="0"/>
        <v>543.8314484276807</v>
      </c>
      <c r="S47" s="59">
        <f ca="1">AVERAGE(OFFSET($R$3,0,0,'Données projet'!$E$9+1,1))-AVERAGE(OFFSET($H$3,0,0,'Données projet'!$E$9+1,1))</f>
        <v>198.26255998041</v>
      </c>
      <c r="T47" s="59">
        <f t="shared" si="34"/>
        <v>238.62101708181166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7.7609111485848903</v>
      </c>
      <c r="AA47" s="21">
        <f>EXP(-LN(2)/25)*AA46+(1-EXP(-LN(2)/25))/(LN(2)/25)*Calculateur!V47*Calculateur!X47*VLOOKUP('Données projet'!$B$9,Paramètres!$A$1:$I$89,3,0)*0.475*44/12</f>
        <v>28.387061770843889</v>
      </c>
      <c r="AB47" s="21">
        <f>EXP(-LN(2)/2)*AB46+(1-EXP(-LN(2)/2))/(LN(2)/2)*V47*Y47*VLOOKUP('Données projet'!$B$9,Paramètres!$A$1:$I$89,3,0)*0.475*44/12</f>
        <v>0</v>
      </c>
      <c r="AC47" s="22">
        <f t="shared" si="3"/>
        <v>36.147972919428781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19</v>
      </c>
      <c r="AI47" s="13">
        <f>IF('Données projet'!$A$62&gt;35,AI46+AH47-AQ46,IF(A47&lt;'Données projet'!$A$62,$AF$205^A47,IF(A47='Données projet'!$A$62,'Données projet'!$B$62,AI46+AH47-AQ46)))</f>
        <v>406.00000000000011</v>
      </c>
      <c r="AJ47" s="13">
        <f>AI47*VLOOKUP('Données projet'!$B$10,Paramètres!$A$1:$I$89,3,0)*VLOOKUP('Données projet'!$B$10,Paramètres!$A$1:$I$89,5,0)</f>
        <v>226.95400000000006</v>
      </c>
      <c r="AK47" s="13">
        <f t="shared" si="35"/>
        <v>55.623554954078735</v>
      </c>
      <c r="AL47" s="20">
        <f t="shared" si="4"/>
        <v>492.15590821168718</v>
      </c>
      <c r="AM47" s="59">
        <f t="shared" si="5"/>
        <v>785.48924154502049</v>
      </c>
      <c r="AN47" s="59">
        <f ca="1">AVERAGE(OFFSET($AM$3,0,0,'Données projet'!$E$10+1,1))-AVERAGE(OFFSET($H$3,0,0,'Données projet'!$E$10+1,1))</f>
        <v>347.02720636703873</v>
      </c>
      <c r="AO47" s="59">
        <f t="shared" si="36"/>
        <v>394.03759949558702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18.138870542370832</v>
      </c>
      <c r="AV47" s="21">
        <f>EXP(-LN(2)/25)*AV46+(1-EXP(-LN(2)/25))/(LN(2)/25)*Calculateur!AQ47*Calculateur!AS47*VLOOKUP('Données projet'!$B$10,Paramètres!$A$1:$I$89,3,0)*0.475*44/12</f>
        <v>36.974133919431111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55.113004461801943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20</v>
      </c>
      <c r="BD47" s="12">
        <f>IF('Données projet'!$A$88&gt;35,BD46+BC47-BL46,IF(A47&lt;'Données projet'!$A$88,$BA$205^A47,IF(A47='Données projet'!$A$88,'Données projet'!$B$88,BD46+BC47-BL46)))</f>
        <v>364.00000000000017</v>
      </c>
      <c r="BE47" s="13">
        <f>BD47*VLOOKUP('Données projet'!$B$11,Paramètres!$A$1:$I$89,3,0)*VLOOKUP('Données projet'!$B$11,Paramètres!$A$1:$I$89,5,0)</f>
        <v>217.67200000000011</v>
      </c>
      <c r="BF47" s="13">
        <f t="shared" si="37"/>
        <v>53.60859357546007</v>
      </c>
      <c r="BG47" s="20">
        <f t="shared" si="7"/>
        <v>472.48036714392646</v>
      </c>
      <c r="BH47" s="59">
        <f t="shared" si="8"/>
        <v>765.81370047725977</v>
      </c>
      <c r="BI47" s="59">
        <f ca="1">AVERAGE(OFFSET($BH$3,0,0,'Données projet'!$E$11+1,1))-AVERAGE(OFFSET($H$3,0,0,'Données projet'!$E$11+1,1))</f>
        <v>378.75660696651238</v>
      </c>
      <c r="BJ47" s="59">
        <f t="shared" si="38"/>
        <v>371.70674704563288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15.006453035385924</v>
      </c>
      <c r="BQ47" s="21">
        <f>EXP(-LN(2)/25)*BQ46+(1-EXP(-LN(2)/25))/(LN(2)/25)*Calculateur!BL47*Calculateur!BN47*VLOOKUP('Données projet'!$B$11,Paramètres!$A$1:$I$89,3,0)*0.475*44/12</f>
        <v>32.116573763723892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47.123026799109816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2.1607142857142856</v>
      </c>
      <c r="BY47" s="12">
        <f>IF('Données projet'!$A$114&gt;35,BY46+BX47-CG46,IF(A47&lt;'Données projet'!$A$114,$BV$205^A47,IF(A47='Données projet'!$A$114,'Données projet'!$B$114,BY46+BX47-CG46)))</f>
        <v>95.07142857142864</v>
      </c>
      <c r="BZ47" s="13">
        <f>BY47*VLOOKUP('Données projet'!$B$12,Paramètres!$A$1:$I$89,3,0)*VLOOKUP('Données projet'!$B$12,Paramètres!$A$1:$I$89,5,0)</f>
        <v>96.402428571428658</v>
      </c>
      <c r="CA47" s="13">
        <f t="shared" si="39"/>
        <v>26.103106746901982</v>
      </c>
      <c r="CB47" s="20">
        <f t="shared" si="10"/>
        <v>213.3638073460925</v>
      </c>
      <c r="CC47" s="59">
        <f t="shared" si="11"/>
        <v>506.69714067942584</v>
      </c>
      <c r="CD47" s="59">
        <f ca="1">AVERAGE(OFFSET($CC$3,0,0,'Données projet'!$E$12+1,1))-AVERAGE(OFFSET($H$3,0,0,'Données projet'!$E$12+1,1))</f>
        <v>410.75375635525211</v>
      </c>
      <c r="CE47" s="59">
        <f t="shared" si="40"/>
        <v>183.55513001437367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6.875</v>
      </c>
      <c r="CT47" s="12">
        <f>IF('Données projet'!$A$140&gt;35,CT46+CS47-DB46,IF(A47&lt;'Données projet'!$A$140,$CQ$205^A47,IF(A47='Données projet'!$A$140,'Données projet'!$B$140,CT46+CS47-DB46)))</f>
        <v>109.75</v>
      </c>
      <c r="CU47" s="17">
        <f>CT47*VLOOKUP('Données projet'!$B$13,Paramètres!$A$1:$I$89,3,0)*VLOOKUP('Données projet'!$B$13,Paramètres!$A$1:$I$89,5,0)</f>
        <v>99.3018</v>
      </c>
      <c r="CV47" s="13">
        <f t="shared" si="41"/>
        <v>26.795593258779039</v>
      </c>
      <c r="CW47" s="20">
        <f t="shared" si="13"/>
        <v>219.61962659237349</v>
      </c>
      <c r="CX47" s="59">
        <f t="shared" si="14"/>
        <v>512.95295992570686</v>
      </c>
      <c r="CY47" s="59">
        <f ca="1">AVERAGE(OFFSET($CX$3,0,0,'Données projet'!$E$13+1,1))-AVERAGE(OFFSET($H$3,0,0,'Données projet'!$E$13+1,1))</f>
        <v>436.12708882925142</v>
      </c>
      <c r="CZ47" s="59">
        <f t="shared" si="42"/>
        <v>217.65884352525285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3.7205654885059714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3.7205654885059714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16.600000000000001</v>
      </c>
      <c r="DO47" s="12">
        <f>IF('Données projet'!$A$166&gt;35,DO46+DN47-DW46,IF(A47&lt;'Données projet'!$A$166,$DL$205^A47,IF(A47='Données projet'!$A$166,'Données projet'!$B$166,DO46+DN47-DW46)))</f>
        <v>383.40000000000009</v>
      </c>
      <c r="DP47" s="17">
        <f>DO47*VLOOKUP('Données projet'!$B$14,Paramètres!$A$1:$I$89,3,0)*VLOOKUP('Données projet'!$B$14,Paramètres!$A$1:$I$89,5,0)</f>
        <v>364.8434400000001</v>
      </c>
      <c r="DQ47" s="13">
        <f t="shared" si="43"/>
        <v>84.611502137224974</v>
      </c>
      <c r="DR47" s="20">
        <f t="shared" si="16"/>
        <v>782.80069088900029</v>
      </c>
      <c r="DS47" s="59">
        <f t="shared" si="17"/>
        <v>1076.1340242223337</v>
      </c>
      <c r="DT47" s="59">
        <f ca="1">AVERAGE(OFFSET($DS$3,0,0,'Données projet'!$E$14+1,1))-AVERAGE(OFFSET($H$3,0,0,'Données projet'!$E$14+1,1))</f>
        <v>735.50267870886194</v>
      </c>
      <c r="DU47" s="59">
        <f t="shared" si="44"/>
        <v>525.80345400853275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5.5162063320768659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5.5162063320768659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2.1607142857142856</v>
      </c>
      <c r="EJ47" s="12">
        <f>IF('Données projet'!$A$192&gt;35,EJ46+EI47-ER46,IF(A47&lt;'Données projet'!$A$192,$EG$205^A47,IF(A47='Données projet'!$A$192,'Données projet'!$B$192,EJ46+EI47-ER46)))</f>
        <v>95.07142857142864</v>
      </c>
      <c r="EK47" s="17">
        <f>EJ47*VLOOKUP('Données projet'!$B$15,Paramètres!$A$1:$I$89,3,0)*VLOOKUP('Données projet'!$B$15,Paramètres!$A$1:$I$89,5,0)</f>
        <v>60.807685714285753</v>
      </c>
      <c r="EL47" s="13">
        <f t="shared" si="45"/>
        <v>17.372318109956375</v>
      </c>
      <c r="EM47" s="20">
        <f t="shared" si="19"/>
        <v>136.16350666055504</v>
      </c>
      <c r="EN47" s="59">
        <f t="shared" si="20"/>
        <v>429.49683999388833</v>
      </c>
      <c r="EO47" s="59">
        <f ca="1">AVERAGE(OFFSET($EN$3,0,0,'Données projet'!$E$15+1,1))-AVERAGE(OFFSET($H$3,0,0,'Données projet'!$E$15+1,1))</f>
        <v>274.14900959323484</v>
      </c>
      <c r="EP47" s="59">
        <f t="shared" si="46"/>
        <v>130.44590390921582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19</v>
      </c>
      <c r="FE47" s="12">
        <f>IF('Données projet'!$A$218&gt;35,FE46+FD47-FM46,IF(A47&lt;'Données projet'!$A$218,$FB$205^A47,IF(A47='Données projet'!$A$218,'Données projet'!$B$218,FE46+FD47-FM46)))</f>
        <v>299.00000000000006</v>
      </c>
      <c r="FF47" s="17">
        <f>FE47*VLOOKUP('Données projet'!$B$16,Paramètres!$A$1:$I$89,3,0)*VLOOKUP('Données projet'!$B$16,Paramètres!$A$1:$I$89,5,0)</f>
        <v>178.80200000000002</v>
      </c>
      <c r="FG47" s="13">
        <f t="shared" si="47"/>
        <v>45.055549739375941</v>
      </c>
      <c r="FH47" s="20">
        <f t="shared" si="22"/>
        <v>389.88523246274644</v>
      </c>
      <c r="FI47" s="59">
        <f t="shared" si="23"/>
        <v>683.2185657960797</v>
      </c>
      <c r="FJ47" s="59">
        <f ca="1">AVERAGE(OFFSET($FI$3,0,0,'Données projet'!$E$16+1,1))-AVERAGE(OFFSET($H$3,0,0,'Données projet'!$E$16+1,1))</f>
        <v>405.42845699663462</v>
      </c>
      <c r="FK47" s="59">
        <f t="shared" si="48"/>
        <v>292.26503163353146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11.275925758699005</v>
      </c>
      <c r="FR47" s="21">
        <f>EXP(-LN(2)/25)*FR46+(1-EXP(-LN(2)/25))/(LN(2)/25)*Calculateur!FM47*Calculateur!FO47*VLOOKUP('Données projet'!$B$16,Paramètres!$A$1:$I$89,3,0)*0.475*44/12</f>
        <v>21.632302758068498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32.908228516767501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19</v>
      </c>
      <c r="FZ47" s="12">
        <f>IF('Données projet'!$A$244&gt;35,FZ46+FY47-GH46,IF(A47&lt;'Données projet'!$A$244,$FW$205^A47,IF(A47='Données projet'!$A$244,'Données projet'!$B$244,FZ46+FY47-GH46)))</f>
        <v>299.00000000000006</v>
      </c>
      <c r="GA47" s="17">
        <f>FZ47*VLOOKUP('Données projet'!$B$17,Paramètres!$A$1:$I$89,3,0)*VLOOKUP('Données projet'!$B$17,Paramètres!$A$1:$I$89,5,0)</f>
        <v>178.80200000000002</v>
      </c>
      <c r="GB47" s="13">
        <f t="shared" si="49"/>
        <v>45.055549739375941</v>
      </c>
      <c r="GC47" s="20">
        <f t="shared" si="25"/>
        <v>389.88523246274644</v>
      </c>
      <c r="GD47" s="59">
        <f t="shared" si="26"/>
        <v>683.2185657960797</v>
      </c>
      <c r="GE47" s="59">
        <f ca="1">AVERAGE(OFFSET($GD$3,0,0,'Données projet'!$E$17+1,1))-AVERAGE(OFFSET($H$3,0,0,'Données projet'!$E$17+1,1))</f>
        <v>405.42845699663462</v>
      </c>
      <c r="GF47" s="59">
        <f t="shared" si="50"/>
        <v>292.26503163353146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11.275925758699005</v>
      </c>
      <c r="GM47" s="21">
        <f>EXP(-LN(2)/25)*GM46+(1-EXP(-LN(2)/25))/(LN(2)/25)*Calculateur!GH47*Calculateur!GJ47*VLOOKUP('Données projet'!$B$17,Paramètres!$A$1:$I$89,3,0)*0.475*44/12</f>
        <v>21.632302758068498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32.908228516767501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11.5</v>
      </c>
      <c r="N48" s="13">
        <f>IF('Données projet'!$A$36&gt;35,N47+M48-V47,IF(A48&lt;'Données projet'!$A$36,$K$205^A48,IF(A48='Données projet'!$A$36,'Données projet'!$B$36,N47+M48-V47)))</f>
        <v>254.31999999999994</v>
      </c>
      <c r="O48" s="13">
        <f>N48*VLOOKUP('Données projet'!$B$9,Paramètres!$A$1:$I$89,3,0)*VLOOKUP('Données projet'!$B$9,Paramètres!$A$1:$I$89,5,0)</f>
        <v>119.02175999999997</v>
      </c>
      <c r="P48" s="13">
        <f t="shared" si="33"/>
        <v>31.446732299897718</v>
      </c>
      <c r="Q48" s="20">
        <f t="shared" si="53"/>
        <v>262.06595742232179</v>
      </c>
      <c r="R48" s="59">
        <f t="shared" si="0"/>
        <v>555.3992907556551</v>
      </c>
      <c r="S48" s="59">
        <f ca="1">AVERAGE(OFFSET($R$3,0,0,'Données projet'!$E$9+1,1))-AVERAGE(OFFSET($H$3,0,0,'Données projet'!$E$9+1,1))</f>
        <v>198.26255998041</v>
      </c>
      <c r="T48" s="59">
        <f t="shared" si="34"/>
        <v>238.62101708181166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7.6087244146495285</v>
      </c>
      <c r="AA48" s="21">
        <f>EXP(-LN(2)/25)*AA47+(1-EXP(-LN(2)/25))/(LN(2)/25)*Calculateur!V48*Calculateur!X48*VLOOKUP('Données projet'!$B$9,Paramètres!$A$1:$I$89,3,0)*0.475*44/12</f>
        <v>27.610816073909465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35.219540488558991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19</v>
      </c>
      <c r="AI48" s="13">
        <f>IF('Données projet'!$A$62&gt;35,AI47+AH48-AQ47,IF(A48&lt;'Données projet'!$A$62,$AF$205^A48,IF(A48='Données projet'!$A$62,'Données projet'!$B$62,AI47+AH48-AQ47)))</f>
        <v>425.00000000000011</v>
      </c>
      <c r="AJ48" s="13">
        <f>AI48*VLOOKUP('Données projet'!$B$10,Paramètres!$A$1:$I$89,3,0)*VLOOKUP('Données projet'!$B$10,Paramètres!$A$1:$I$89,5,0)</f>
        <v>237.57500000000007</v>
      </c>
      <c r="AK48" s="13">
        <f t="shared" si="35"/>
        <v>57.917471937261212</v>
      </c>
      <c r="AL48" s="20">
        <f t="shared" si="4"/>
        <v>514.64938862406336</v>
      </c>
      <c r="AM48" s="59">
        <f t="shared" si="5"/>
        <v>807.98272195739673</v>
      </c>
      <c r="AN48" s="59">
        <f ca="1">AVERAGE(OFFSET($AM$3,0,0,'Données projet'!$E$10+1,1))-AVERAGE(OFFSET($H$3,0,0,'Données projet'!$E$10+1,1))</f>
        <v>347.02720636703873</v>
      </c>
      <c r="AO48" s="59">
        <f t="shared" si="36"/>
        <v>394.03759949558702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17.783178354653529</v>
      </c>
      <c r="AV48" s="21">
        <f>EXP(-LN(2)/25)*AV47+(1-EXP(-LN(2)/25))/(LN(2)/25)*Calculateur!AQ48*Calculateur!AS48*VLOOKUP('Données projet'!$B$10,Paramètres!$A$1:$I$89,3,0)*0.475*44/12</f>
        <v>35.963074283019068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53.746252637672598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384</v>
      </c>
      <c r="BB48" s="12">
        <f>VLOOKUP(A48,'Données projet'!$A$87:$I$107,9,0)</f>
        <v>20</v>
      </c>
      <c r="BC48" s="12">
        <f t="array" ref="BC48">INDEX(BB:BB,MIN(IF(ISNUMBER(BB48:BB244),ROW(BB48:BB244),"")))</f>
        <v>20</v>
      </c>
      <c r="BD48" s="12">
        <f>IF('Données projet'!$A$88&gt;35,BD47+BC48-BL47,IF(A48&lt;'Données projet'!$A$88,$BA$205^A48,IF(A48='Données projet'!$A$88,'Données projet'!$B$88,BD47+BC48-BL47)))</f>
        <v>384.00000000000017</v>
      </c>
      <c r="BE48" s="13">
        <f>BD48*VLOOKUP('Données projet'!$B$11,Paramètres!$A$1:$I$89,3,0)*VLOOKUP('Données projet'!$B$11,Paramètres!$A$1:$I$89,5,0)</f>
        <v>229.63200000000015</v>
      </c>
      <c r="BF48" s="13">
        <f t="shared" si="37"/>
        <v>56.20310391330672</v>
      </c>
      <c r="BG48" s="20">
        <f t="shared" si="7"/>
        <v>497.8294726490094</v>
      </c>
      <c r="BH48" s="59">
        <f t="shared" si="8"/>
        <v>791.16280598234266</v>
      </c>
      <c r="BI48" s="59">
        <f ca="1">AVERAGE(OFFSET($BH$3,0,0,'Données projet'!$E$11+1,1))-AVERAGE(OFFSET($H$3,0,0,'Données projet'!$E$11+1,1))</f>
        <v>378.75660696651238</v>
      </c>
      <c r="BJ48" s="59">
        <f t="shared" si="38"/>
        <v>371.70674704563288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57</v>
      </c>
      <c r="BM48" s="16">
        <f>IF(ISNA(VLOOKUP(A48,'Données projet'!$A$87:$I$107,5,0)),0%,VLOOKUP(A48,'Données projet'!$A$87:$I$107,5,0)*VLOOKUP('Données projet'!$B$11,Paramètres!$A$1:$I$89,7,0))</f>
        <v>0.13500000000000001</v>
      </c>
      <c r="BN48" s="16">
        <f>IF(ISNA(VLOOKUP(A48,'Données projet'!$A$87:$I$107,6,0)),0%,VLOOKUP(A48,'Données projet'!$A$87:$I$107,6,0)*VLOOKUP('Données projet'!$B$11,Paramètres!$A$1:$I$89,7,0))</f>
        <v>0.22500000000000001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20.816517908189716</v>
      </c>
      <c r="BQ48" s="21">
        <f>EXP(-LN(2)/25)*BQ47+(1-EXP(-LN(2)/25))/(LN(2)/25)*Calculateur!BL48*Calculateur!BN48*VLOOKUP('Données projet'!$B$11,Paramètres!$A$1:$I$89,3,0)*0.475*44/12</f>
        <v>41.372173001450378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62.188690909640094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2.1607142857142856</v>
      </c>
      <c r="BY48" s="12">
        <f>IF('Données projet'!$A$114&gt;35,BY47+BX48-CG47,IF(A48&lt;'Données projet'!$A$114,$BV$205^A48,IF(A48='Données projet'!$A$114,'Données projet'!$B$114,BY47+BX48-CG47)))</f>
        <v>97.232142857142932</v>
      </c>
      <c r="BZ48" s="13">
        <f>BY48*VLOOKUP('Données projet'!$B$12,Paramètres!$A$1:$I$89,3,0)*VLOOKUP('Données projet'!$B$12,Paramètres!$A$1:$I$89,5,0)</f>
        <v>98.593392857142945</v>
      </c>
      <c r="CA48" s="13">
        <f t="shared" si="39"/>
        <v>26.626617014491838</v>
      </c>
      <c r="CB48" s="20">
        <f t="shared" si="10"/>
        <v>218.09151719309725</v>
      </c>
      <c r="CC48" s="59">
        <f t="shared" si="11"/>
        <v>511.42485052643053</v>
      </c>
      <c r="CD48" s="59">
        <f ca="1">AVERAGE(OFFSET($CC$3,0,0,'Données projet'!$E$12+1,1))-AVERAGE(OFFSET($H$3,0,0,'Données projet'!$E$12+1,1))</f>
        <v>410.75375635525211</v>
      </c>
      <c r="CE48" s="59">
        <f t="shared" si="40"/>
        <v>183.55513001437367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6.875</v>
      </c>
      <c r="CT48" s="12">
        <f>IF('Données projet'!$A$140&gt;35,CT47+CS48-DB47,IF(A48&lt;'Données projet'!$A$140,$CQ$205^A48,IF(A48='Données projet'!$A$140,'Données projet'!$B$140,CT47+CS48-DB47)))</f>
        <v>116.625</v>
      </c>
      <c r="CU48" s="17">
        <f>CT48*VLOOKUP('Données projet'!$B$13,Paramètres!$A$1:$I$89,3,0)*VLOOKUP('Données projet'!$B$13,Paramètres!$A$1:$I$89,5,0)</f>
        <v>105.5223</v>
      </c>
      <c r="CV48" s="13">
        <f t="shared" si="41"/>
        <v>28.273465463649</v>
      </c>
      <c r="CW48" s="20">
        <f t="shared" si="13"/>
        <v>233.02762484918864</v>
      </c>
      <c r="CX48" s="59">
        <f t="shared" si="14"/>
        <v>526.36095818252193</v>
      </c>
      <c r="CY48" s="59">
        <f ca="1">AVERAGE(OFFSET($CX$3,0,0,'Données projet'!$E$13+1,1))-AVERAGE(OFFSET($H$3,0,0,'Données projet'!$E$13+1,1))</f>
        <v>436.12708882925142</v>
      </c>
      <c r="CZ48" s="59">
        <f t="shared" si="42"/>
        <v>217.65884352525285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3.6476074685972404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3.6476074685972404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400</v>
      </c>
      <c r="DM48" s="12">
        <f>VLOOKUP(A48,'Données projet'!$A$165:$I$185,9,0)</f>
        <v>16.600000000000001</v>
      </c>
      <c r="DN48" s="12">
        <f t="array" ref="DN48">INDEX(DM:DM,MIN(IF(ISNUMBER(DM48:DM244),ROW(DM48:DM244),"")))</f>
        <v>16.600000000000001</v>
      </c>
      <c r="DO48" s="12">
        <f>IF('Données projet'!$A$166&gt;35,DO47+DN48-DW47,IF(A48&lt;'Données projet'!$A$166,$DL$205^A48,IF(A48='Données projet'!$A$166,'Données projet'!$B$166,DO47+DN48-DW47)))</f>
        <v>400.00000000000011</v>
      </c>
      <c r="DP48" s="17">
        <f>DO48*VLOOKUP('Données projet'!$B$14,Paramètres!$A$1:$I$89,3,0)*VLOOKUP('Données projet'!$B$14,Paramètres!$A$1:$I$89,5,0)</f>
        <v>380.6400000000001</v>
      </c>
      <c r="DQ48" s="13">
        <f t="shared" si="43"/>
        <v>87.840461844123254</v>
      </c>
      <c r="DR48" s="20">
        <f t="shared" si="16"/>
        <v>815.93680437851481</v>
      </c>
      <c r="DS48" s="59">
        <f t="shared" si="17"/>
        <v>1109.2701377118481</v>
      </c>
      <c r="DT48" s="59">
        <f ca="1">AVERAGE(OFFSET($DS$3,0,0,'Données projet'!$E$14+1,1))-AVERAGE(OFFSET($H$3,0,0,'Données projet'!$E$14+1,1))</f>
        <v>735.50267870886194</v>
      </c>
      <c r="DU48" s="59">
        <f t="shared" si="44"/>
        <v>525.80345400853275</v>
      </c>
      <c r="DV48" s="15">
        <f>IF(ISNA(VLOOKUP(A48,'Données projet'!$A$165:$I$185,3,0)),0,VLOOKUP(A48,'Données projet'!$A$165:$I$185,3,0))</f>
        <v>7</v>
      </c>
      <c r="DW48" s="15">
        <f>IF(ISNA(VLOOKUP(A48,'Données projet'!$A$165:$I$185,4,0)),0,VLOOKUP(A48,'Données projet'!$A$165:$I$185,4,0))</f>
        <v>49</v>
      </c>
      <c r="DX48" s="16">
        <f>IF(ISNA(VLOOKUP(A48,'Données projet'!$A$165:$I$185,5,0)),0%,VLOOKUP(A48,'Données projet'!$A$165:$I$185,5,0)*VLOOKUP('Données projet'!$B$14,Paramètres!$A$1:$I$89,7,0))</f>
        <v>0.129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12.057511531265312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12.057511531265312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2.1607142857142856</v>
      </c>
      <c r="EJ48" s="12">
        <f>IF('Données projet'!$A$192&gt;35,EJ47+EI48-ER47,IF(A48&lt;'Données projet'!$A$192,$EG$205^A48,IF(A48='Données projet'!$A$192,'Données projet'!$B$192,EJ47+EI48-ER47)))</f>
        <v>97.232142857142932</v>
      </c>
      <c r="EK48" s="17">
        <f>EJ48*VLOOKUP('Données projet'!$B$15,Paramètres!$A$1:$I$89,3,0)*VLOOKUP('Données projet'!$B$15,Paramètres!$A$1:$I$89,5,0)</f>
        <v>62.189678571428622</v>
      </c>
      <c r="EL48" s="13">
        <f t="shared" si="45"/>
        <v>17.720728243301078</v>
      </c>
      <c r="EM48" s="20">
        <f t="shared" si="19"/>
        <v>139.17729186898754</v>
      </c>
      <c r="EN48" s="59">
        <f t="shared" si="20"/>
        <v>432.51062520232085</v>
      </c>
      <c r="EO48" s="59">
        <f ca="1">AVERAGE(OFFSET($EN$3,0,0,'Données projet'!$E$15+1,1))-AVERAGE(OFFSET($H$3,0,0,'Données projet'!$E$15+1,1))</f>
        <v>274.14900959323484</v>
      </c>
      <c r="EP48" s="59">
        <f t="shared" si="46"/>
        <v>130.44590390921582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318</v>
      </c>
      <c r="FC48" s="12">
        <f>VLOOKUP(A48,'Données projet'!$A$217:$I$237,9,0)</f>
        <v>19</v>
      </c>
      <c r="FD48" s="12">
        <f t="array" ref="FD48">INDEX(FC:FC,MIN(IF(ISNUMBER(FC48:FC244),ROW(FC48:FC244),"")))</f>
        <v>19</v>
      </c>
      <c r="FE48" s="12">
        <f>IF('Données projet'!$A$218&gt;35,FE47+FD48-FM47,IF(A48&lt;'Données projet'!$A$218,$FB$205^A48,IF(A48='Données projet'!$A$218,'Données projet'!$B$218,FE47+FD48-FM47)))</f>
        <v>318.00000000000006</v>
      </c>
      <c r="FF48" s="17">
        <f>FE48*VLOOKUP('Données projet'!$B$16,Paramètres!$A$1:$I$89,3,0)*VLOOKUP('Données projet'!$B$16,Paramètres!$A$1:$I$89,5,0)</f>
        <v>190.16400000000004</v>
      </c>
      <c r="FG48" s="13">
        <f t="shared" si="47"/>
        <v>47.576209101852911</v>
      </c>
      <c r="FH48" s="20">
        <f t="shared" si="22"/>
        <v>414.06419751906054</v>
      </c>
      <c r="FI48" s="59">
        <f t="shared" si="23"/>
        <v>707.39753085239386</v>
      </c>
      <c r="FJ48" s="59">
        <f ca="1">AVERAGE(OFFSET($FI$3,0,0,'Données projet'!$E$16+1,1))-AVERAGE(OFFSET($H$3,0,0,'Données projet'!$E$16+1,1))</f>
        <v>405.42845699663462</v>
      </c>
      <c r="FK48" s="59">
        <f t="shared" si="48"/>
        <v>292.26503163353146</v>
      </c>
      <c r="FL48" s="15">
        <f>IF(ISNA(VLOOKUP(A48,'Données projet'!$A$217:$I$237,3,0)),0,VLOOKUP(A48,'Données projet'!$A$217:$I$237,3,0))</f>
        <v>6</v>
      </c>
      <c r="FM48" s="15">
        <f>IF(ISNA(VLOOKUP(A48,'Données projet'!$A$217:$I$237,4,0)),0,VLOOKUP(A48,'Données projet'!$A$217:$I$237,4,0))</f>
        <v>53</v>
      </c>
      <c r="FN48" s="16">
        <f>IF(ISNA(VLOOKUP(A48,'Données projet'!$A$217:$I$237,5,0)),0%,VLOOKUP(A48,'Données projet'!$A$217:$I$237,5,0)*VLOOKUP('Données projet'!$B$16,Paramètres!$A$1:$I$89,7,0))</f>
        <v>0.13500000000000001</v>
      </c>
      <c r="FO48" s="16">
        <f>IF(ISNA(VLOOKUP(A48,'Données projet'!$A$217:$I$237,6,0)),0%,VLOOKUP(A48,'Données projet'!$A$217:$I$237,6,0)*VLOOKUP('Données projet'!$B$16,Paramètres!$A$1:$I$89,7,0))</f>
        <v>0.22500000000000001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16.730769802051128</v>
      </c>
      <c r="FR48" s="21">
        <f>EXP(-LN(2)/25)*FR47+(1-EXP(-LN(2)/25))/(LN(2)/25)*Calculateur!FM48*Calculateur!FO48*VLOOKUP('Données projet'!$B$16,Paramètres!$A$1:$I$89,3,0)*0.475*44/12</f>
        <v>30.46344906857917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47.194218870630294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318</v>
      </c>
      <c r="FX48" s="12">
        <f>VLOOKUP(A48,'Données projet'!$A$243:$I$263,9,0)</f>
        <v>19</v>
      </c>
      <c r="FY48" s="12">
        <f t="array" ref="FY48">INDEX(FX:FX,MIN(IF(ISNUMBER(FX48:FX244),ROW(FX48:FX244),"")))</f>
        <v>19</v>
      </c>
      <c r="FZ48" s="12">
        <f>IF('Données projet'!$A$244&gt;35,FZ47+FY48-GH47,IF(A48&lt;'Données projet'!$A$244,$FW$205^A48,IF(A48='Données projet'!$A$244,'Données projet'!$B$244,FZ47+FY48-GH47)))</f>
        <v>318.00000000000006</v>
      </c>
      <c r="GA48" s="17">
        <f>FZ48*VLOOKUP('Données projet'!$B$17,Paramètres!$A$1:$I$89,3,0)*VLOOKUP('Données projet'!$B$17,Paramètres!$A$1:$I$89,5,0)</f>
        <v>190.16400000000004</v>
      </c>
      <c r="GB48" s="13">
        <f t="shared" si="49"/>
        <v>47.576209101852911</v>
      </c>
      <c r="GC48" s="20">
        <f t="shared" si="25"/>
        <v>414.06419751906054</v>
      </c>
      <c r="GD48" s="59">
        <f t="shared" si="26"/>
        <v>707.39753085239386</v>
      </c>
      <c r="GE48" s="59">
        <f ca="1">AVERAGE(OFFSET($GD$3,0,0,'Données projet'!$E$17+1,1))-AVERAGE(OFFSET($H$3,0,0,'Données projet'!$E$17+1,1))</f>
        <v>405.42845699663462</v>
      </c>
      <c r="GF48" s="59">
        <f t="shared" si="50"/>
        <v>292.26503163353146</v>
      </c>
      <c r="GG48" s="15">
        <f>IF(ISNA(VLOOKUP(A48,'Données projet'!$A$243:$I$263,3,0)),0,VLOOKUP(A48,'Données projet'!$A$243:$I$263,3,0))</f>
        <v>6</v>
      </c>
      <c r="GH48" s="15">
        <f>IF(ISNA(VLOOKUP(A48,'Données projet'!$A$243:$I$263,4,0)),0,VLOOKUP(A48,'Données projet'!$A$243:$I$263,4,0))</f>
        <v>53</v>
      </c>
      <c r="GI48" s="16">
        <f>IF(ISNA(VLOOKUP(A48,'Données projet'!$A$243:$I$263,5,0)),0%,VLOOKUP(A48,'Données projet'!$A$243:$I$263,5,0)*VLOOKUP('Données projet'!$B$17,Paramètres!$A$1:$I$89,7,0))</f>
        <v>0.13500000000000001</v>
      </c>
      <c r="GJ48" s="16">
        <f>IF(ISNA(VLOOKUP(A48,'Données projet'!$A$243:$I$263,6,0)),0%,VLOOKUP(A48,'Données projet'!$A$243:$I$263,6,0)*VLOOKUP('Données projet'!$B$17,Paramètres!$A$1:$I$89,7,0))</f>
        <v>0.22500000000000001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16.730769802051128</v>
      </c>
      <c r="GM48" s="21">
        <f>EXP(-LN(2)/25)*GM47+(1-EXP(-LN(2)/25))/(LN(2)/25)*Calculateur!GH48*Calculateur!GJ48*VLOOKUP('Données projet'!$B$17,Paramètres!$A$1:$I$89,3,0)*0.475*44/12</f>
        <v>30.46344906857917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47.194218870630294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11.5</v>
      </c>
      <c r="N49" s="13">
        <f>IF('Données projet'!$A$36&gt;35,N48+M49-V48,IF(A49&lt;'Données projet'!$A$36,$K$205^A49,IF(A49='Données projet'!$A$36,'Données projet'!$B$36,N48+M49-V48)))</f>
        <v>265.81999999999994</v>
      </c>
      <c r="O49" s="13">
        <f>N49*VLOOKUP('Données projet'!$B$9,Paramètres!$A$1:$I$89,3,0)*VLOOKUP('Données projet'!$B$9,Paramètres!$A$1:$I$89,5,0)</f>
        <v>124.40375999999996</v>
      </c>
      <c r="P49" s="13">
        <f t="shared" si="33"/>
        <v>32.699939671557111</v>
      </c>
      <c r="Q49" s="20">
        <f t="shared" si="53"/>
        <v>273.62227692796188</v>
      </c>
      <c r="R49" s="59">
        <f t="shared" si="0"/>
        <v>566.95561026129519</v>
      </c>
      <c r="S49" s="59">
        <f ca="1">AVERAGE(OFFSET($R$3,0,0,'Données projet'!$E$9+1,1))-AVERAGE(OFFSET($H$3,0,0,'Données projet'!$E$9+1,1))</f>
        <v>198.26255998041</v>
      </c>
      <c r="T49" s="59">
        <f t="shared" si="34"/>
        <v>238.62101708181166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7.4595219697418971</v>
      </c>
      <c r="AA49" s="21">
        <f>EXP(-LN(2)/25)*AA48+(1-EXP(-LN(2)/25))/(LN(2)/25)*Calculateur!V49*Calculateur!X49*VLOOKUP('Données projet'!$B$9,Paramètres!$A$1:$I$89,3,0)*0.475*44/12</f>
        <v>26.855796856378699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34.315318826120595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444</v>
      </c>
      <c r="AG49" s="12">
        <f>VLOOKUP(A49,'Données projet'!$A$61:$I$81,9,0)</f>
        <v>19</v>
      </c>
      <c r="AH49" s="12">
        <f t="array" ref="AH49">INDEX(AG:AG,MIN(IF(ISNUMBER(AG49:AG245),ROW(AG49:AG245),"")))</f>
        <v>19</v>
      </c>
      <c r="AI49" s="13">
        <f>IF('Données projet'!$A$62&gt;35,AI48+AH49-AQ48,IF(A49&lt;'Données projet'!$A$62,$AF$205^A49,IF(A49='Données projet'!$A$62,'Données projet'!$B$62,AI48+AH49-AQ48)))</f>
        <v>444.00000000000011</v>
      </c>
      <c r="AJ49" s="13">
        <f>AI49*VLOOKUP('Données projet'!$B$10,Paramètres!$A$1:$I$89,3,0)*VLOOKUP('Données projet'!$B$10,Paramètres!$A$1:$I$89,5,0)</f>
        <v>248.19600000000005</v>
      </c>
      <c r="AK49" s="13">
        <f t="shared" si="35"/>
        <v>60.199478731755242</v>
      </c>
      <c r="AL49" s="20">
        <f t="shared" si="4"/>
        <v>537.1221254578071</v>
      </c>
      <c r="AM49" s="59">
        <f t="shared" si="5"/>
        <v>830.45545879114047</v>
      </c>
      <c r="AN49" s="59">
        <f ca="1">AVERAGE(OFFSET($AM$3,0,0,'Données projet'!$E$10+1,1))-AVERAGE(OFFSET($H$3,0,0,'Données projet'!$E$10+1,1))</f>
        <v>347.02720636703873</v>
      </c>
      <c r="AO49" s="59">
        <f t="shared" si="36"/>
        <v>394.03759949558702</v>
      </c>
      <c r="AP49" s="15">
        <f>IF(ISNA(VLOOKUP(A49,'Données projet'!$A$61:$I$81,3,0)),0,VLOOKUP(A49,'Données projet'!$A$61:$I$81,3,0))</f>
        <v>4</v>
      </c>
      <c r="AQ49" s="15">
        <f>IF(ISNA(VLOOKUP(A49,'Données projet'!$A$61:$I$81,4,0)),0,VLOOKUP(A49,'Données projet'!$A$61:$I$81,4,0))</f>
        <v>86</v>
      </c>
      <c r="AR49" s="16">
        <f>IF(ISNA(VLOOKUP(A49,'Données projet'!$A$61:$I$81,5,0)),0%,VLOOKUP(A49,'Données projet'!$A$61:$I$81,5,0)*VLOOKUP('Données projet'!$B$10,Paramètres!$A$1:$I$89,7,0))</f>
        <v>0.16500000000000001</v>
      </c>
      <c r="AS49" s="16">
        <f>IF(ISNA(VLOOKUP(A49,'Données projet'!$A$61:$I$81,6,0)),0%,VLOOKUP(A49,'Données projet'!$A$61:$I$81,6,0)*VLOOKUP('Données projet'!$B$10,Paramètres!$A$1:$I$89,7,0))</f>
        <v>0.27500000000000002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27.957048912868625</v>
      </c>
      <c r="AV49" s="21">
        <f>EXP(-LN(2)/25)*AV48+(1-EXP(-LN(2)/25))/(LN(2)/25)*Calculateur!AQ49*Calculateur!AS49*VLOOKUP('Données projet'!$B$10,Paramètres!$A$1:$I$89,3,0)*0.475*44/12</f>
        <v>52.4482561277662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80.405305040634829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17.399999999999999</v>
      </c>
      <c r="BD49" s="12">
        <f>IF('Données projet'!$A$88&gt;35,BD48+BC49-BL48,IF(A49&lt;'Données projet'!$A$88,$BA$205^A49,IF(A49='Données projet'!$A$88,'Données projet'!$B$88,BD48+BC49-BL48)))</f>
        <v>344.40000000000015</v>
      </c>
      <c r="BE49" s="13">
        <f>BD49*VLOOKUP('Données projet'!$B$11,Paramètres!$A$1:$I$89,3,0)*VLOOKUP('Données projet'!$B$11,Paramètres!$A$1:$I$89,5,0)</f>
        <v>205.95120000000009</v>
      </c>
      <c r="BF49" s="13">
        <f t="shared" si="37"/>
        <v>51.049821044529857</v>
      </c>
      <c r="BG49" s="20">
        <f t="shared" si="7"/>
        <v>447.61011165255627</v>
      </c>
      <c r="BH49" s="59">
        <f t="shared" si="8"/>
        <v>740.94344498588953</v>
      </c>
      <c r="BI49" s="59">
        <f ca="1">AVERAGE(OFFSET($BH$3,0,0,'Données projet'!$E$11+1,1))-AVERAGE(OFFSET($H$3,0,0,'Données projet'!$E$11+1,1))</f>
        <v>378.75660696651238</v>
      </c>
      <c r="BJ49" s="59">
        <f t="shared" si="38"/>
        <v>371.70674704563288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20.408318688832335</v>
      </c>
      <c r="BQ49" s="21">
        <f>EXP(-LN(2)/25)*BQ48+(1-EXP(-LN(2)/25))/(LN(2)/25)*Calculateur!BL49*Calculateur!BN49*VLOOKUP('Données projet'!$B$11,Paramètres!$A$1:$I$89,3,0)*0.475*44/12</f>
        <v>40.240848755057698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60.649167443890036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2.1607142857142856</v>
      </c>
      <c r="BY49" s="12">
        <f>IF('Données projet'!$A$114&gt;35,BY48+BX49-CG48,IF(A49&lt;'Données projet'!$A$114,$BV$205^A49,IF(A49='Données projet'!$A$114,'Données projet'!$B$114,BY48+BX49-CG48)))</f>
        <v>99.392857142857224</v>
      </c>
      <c r="BZ49" s="13">
        <f>BY49*VLOOKUP('Données projet'!$B$12,Paramètres!$A$1:$I$89,3,0)*VLOOKUP('Données projet'!$B$12,Paramètres!$A$1:$I$89,5,0)</f>
        <v>100.78435714285723</v>
      </c>
      <c r="CA49" s="13">
        <f t="shared" si="39"/>
        <v>27.148774767718049</v>
      </c>
      <c r="CB49" s="20">
        <f t="shared" si="10"/>
        <v>222.81687141091859</v>
      </c>
      <c r="CC49" s="59">
        <f t="shared" si="11"/>
        <v>516.15020474425194</v>
      </c>
      <c r="CD49" s="59">
        <f ca="1">AVERAGE(OFFSET($CC$3,0,0,'Données projet'!$E$12+1,1))-AVERAGE(OFFSET($H$3,0,0,'Données projet'!$E$12+1,1))</f>
        <v>410.75375635525211</v>
      </c>
      <c r="CE49" s="59">
        <f t="shared" si="40"/>
        <v>183.55513001437367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6.875</v>
      </c>
      <c r="CT49" s="12">
        <f>IF('Données projet'!$A$140&gt;35,CT48+CS49-DB48,IF(A49&lt;'Données projet'!$A$140,$CQ$205^A49,IF(A49='Données projet'!$A$140,'Données projet'!$B$140,CT48+CS49-DB48)))</f>
        <v>123.5</v>
      </c>
      <c r="CU49" s="17">
        <f>CT49*VLOOKUP('Données projet'!$B$13,Paramètres!$A$1:$I$89,3,0)*VLOOKUP('Données projet'!$B$13,Paramètres!$A$1:$I$89,5,0)</f>
        <v>111.7428</v>
      </c>
      <c r="CV49" s="13">
        <f t="shared" si="41"/>
        <v>29.741225429709573</v>
      </c>
      <c r="CW49" s="20">
        <f t="shared" si="13"/>
        <v>246.4180109567441</v>
      </c>
      <c r="CX49" s="59">
        <f t="shared" si="14"/>
        <v>539.75134429007744</v>
      </c>
      <c r="CY49" s="59">
        <f ca="1">AVERAGE(OFFSET($CX$3,0,0,'Données projet'!$E$13+1,1))-AVERAGE(OFFSET($H$3,0,0,'Données projet'!$E$13+1,1))</f>
        <v>436.12708882925142</v>
      </c>
      <c r="CZ49" s="59">
        <f t="shared" si="42"/>
        <v>217.65884352525285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3.5760801109589218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3.5760801109589218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15.6</v>
      </c>
      <c r="DO49" s="12">
        <f>IF('Données projet'!$A$166&gt;35,DO48+DN49-DW48,IF(A49&lt;'Données projet'!$A$166,$DL$205^A49,IF(A49='Données projet'!$A$166,'Données projet'!$B$166,DO48+DN49-DW48)))</f>
        <v>366.60000000000014</v>
      </c>
      <c r="DP49" s="17">
        <f>DO49*VLOOKUP('Données projet'!$B$14,Paramètres!$A$1:$I$89,3,0)*VLOOKUP('Données projet'!$B$14,Paramètres!$A$1:$I$89,5,0)</f>
        <v>348.85656000000017</v>
      </c>
      <c r="DQ49" s="13">
        <f t="shared" si="43"/>
        <v>81.327020245120565</v>
      </c>
      <c r="DR49" s="20">
        <f t="shared" si="16"/>
        <v>749.23640226025191</v>
      </c>
      <c r="DS49" s="59">
        <f t="shared" si="17"/>
        <v>1042.5697355935852</v>
      </c>
      <c r="DT49" s="59">
        <f ca="1">AVERAGE(OFFSET($DS$3,0,0,'Données projet'!$E$14+1,1))-AVERAGE(OFFSET($H$3,0,0,'Données projet'!$E$14+1,1))</f>
        <v>735.50267870886194</v>
      </c>
      <c r="DU49" s="59">
        <f t="shared" si="44"/>
        <v>525.80345400853275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11.821071084493051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11.821071084493051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2.1607142857142856</v>
      </c>
      <c r="EJ49" s="12">
        <f>IF('Données projet'!$A$192&gt;35,EJ48+EI49-ER48,IF(A49&lt;'Données projet'!$A$192,$EG$205^A49,IF(A49='Données projet'!$A$192,'Données projet'!$B$192,EJ48+EI49-ER48)))</f>
        <v>99.392857142857224</v>
      </c>
      <c r="EK49" s="17">
        <f>EJ49*VLOOKUP('Données projet'!$B$15,Paramètres!$A$1:$I$89,3,0)*VLOOKUP('Données projet'!$B$15,Paramètres!$A$1:$I$89,5,0)</f>
        <v>63.571671428571477</v>
      </c>
      <c r="EL49" s="13">
        <f t="shared" si="45"/>
        <v>18.068238242037264</v>
      </c>
      <c r="EM49" s="20">
        <f t="shared" si="19"/>
        <v>142.18950934297689</v>
      </c>
      <c r="EN49" s="59">
        <f t="shared" si="20"/>
        <v>435.52284267631023</v>
      </c>
      <c r="EO49" s="59">
        <f ca="1">AVERAGE(OFFSET($EN$3,0,0,'Données projet'!$E$15+1,1))-AVERAGE(OFFSET($H$3,0,0,'Données projet'!$E$15+1,1))</f>
        <v>274.14900959323484</v>
      </c>
      <c r="EP49" s="59">
        <f t="shared" si="46"/>
        <v>130.44590390921582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17.399999999999999</v>
      </c>
      <c r="FE49" s="12">
        <f>IF('Données projet'!$A$218&gt;35,FE48+FD49-FM48,IF(A49&lt;'Données projet'!$A$218,$FB$205^A49,IF(A49='Données projet'!$A$218,'Données projet'!$B$218,FE48+FD49-FM48)))</f>
        <v>282.40000000000003</v>
      </c>
      <c r="FF49" s="17">
        <f>FE49*VLOOKUP('Données projet'!$B$16,Paramètres!$A$1:$I$89,3,0)*VLOOKUP('Données projet'!$B$16,Paramètres!$A$1:$I$89,5,0)</f>
        <v>168.87520000000004</v>
      </c>
      <c r="FG49" s="13">
        <f t="shared" si="47"/>
        <v>42.838008554673955</v>
      </c>
      <c r="FH49" s="20">
        <f t="shared" si="22"/>
        <v>368.73383823272388</v>
      </c>
      <c r="FI49" s="59">
        <f t="shared" si="23"/>
        <v>662.06717156605714</v>
      </c>
      <c r="FJ49" s="59">
        <f ca="1">AVERAGE(OFFSET($FI$3,0,0,'Données projet'!$E$16+1,1))-AVERAGE(OFFSET($H$3,0,0,'Données projet'!$E$16+1,1))</f>
        <v>405.42845699663462</v>
      </c>
      <c r="FK49" s="59">
        <f t="shared" si="48"/>
        <v>292.26503163353146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16.402689610994848</v>
      </c>
      <c r="FR49" s="21">
        <f>EXP(-LN(2)/25)*FR48+(1-EXP(-LN(2)/25))/(LN(2)/25)*Calculateur!FM49*Calculateur!FO49*VLOOKUP('Données projet'!$B$16,Paramètres!$A$1:$I$89,3,0)*0.475*44/12</f>
        <v>29.630424451795712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46.03311406279056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17.399999999999999</v>
      </c>
      <c r="FZ49" s="12">
        <f>IF('Données projet'!$A$244&gt;35,FZ48+FY49-GH48,IF(A49&lt;'Données projet'!$A$244,$FW$205^A49,IF(A49='Données projet'!$A$244,'Données projet'!$B$244,FZ48+FY49-GH48)))</f>
        <v>282.40000000000003</v>
      </c>
      <c r="GA49" s="17">
        <f>FZ49*VLOOKUP('Données projet'!$B$17,Paramètres!$A$1:$I$89,3,0)*VLOOKUP('Données projet'!$B$17,Paramètres!$A$1:$I$89,5,0)</f>
        <v>168.87520000000004</v>
      </c>
      <c r="GB49" s="13">
        <f t="shared" si="49"/>
        <v>42.838008554673955</v>
      </c>
      <c r="GC49" s="20">
        <f t="shared" si="25"/>
        <v>368.73383823272388</v>
      </c>
      <c r="GD49" s="59">
        <f t="shared" si="26"/>
        <v>662.06717156605714</v>
      </c>
      <c r="GE49" s="59">
        <f ca="1">AVERAGE(OFFSET($GD$3,0,0,'Données projet'!$E$17+1,1))-AVERAGE(OFFSET($H$3,0,0,'Données projet'!$E$17+1,1))</f>
        <v>405.42845699663462</v>
      </c>
      <c r="GF49" s="59">
        <f t="shared" si="50"/>
        <v>292.26503163353146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16.402689610994848</v>
      </c>
      <c r="GM49" s="21">
        <f>EXP(-LN(2)/25)*GM48+(1-EXP(-LN(2)/25))/(LN(2)/25)*Calculateur!GH49*Calculateur!GJ49*VLOOKUP('Données projet'!$B$17,Paramètres!$A$1:$I$89,3,0)*0.475*44/12</f>
        <v>29.630424451795712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46.03311406279056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11.5</v>
      </c>
      <c r="N50" s="13">
        <f>IF('Données projet'!$A$36&gt;35,N49+M50-V49,IF(A50&lt;'Données projet'!$A$36,$K$205^A50,IF(A50='Données projet'!$A$36,'Données projet'!$B$36,N49+M50-V49)))</f>
        <v>277.31999999999994</v>
      </c>
      <c r="O50" s="13">
        <f>N50*VLOOKUP('Données projet'!$B$9,Paramètres!$A$1:$I$89,3,0)*VLOOKUP('Données projet'!$B$9,Paramètres!$A$1:$I$89,5,0)</f>
        <v>129.78575999999998</v>
      </c>
      <c r="P50" s="13">
        <f t="shared" si="33"/>
        <v>33.946850007514598</v>
      </c>
      <c r="Q50" s="20">
        <f t="shared" si="53"/>
        <v>285.16762909642119</v>
      </c>
      <c r="R50" s="59">
        <f t="shared" si="0"/>
        <v>578.50096242975451</v>
      </c>
      <c r="S50" s="59">
        <f ca="1">AVERAGE(OFFSET($R$3,0,0,'Données projet'!$E$9+1,1))-AVERAGE(OFFSET($H$3,0,0,'Données projet'!$E$9+1,1))</f>
        <v>198.26255998041</v>
      </c>
      <c r="T50" s="59">
        <f t="shared" si="34"/>
        <v>238.62101708181166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7.3132452937743988</v>
      </c>
      <c r="AA50" s="21">
        <f>EXP(-LN(2)/25)*AA49+(1-EXP(-LN(2)/25))/(LN(2)/25)*Calculateur!V50*Calculateur!X50*VLOOKUP('Données projet'!$B$9,Paramètres!$A$1:$I$89,3,0)*0.475*44/12</f>
        <v>26.121423679056047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33.434668972830444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17.714285714285715</v>
      </c>
      <c r="AI50" s="13">
        <f>IF('Données projet'!$A$62&gt;35,AI49+AH50-AQ49,IF(A50&lt;'Données projet'!$A$62,$AF$205^A50,IF(A50='Données projet'!$A$62,'Données projet'!$B$62,AI49+AH50-AQ49)))</f>
        <v>375.71428571428584</v>
      </c>
      <c r="AJ50" s="13">
        <f>AI50*VLOOKUP('Données projet'!$B$10,Paramètres!$A$1:$I$89,3,0)*VLOOKUP('Données projet'!$B$10,Paramètres!$A$1:$I$89,5,0)</f>
        <v>210.02428571428578</v>
      </c>
      <c r="AK50" s="13">
        <f t="shared" si="35"/>
        <v>51.940892702173983</v>
      </c>
      <c r="AL50" s="20">
        <f t="shared" si="4"/>
        <v>456.25601907533405</v>
      </c>
      <c r="AM50" s="59">
        <f t="shared" si="5"/>
        <v>749.58935240866731</v>
      </c>
      <c r="AN50" s="59">
        <f ca="1">AVERAGE(OFFSET($AM$3,0,0,'Données projet'!$E$10+1,1))-AVERAGE(OFFSET($H$3,0,0,'Données projet'!$E$10+1,1))</f>
        <v>347.02720636703873</v>
      </c>
      <c r="AO50" s="59">
        <f t="shared" si="36"/>
        <v>394.03759949558702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27.408828235803352</v>
      </c>
      <c r="AV50" s="21">
        <f>EXP(-LN(2)/25)*AV49+(1-EXP(-LN(2)/25))/(LN(2)/25)*Calculateur!AQ50*Calculateur!AS50*VLOOKUP('Données projet'!$B$10,Paramètres!$A$1:$I$89,3,0)*0.475*44/12</f>
        <v>51.014055805818515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78.42288404162187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17.399999999999999</v>
      </c>
      <c r="BD50" s="12">
        <f>IF('Données projet'!$A$88&gt;35,BD49+BC50-BL49,IF(A50&lt;'Données projet'!$A$88,$BA$205^A50,IF(A50='Données projet'!$A$88,'Données projet'!$B$88,BD49+BC50-BL49)))</f>
        <v>361.80000000000013</v>
      </c>
      <c r="BE50" s="13">
        <f>BD50*VLOOKUP('Données projet'!$B$11,Paramètres!$A$1:$I$89,3,0)*VLOOKUP('Données projet'!$B$11,Paramètres!$A$1:$I$89,5,0)</f>
        <v>216.35640000000006</v>
      </c>
      <c r="BF50" s="13">
        <f t="shared" si="37"/>
        <v>53.322199188237285</v>
      </c>
      <c r="BG50" s="20">
        <f t="shared" si="7"/>
        <v>469.69022691951341</v>
      </c>
      <c r="BH50" s="59">
        <f t="shared" si="8"/>
        <v>763.02356025284666</v>
      </c>
      <c r="BI50" s="59">
        <f ca="1">AVERAGE(OFFSET($BH$3,0,0,'Données projet'!$E$11+1,1))-AVERAGE(OFFSET($H$3,0,0,'Données projet'!$E$11+1,1))</f>
        <v>378.75660696651238</v>
      </c>
      <c r="BJ50" s="59">
        <f t="shared" si="38"/>
        <v>371.70674704563288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20.008124007189611</v>
      </c>
      <c r="BQ50" s="21">
        <f>EXP(-LN(2)/25)*BQ49+(1-EXP(-LN(2)/25))/(LN(2)/25)*Calculateur!BL50*Calculateur!BN50*VLOOKUP('Données projet'!$B$11,Paramètres!$A$1:$I$89,3,0)*0.475*44/12</f>
        <v>39.140460629676383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59.148584636865991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2.1607142857142856</v>
      </c>
      <c r="BY50" s="12">
        <f>IF('Données projet'!$A$114&gt;35,BY49+BX50-CG49,IF(A50&lt;'Données projet'!$A$114,$BV$205^A50,IF(A50='Données projet'!$A$114,'Données projet'!$B$114,BY49+BX50-CG49)))</f>
        <v>101.55357142857152</v>
      </c>
      <c r="BZ50" s="13">
        <f>BY50*VLOOKUP('Données projet'!$B$12,Paramètres!$A$1:$I$89,3,0)*VLOOKUP('Données projet'!$B$12,Paramètres!$A$1:$I$89,5,0)</f>
        <v>102.97532142857152</v>
      </c>
      <c r="CA50" s="13">
        <f t="shared" si="39"/>
        <v>27.669612795237164</v>
      </c>
      <c r="CB50" s="20">
        <f t="shared" si="10"/>
        <v>227.53992710646682</v>
      </c>
      <c r="CC50" s="59">
        <f t="shared" si="11"/>
        <v>520.87326043980011</v>
      </c>
      <c r="CD50" s="59">
        <f ca="1">AVERAGE(OFFSET($CC$3,0,0,'Données projet'!$E$12+1,1))-AVERAGE(OFFSET($H$3,0,0,'Données projet'!$E$12+1,1))</f>
        <v>410.75375635525211</v>
      </c>
      <c r="CE50" s="59">
        <f t="shared" si="40"/>
        <v>183.55513001437367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6.875</v>
      </c>
      <c r="CT50" s="12">
        <f>IF('Données projet'!$A$140&gt;35,CT49+CS50-DB49,IF(A50&lt;'Données projet'!$A$140,$CQ$205^A50,IF(A50='Données projet'!$A$140,'Données projet'!$B$140,CT49+CS50-DB49)))</f>
        <v>130.375</v>
      </c>
      <c r="CU50" s="17">
        <f>CT50*VLOOKUP('Données projet'!$B$13,Paramètres!$A$1:$I$89,3,0)*VLOOKUP('Données projet'!$B$13,Paramètres!$A$1:$I$89,5,0)</f>
        <v>117.96329999999999</v>
      </c>
      <c r="CV50" s="13">
        <f t="shared" si="41"/>
        <v>31.199500243690945</v>
      </c>
      <c r="CW50" s="20">
        <f t="shared" si="13"/>
        <v>259.79187709109505</v>
      </c>
      <c r="CX50" s="59">
        <f t="shared" si="14"/>
        <v>553.12521042442836</v>
      </c>
      <c r="CY50" s="59">
        <f ca="1">AVERAGE(OFFSET($CX$3,0,0,'Données projet'!$E$13+1,1))-AVERAGE(OFFSET($H$3,0,0,'Données projet'!$E$13+1,1))</f>
        <v>436.12708882925142</v>
      </c>
      <c r="CZ50" s="59">
        <f t="shared" si="42"/>
        <v>217.65884352525285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3.5059553611765102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3.5059553611765102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15.6</v>
      </c>
      <c r="DO50" s="12">
        <f>IF('Données projet'!$A$166&gt;35,DO49+DN50-DW49,IF(A50&lt;'Données projet'!$A$166,$DL$205^A50,IF(A50='Données projet'!$A$166,'Données projet'!$B$166,DO49+DN50-DW49)))</f>
        <v>382.20000000000016</v>
      </c>
      <c r="DP50" s="17">
        <f>DO50*VLOOKUP('Données projet'!$B$14,Paramètres!$A$1:$I$89,3,0)*VLOOKUP('Données projet'!$B$14,Paramètres!$A$1:$I$89,5,0)</f>
        <v>363.70152000000013</v>
      </c>
      <c r="DQ50" s="13">
        <f t="shared" si="43"/>
        <v>84.377460328377964</v>
      </c>
      <c r="DR50" s="20">
        <f t="shared" si="16"/>
        <v>780.404224071925</v>
      </c>
      <c r="DS50" s="59">
        <f t="shared" si="17"/>
        <v>1073.7375574052583</v>
      </c>
      <c r="DT50" s="59">
        <f ca="1">AVERAGE(OFFSET($DS$3,0,0,'Données projet'!$E$14+1,1))-AVERAGE(OFFSET($H$3,0,0,'Données projet'!$E$14+1,1))</f>
        <v>735.50267870886194</v>
      </c>
      <c r="DU50" s="59">
        <f t="shared" si="44"/>
        <v>525.80345400853275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11.589267090667562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11.589267090667562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2.1607142857142856</v>
      </c>
      <c r="EJ50" s="12">
        <f>IF('Données projet'!$A$192&gt;35,EJ49+EI50-ER49,IF(A50&lt;'Données projet'!$A$192,$EG$205^A50,IF(A50='Données projet'!$A$192,'Données projet'!$B$192,EJ49+EI50-ER49)))</f>
        <v>101.55357142857152</v>
      </c>
      <c r="EK50" s="17">
        <f>EJ50*VLOOKUP('Données projet'!$B$15,Paramètres!$A$1:$I$89,3,0)*VLOOKUP('Données projet'!$B$15,Paramètres!$A$1:$I$89,5,0)</f>
        <v>64.953664285714339</v>
      </c>
      <c r="EL50" s="13">
        <f t="shared" si="45"/>
        <v>18.414869927895801</v>
      </c>
      <c r="EM50" s="20">
        <f t="shared" si="19"/>
        <v>145.2001970887043</v>
      </c>
      <c r="EN50" s="59">
        <f t="shared" si="20"/>
        <v>438.53353042203764</v>
      </c>
      <c r="EO50" s="59">
        <f ca="1">AVERAGE(OFFSET($EN$3,0,0,'Données projet'!$E$15+1,1))-AVERAGE(OFFSET($H$3,0,0,'Données projet'!$E$15+1,1))</f>
        <v>274.14900959323484</v>
      </c>
      <c r="EP50" s="59">
        <f t="shared" si="46"/>
        <v>130.44590390921582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17.399999999999999</v>
      </c>
      <c r="FE50" s="12">
        <f>IF('Données projet'!$A$218&gt;35,FE49+FD50-FM49,IF(A50&lt;'Données projet'!$A$218,$FB$205^A50,IF(A50='Données projet'!$A$218,'Données projet'!$B$218,FE49+FD50-FM49)))</f>
        <v>299.8</v>
      </c>
      <c r="FF50" s="17">
        <f>FE50*VLOOKUP('Données projet'!$B$16,Paramètres!$A$1:$I$89,3,0)*VLOOKUP('Données projet'!$B$16,Paramètres!$A$1:$I$89,5,0)</f>
        <v>179.28040000000001</v>
      </c>
      <c r="FG50" s="13">
        <f t="shared" si="47"/>
        <v>45.162051118824294</v>
      </c>
      <c r="FH50" s="20">
        <f t="shared" si="22"/>
        <v>390.90393569861902</v>
      </c>
      <c r="FI50" s="59">
        <f t="shared" si="23"/>
        <v>684.23726903195234</v>
      </c>
      <c r="FJ50" s="59">
        <f ca="1">AVERAGE(OFFSET($FI$3,0,0,'Données projet'!$E$16+1,1))-AVERAGE(OFFSET($H$3,0,0,'Données projet'!$E$16+1,1))</f>
        <v>405.42845699663462</v>
      </c>
      <c r="FK50" s="59">
        <f t="shared" si="48"/>
        <v>292.26503163353146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16.081042872376024</v>
      </c>
      <c r="FR50" s="21">
        <f>EXP(-LN(2)/25)*FR49+(1-EXP(-LN(2)/25))/(LN(2)/25)*Calculateur!FM50*Calculateur!FO50*VLOOKUP('Données projet'!$B$16,Paramètres!$A$1:$I$89,3,0)*0.475*44/12</f>
        <v>28.820178936965057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44.901221809341081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17.399999999999999</v>
      </c>
      <c r="FZ50" s="12">
        <f>IF('Données projet'!$A$244&gt;35,FZ49+FY50-GH49,IF(A50&lt;'Données projet'!$A$244,$FW$205^A50,IF(A50='Données projet'!$A$244,'Données projet'!$B$244,FZ49+FY50-GH49)))</f>
        <v>299.8</v>
      </c>
      <c r="GA50" s="17">
        <f>FZ50*VLOOKUP('Données projet'!$B$17,Paramètres!$A$1:$I$89,3,0)*VLOOKUP('Données projet'!$B$17,Paramètres!$A$1:$I$89,5,0)</f>
        <v>179.28040000000001</v>
      </c>
      <c r="GB50" s="13">
        <f t="shared" si="49"/>
        <v>45.162051118824294</v>
      </c>
      <c r="GC50" s="20">
        <f t="shared" si="25"/>
        <v>390.90393569861902</v>
      </c>
      <c r="GD50" s="59">
        <f t="shared" si="26"/>
        <v>684.23726903195234</v>
      </c>
      <c r="GE50" s="59">
        <f ca="1">AVERAGE(OFFSET($GD$3,0,0,'Données projet'!$E$17+1,1))-AVERAGE(OFFSET($H$3,0,0,'Données projet'!$E$17+1,1))</f>
        <v>405.42845699663462</v>
      </c>
      <c r="GF50" s="59">
        <f t="shared" si="50"/>
        <v>292.26503163353146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16.081042872376024</v>
      </c>
      <c r="GM50" s="21">
        <f>EXP(-LN(2)/25)*GM49+(1-EXP(-LN(2)/25))/(LN(2)/25)*Calculateur!GH50*Calculateur!GJ50*VLOOKUP('Données projet'!$B$17,Paramètres!$A$1:$I$89,3,0)*0.475*44/12</f>
        <v>28.820178936965057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44.901221809341081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11.5</v>
      </c>
      <c r="N51" s="13">
        <f>IF('Données projet'!$A$36&gt;35,N50+M51-V50,IF(A51&lt;'Données projet'!$A$36,$K$205^A51,IF(A51='Données projet'!$A$36,'Données projet'!$B$36,N50+M51-V50)))</f>
        <v>288.81999999999994</v>
      </c>
      <c r="O51" s="13">
        <f>N51*VLOOKUP('Données projet'!$B$9,Paramètres!$A$1:$I$89,3,0)*VLOOKUP('Données projet'!$B$9,Paramètres!$A$1:$I$89,5,0)</f>
        <v>135.16775999999996</v>
      </c>
      <c r="P51" s="13">
        <f t="shared" si="33"/>
        <v>35.187754298272999</v>
      </c>
      <c r="Q51" s="20">
        <f t="shared" si="53"/>
        <v>296.70252073615876</v>
      </c>
      <c r="R51" s="59">
        <f t="shared" si="0"/>
        <v>590.03585406949207</v>
      </c>
      <c r="S51" s="59">
        <f ca="1">AVERAGE(OFFSET($R$3,0,0,'Données projet'!$E$9+1,1))-AVERAGE(OFFSET($H$3,0,0,'Données projet'!$E$9+1,1))</f>
        <v>198.26255998041</v>
      </c>
      <c r="T51" s="59">
        <f t="shared" si="34"/>
        <v>238.62101708181166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7.1698370142026606</v>
      </c>
      <c r="AA51" s="21">
        <f>EXP(-LN(2)/25)*AA50+(1-EXP(-LN(2)/25))/(LN(2)/25)*Calculateur!V51*Calculateur!X51*VLOOKUP('Données projet'!$B$9,Paramètres!$A$1:$I$89,3,0)*0.475*44/12</f>
        <v>25.40713197488629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32.576968989088954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17.714285714285715</v>
      </c>
      <c r="AI51" s="13">
        <f>IF('Données projet'!$A$62&gt;35,AI50+AH51-AQ50,IF(A51&lt;'Données projet'!$A$62,$AF$205^A51,IF(A51='Données projet'!$A$62,'Données projet'!$B$62,AI50+AH51-AQ50)))</f>
        <v>393.42857142857156</v>
      </c>
      <c r="AJ51" s="13">
        <f>AI51*VLOOKUP('Données projet'!$B$10,Paramètres!$A$1:$I$89,3,0)*VLOOKUP('Données projet'!$B$10,Paramètres!$A$1:$I$89,5,0)</f>
        <v>219.92657142857149</v>
      </c>
      <c r="AK51" s="13">
        <f t="shared" si="35"/>
        <v>54.098926073340607</v>
      </c>
      <c r="AL51" s="20">
        <f t="shared" si="4"/>
        <v>477.26107481583023</v>
      </c>
      <c r="AM51" s="59">
        <f t="shared" si="5"/>
        <v>770.59440814916354</v>
      </c>
      <c r="AN51" s="59">
        <f ca="1">AVERAGE(OFFSET($AM$3,0,0,'Données projet'!$E$10+1,1))-AVERAGE(OFFSET($H$3,0,0,'Données projet'!$E$10+1,1))</f>
        <v>347.02720636703873</v>
      </c>
      <c r="AO51" s="59">
        <f t="shared" si="36"/>
        <v>394.03759949558702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26.871357831833734</v>
      </c>
      <c r="AV51" s="21">
        <f>EXP(-LN(2)/25)*AV50+(1-EXP(-LN(2)/25))/(LN(2)/25)*Calculateur!AQ51*Calculateur!AS51*VLOOKUP('Données projet'!$B$10,Paramètres!$A$1:$I$89,3,0)*0.475*44/12</f>
        <v>49.619073767095806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76.490431598929547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17.399999999999999</v>
      </c>
      <c r="BD51" s="12">
        <f>IF('Données projet'!$A$88&gt;35,BD50+BC51-BL50,IF(A51&lt;'Données projet'!$A$88,$BA$205^A51,IF(A51='Données projet'!$A$88,'Données projet'!$B$88,BD50+BC51-BL50)))</f>
        <v>379.2000000000001</v>
      </c>
      <c r="BE51" s="13">
        <f>BD51*VLOOKUP('Données projet'!$B$11,Paramètres!$A$1:$I$89,3,0)*VLOOKUP('Données projet'!$B$11,Paramètres!$A$1:$I$89,5,0)</f>
        <v>226.76160000000007</v>
      </c>
      <c r="BF51" s="13">
        <f t="shared" si="37"/>
        <v>55.581886910575967</v>
      </c>
      <c r="BG51" s="20">
        <f t="shared" si="7"/>
        <v>491.74823970258649</v>
      </c>
      <c r="BH51" s="59">
        <f t="shared" si="8"/>
        <v>785.08157303591975</v>
      </c>
      <c r="BI51" s="59">
        <f ca="1">AVERAGE(OFFSET($BH$3,0,0,'Données projet'!$E$11+1,1))-AVERAGE(OFFSET($H$3,0,0,'Données projet'!$E$11+1,1))</f>
        <v>378.75660696651238</v>
      </c>
      <c r="BJ51" s="59">
        <f t="shared" si="38"/>
        <v>371.70674704563288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19.615776899159247</v>
      </c>
      <c r="BQ51" s="21">
        <f>EXP(-LN(2)/25)*BQ50+(1-EXP(-LN(2)/25))/(LN(2)/25)*Calculateur!BL51*Calculateur!BN51*VLOOKUP('Données projet'!$B$11,Paramètres!$A$1:$I$89,3,0)*0.475*44/12</f>
        <v>38.070162675450511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57.685939574609762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2.1607142857142856</v>
      </c>
      <c r="BY51" s="12">
        <f>IF('Données projet'!$A$114&gt;35,BY50+BX51-CG50,IF(A51&lt;'Données projet'!$A$114,$BV$205^A51,IF(A51='Données projet'!$A$114,'Données projet'!$B$114,BY50+BX51-CG50)))</f>
        <v>103.71428571428581</v>
      </c>
      <c r="BZ51" s="13">
        <f>BY51*VLOOKUP('Données projet'!$B$12,Paramètres!$A$1:$I$89,3,0)*VLOOKUP('Données projet'!$B$12,Paramètres!$A$1:$I$89,5,0)</f>
        <v>105.16628571428582</v>
      </c>
      <c r="CA51" s="13">
        <f t="shared" si="39"/>
        <v>28.189162410731925</v>
      </c>
      <c r="CB51" s="20">
        <f t="shared" si="10"/>
        <v>232.26073881773922</v>
      </c>
      <c r="CC51" s="59">
        <f t="shared" si="11"/>
        <v>525.59407215107251</v>
      </c>
      <c r="CD51" s="59">
        <f ca="1">AVERAGE(OFFSET($CC$3,0,0,'Données projet'!$E$12+1,1))-AVERAGE(OFFSET($H$3,0,0,'Données projet'!$E$12+1,1))</f>
        <v>410.75375635525211</v>
      </c>
      <c r="CE51" s="59">
        <f t="shared" si="40"/>
        <v>183.55513001437367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6.875</v>
      </c>
      <c r="CT51" s="12">
        <f>IF('Données projet'!$A$140&gt;35,CT50+CS51-DB50,IF(A51&lt;'Données projet'!$A$140,$CQ$205^A51,IF(A51='Données projet'!$A$140,'Données projet'!$B$140,CT50+CS51-DB50)))</f>
        <v>137.25</v>
      </c>
      <c r="CU51" s="17">
        <f>CT51*VLOOKUP('Données projet'!$B$13,Paramètres!$A$1:$I$89,3,0)*VLOOKUP('Données projet'!$B$13,Paramètres!$A$1:$I$89,5,0)</f>
        <v>124.18379999999999</v>
      </c>
      <c r="CV51" s="13">
        <f t="shared" si="41"/>
        <v>32.648847121304541</v>
      </c>
      <c r="CW51" s="20">
        <f t="shared" si="13"/>
        <v>273.15019373627206</v>
      </c>
      <c r="CX51" s="59">
        <f t="shared" si="14"/>
        <v>566.48352706960532</v>
      </c>
      <c r="CY51" s="59">
        <f ca="1">AVERAGE(OFFSET($CX$3,0,0,'Données projet'!$E$13+1,1))-AVERAGE(OFFSET($H$3,0,0,'Données projet'!$E$13+1,1))</f>
        <v>436.12708882925142</v>
      </c>
      <c r="CZ51" s="59">
        <f t="shared" si="42"/>
        <v>217.65884352525285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3.4372057149654576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3.4372057149654576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15.6</v>
      </c>
      <c r="DO51" s="12">
        <f>IF('Données projet'!$A$166&gt;35,DO50+DN51-DW50,IF(A51&lt;'Données projet'!$A$166,$DL$205^A51,IF(A51='Données projet'!$A$166,'Données projet'!$B$166,DO50+DN51-DW50)))</f>
        <v>397.80000000000018</v>
      </c>
      <c r="DP51" s="17">
        <f>DO51*VLOOKUP('Données projet'!$B$14,Paramètres!$A$1:$I$89,3,0)*VLOOKUP('Données projet'!$B$14,Paramètres!$A$1:$I$89,5,0)</f>
        <v>378.54648000000014</v>
      </c>
      <c r="DQ51" s="13">
        <f t="shared" si="43"/>
        <v>87.413437840604303</v>
      </c>
      <c r="DR51" s="20">
        <f t="shared" si="16"/>
        <v>811.54685690571932</v>
      </c>
      <c r="DS51" s="59">
        <f t="shared" si="17"/>
        <v>1104.8801902390526</v>
      </c>
      <c r="DT51" s="59">
        <f ca="1">AVERAGE(OFFSET($DS$3,0,0,'Données projet'!$E$14+1,1))-AVERAGE(OFFSET($H$3,0,0,'Données projet'!$E$14+1,1))</f>
        <v>735.50267870886194</v>
      </c>
      <c r="DU51" s="59">
        <f t="shared" si="44"/>
        <v>525.80345400853275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11.362008631774515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11.362008631774515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2.1607142857142856</v>
      </c>
      <c r="EJ51" s="12">
        <f>IF('Données projet'!$A$192&gt;35,EJ50+EI51-ER50,IF(A51&lt;'Données projet'!$A$192,$EG$205^A51,IF(A51='Données projet'!$A$192,'Données projet'!$B$192,EJ50+EI51-ER50)))</f>
        <v>103.71428571428581</v>
      </c>
      <c r="EK51" s="17">
        <f>EJ51*VLOOKUP('Données projet'!$B$15,Paramètres!$A$1:$I$89,3,0)*VLOOKUP('Données projet'!$B$15,Paramètres!$A$1:$I$89,5,0)</f>
        <v>66.335657142857201</v>
      </c>
      <c r="EL51" s="13">
        <f t="shared" si="45"/>
        <v>18.76064414097301</v>
      </c>
      <c r="EM51" s="20">
        <f t="shared" si="19"/>
        <v>148.20939140267095</v>
      </c>
      <c r="EN51" s="59">
        <f t="shared" si="20"/>
        <v>441.54272473600429</v>
      </c>
      <c r="EO51" s="59">
        <f ca="1">AVERAGE(OFFSET($EN$3,0,0,'Données projet'!$E$15+1,1))-AVERAGE(OFFSET($H$3,0,0,'Données projet'!$E$15+1,1))</f>
        <v>274.14900959323484</v>
      </c>
      <c r="EP51" s="59">
        <f t="shared" si="46"/>
        <v>130.44590390921582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17.399999999999999</v>
      </c>
      <c r="FE51" s="12">
        <f>IF('Données projet'!$A$218&gt;35,FE50+FD51-FM50,IF(A51&lt;'Données projet'!$A$218,$FB$205^A51,IF(A51='Données projet'!$A$218,'Données projet'!$B$218,FE50+FD51-FM50)))</f>
        <v>317.2</v>
      </c>
      <c r="FF51" s="17">
        <f>FE51*VLOOKUP('Données projet'!$B$16,Paramètres!$A$1:$I$89,3,0)*VLOOKUP('Données projet'!$B$16,Paramètres!$A$1:$I$89,5,0)</f>
        <v>189.68560000000002</v>
      </c>
      <c r="FG51" s="13">
        <f t="shared" si="47"/>
        <v>47.470436776872745</v>
      </c>
      <c r="FH51" s="20">
        <f t="shared" si="22"/>
        <v>413.04676405305344</v>
      </c>
      <c r="FI51" s="59">
        <f t="shared" si="23"/>
        <v>706.38009738638675</v>
      </c>
      <c r="FJ51" s="59">
        <f ca="1">AVERAGE(OFFSET($FI$3,0,0,'Données projet'!$E$16+1,1))-AVERAGE(OFFSET($H$3,0,0,'Données projet'!$E$16+1,1))</f>
        <v>405.42845699663462</v>
      </c>
      <c r="FK51" s="59">
        <f t="shared" si="48"/>
        <v>292.26503163353146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15.765703430116377</v>
      </c>
      <c r="FR51" s="21">
        <f>EXP(-LN(2)/25)*FR50+(1-EXP(-LN(2)/25))/(LN(2)/25)*Calculateur!FM51*Calculateur!FO51*VLOOKUP('Données projet'!$B$16,Paramètres!$A$1:$I$89,3,0)*0.475*44/12</f>
        <v>28.032089628346405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43.79779305846278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17.399999999999999</v>
      </c>
      <c r="FZ51" s="12">
        <f>IF('Données projet'!$A$244&gt;35,FZ50+FY51-GH50,IF(A51&lt;'Données projet'!$A$244,$FW$205^A51,IF(A51='Données projet'!$A$244,'Données projet'!$B$244,FZ50+FY51-GH50)))</f>
        <v>317.2</v>
      </c>
      <c r="GA51" s="17">
        <f>FZ51*VLOOKUP('Données projet'!$B$17,Paramètres!$A$1:$I$89,3,0)*VLOOKUP('Données projet'!$B$17,Paramètres!$A$1:$I$89,5,0)</f>
        <v>189.68560000000002</v>
      </c>
      <c r="GB51" s="13">
        <f t="shared" si="49"/>
        <v>47.470436776872745</v>
      </c>
      <c r="GC51" s="20">
        <f t="shared" si="25"/>
        <v>413.04676405305344</v>
      </c>
      <c r="GD51" s="59">
        <f t="shared" si="26"/>
        <v>706.38009738638675</v>
      </c>
      <c r="GE51" s="59">
        <f ca="1">AVERAGE(OFFSET($GD$3,0,0,'Données projet'!$E$17+1,1))-AVERAGE(OFFSET($H$3,0,0,'Données projet'!$E$17+1,1))</f>
        <v>405.42845699663462</v>
      </c>
      <c r="GF51" s="59">
        <f t="shared" si="50"/>
        <v>292.26503163353146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15.765703430116377</v>
      </c>
      <c r="GM51" s="21">
        <f>EXP(-LN(2)/25)*GM50+(1-EXP(-LN(2)/25))/(LN(2)/25)*Calculateur!GH51*Calculateur!GJ51*VLOOKUP('Données projet'!$B$17,Paramètres!$A$1:$I$89,3,0)*0.475*44/12</f>
        <v>28.032089628346405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43.79779305846278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11.5</v>
      </c>
      <c r="N52" s="13">
        <f>IF('Données projet'!$A$36&gt;35,N51+M52-V51,IF(A52&lt;'Données projet'!$A$36,$K$205^A52,IF(A52='Données projet'!$A$36,'Données projet'!$B$36,N51+M52-V51)))</f>
        <v>300.31999999999994</v>
      </c>
      <c r="O52" s="13">
        <f>N52*VLOOKUP('Données projet'!$B$9,Paramètres!$A$1:$I$89,3,0)*VLOOKUP('Données projet'!$B$9,Paramètres!$A$1:$I$89,5,0)</f>
        <v>140.54975999999996</v>
      </c>
      <c r="P52" s="13">
        <f t="shared" si="33"/>
        <v>36.42291904975756</v>
      </c>
      <c r="Q52" s="20">
        <f t="shared" si="53"/>
        <v>308.22741601166098</v>
      </c>
      <c r="R52" s="59">
        <f t="shared" si="0"/>
        <v>601.56074934499429</v>
      </c>
      <c r="S52" s="59">
        <f ca="1">AVERAGE(OFFSET($R$3,0,0,'Données projet'!$E$9+1,1))-AVERAGE(OFFSET($H$3,0,0,'Données projet'!$E$9+1,1))</f>
        <v>198.26255998041</v>
      </c>
      <c r="T52" s="59">
        <f t="shared" si="34"/>
        <v>238.62101708181166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7.0292408835229105</v>
      </c>
      <c r="AA52" s="21">
        <f>EXP(-LN(2)/25)*AA51+(1-EXP(-LN(2)/25))/(LN(2)/25)*Calculateur!V52*Calculateur!X52*VLOOKUP('Données projet'!$B$9,Paramètres!$A$1:$I$89,3,0)*0.475*44/12</f>
        <v>24.712372614930022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31.741613498452931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17.714285714285715</v>
      </c>
      <c r="AI52" s="13">
        <f>IF('Données projet'!$A$62&gt;35,AI51+AH52-AQ51,IF(A52&lt;'Données projet'!$A$62,$AF$205^A52,IF(A52='Données projet'!$A$62,'Données projet'!$B$62,AI51+AH52-AQ51)))</f>
        <v>411.14285714285728</v>
      </c>
      <c r="AJ52" s="13">
        <f>AI52*VLOOKUP('Données projet'!$B$10,Paramètres!$A$1:$I$89,3,0)*VLOOKUP('Données projet'!$B$10,Paramètres!$A$1:$I$89,5,0)</f>
        <v>229.82885714285723</v>
      </c>
      <c r="AK52" s="13">
        <f t="shared" si="35"/>
        <v>56.245674841098193</v>
      </c>
      <c r="AL52" s="20">
        <f t="shared" si="4"/>
        <v>498.24647653872233</v>
      </c>
      <c r="AM52" s="59">
        <f t="shared" si="5"/>
        <v>791.57980987205565</v>
      </c>
      <c r="AN52" s="59">
        <f ca="1">AVERAGE(OFFSET($AM$3,0,0,'Données projet'!$E$10+1,1))-AVERAGE(OFFSET($H$3,0,0,'Données projet'!$E$10+1,1))</f>
        <v>347.02720636703873</v>
      </c>
      <c r="AO52" s="59">
        <f t="shared" si="36"/>
        <v>394.03759949558702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26.344426894661382</v>
      </c>
      <c r="AV52" s="21">
        <f>EXP(-LN(2)/25)*AV51+(1-EXP(-LN(2)/25))/(LN(2)/25)*Calculateur!AQ52*Calculateur!AS52*VLOOKUP('Données projet'!$B$10,Paramètres!$A$1:$I$89,3,0)*0.475*44/12</f>
        <v>48.262237585580884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74.606664480242273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17.399999999999999</v>
      </c>
      <c r="BD52" s="12">
        <f>IF('Données projet'!$A$88&gt;35,BD51+BC52-BL51,IF(A52&lt;'Données projet'!$A$88,$BA$205^A52,IF(A52='Données projet'!$A$88,'Données projet'!$B$88,BD51+BC52-BL51)))</f>
        <v>396.60000000000008</v>
      </c>
      <c r="BE52" s="13">
        <f>BD52*VLOOKUP('Données projet'!$B$11,Paramètres!$A$1:$I$89,3,0)*VLOOKUP('Données projet'!$B$11,Paramètres!$A$1:$I$89,5,0)</f>
        <v>237.16680000000005</v>
      </c>
      <c r="BF52" s="13">
        <f t="shared" si="37"/>
        <v>57.829533038824259</v>
      </c>
      <c r="BG52" s="20">
        <f t="shared" si="7"/>
        <v>513.78528004261909</v>
      </c>
      <c r="BH52" s="59">
        <f t="shared" si="8"/>
        <v>807.11861337595246</v>
      </c>
      <c r="BI52" s="59">
        <f ca="1">AVERAGE(OFFSET($BH$3,0,0,'Données projet'!$E$11+1,1))-AVERAGE(OFFSET($H$3,0,0,'Données projet'!$E$11+1,1))</f>
        <v>378.75660696651238</v>
      </c>
      <c r="BJ52" s="59">
        <f t="shared" si="38"/>
        <v>371.70674704563288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19.231123478609252</v>
      </c>
      <c r="BQ52" s="21">
        <f>EXP(-LN(2)/25)*BQ51+(1-EXP(-LN(2)/25))/(LN(2)/25)*Calculateur!BL52*Calculateur!BN52*VLOOKUP('Données projet'!$B$11,Paramètres!$A$1:$I$89,3,0)*0.475*44/12</f>
        <v>37.029132075067473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56.260255553676728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2.1607142857142856</v>
      </c>
      <c r="BY52" s="12">
        <f>IF('Données projet'!$A$114&gt;35,BY51+BX52-CG51,IF(A52&lt;'Données projet'!$A$114,$BV$205^A52,IF(A52='Données projet'!$A$114,'Données projet'!$B$114,BY51+BX52-CG51)))</f>
        <v>105.8750000000001</v>
      </c>
      <c r="BZ52" s="13">
        <f>BY52*VLOOKUP('Données projet'!$B$12,Paramètres!$A$1:$I$89,3,0)*VLOOKUP('Données projet'!$B$12,Paramètres!$A$1:$I$89,5,0)</f>
        <v>107.35725000000011</v>
      </c>
      <c r="CA52" s="13">
        <f t="shared" si="39"/>
        <v>28.707453548585892</v>
      </c>
      <c r="CB52" s="20">
        <f t="shared" si="10"/>
        <v>236.97935868045394</v>
      </c>
      <c r="CC52" s="59">
        <f t="shared" si="11"/>
        <v>530.31269201378723</v>
      </c>
      <c r="CD52" s="59">
        <f ca="1">AVERAGE(OFFSET($CC$3,0,0,'Données projet'!$E$12+1,1))-AVERAGE(OFFSET($H$3,0,0,'Données projet'!$E$12+1,1))</f>
        <v>410.75375635525211</v>
      </c>
      <c r="CE52" s="59">
        <f t="shared" si="40"/>
        <v>183.55513001437367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6.875</v>
      </c>
      <c r="CT52" s="12">
        <f>IF('Données projet'!$A$140&gt;35,CT51+CS52-DB51,IF(A52&lt;'Données projet'!$A$140,$CQ$205^A52,IF(A52='Données projet'!$A$140,'Données projet'!$B$140,CT51+CS52-DB51)))</f>
        <v>144.125</v>
      </c>
      <c r="CU52" s="17">
        <f>CT52*VLOOKUP('Données projet'!$B$13,Paramètres!$A$1:$I$89,3,0)*VLOOKUP('Données projet'!$B$13,Paramètres!$A$1:$I$89,5,0)</f>
        <v>130.40430000000001</v>
      </c>
      <c r="CV52" s="13">
        <f t="shared" si="41"/>
        <v>34.089764301804081</v>
      </c>
      <c r="CW52" s="20">
        <f t="shared" si="13"/>
        <v>286.49382865897542</v>
      </c>
      <c r="CX52" s="59">
        <f t="shared" si="14"/>
        <v>579.82716199230867</v>
      </c>
      <c r="CY52" s="59">
        <f ca="1">AVERAGE(OFFSET($CX$3,0,0,'Données projet'!$E$13+1,1))-AVERAGE(OFFSET($H$3,0,0,'Données projet'!$E$13+1,1))</f>
        <v>436.12708882925142</v>
      </c>
      <c r="CZ52" s="59">
        <f t="shared" si="42"/>
        <v>217.65884352525285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3.36980420738346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3.36980420738346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15.6</v>
      </c>
      <c r="DO52" s="12">
        <f>IF('Données projet'!$A$166&gt;35,DO51+DN52-DW51,IF(A52&lt;'Données projet'!$A$166,$DL$205^A52,IF(A52='Données projet'!$A$166,'Données projet'!$B$166,DO51+DN52-DW51)))</f>
        <v>413.4000000000002</v>
      </c>
      <c r="DP52" s="17">
        <f>DO52*VLOOKUP('Données projet'!$B$14,Paramètres!$A$1:$I$89,3,0)*VLOOKUP('Données projet'!$B$14,Paramètres!$A$1:$I$89,5,0)</f>
        <v>393.39144000000022</v>
      </c>
      <c r="DQ52" s="13">
        <f t="shared" si="43"/>
        <v>90.435584845907428</v>
      </c>
      <c r="DR52" s="20">
        <f t="shared" si="16"/>
        <v>842.66540160662237</v>
      </c>
      <c r="DS52" s="59">
        <f t="shared" si="17"/>
        <v>1135.9987349399557</v>
      </c>
      <c r="DT52" s="59">
        <f ca="1">AVERAGE(OFFSET($DS$3,0,0,'Données projet'!$E$14+1,1))-AVERAGE(OFFSET($H$3,0,0,'Données projet'!$E$14+1,1))</f>
        <v>735.50267870886194</v>
      </c>
      <c r="DU52" s="59">
        <f t="shared" si="44"/>
        <v>525.80345400853275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11.139206572646387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11.139206572646387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2.1607142857142856</v>
      </c>
      <c r="EJ52" s="12">
        <f>IF('Données projet'!$A$192&gt;35,EJ51+EI52-ER51,IF(A52&lt;'Données projet'!$A$192,$EG$205^A52,IF(A52='Données projet'!$A$192,'Données projet'!$B$192,EJ51+EI52-ER51)))</f>
        <v>105.8750000000001</v>
      </c>
      <c r="EK52" s="17">
        <f>EJ52*VLOOKUP('Données projet'!$B$15,Paramètres!$A$1:$I$89,3,0)*VLOOKUP('Données projet'!$B$15,Paramètres!$A$1:$I$89,5,0)</f>
        <v>67.717650000000063</v>
      </c>
      <c r="EL52" s="13">
        <f t="shared" si="45"/>
        <v>19.10558080340456</v>
      </c>
      <c r="EM52" s="20">
        <f t="shared" si="19"/>
        <v>151.2171269825964</v>
      </c>
      <c r="EN52" s="59">
        <f t="shared" si="20"/>
        <v>444.55046031592974</v>
      </c>
      <c r="EO52" s="59">
        <f ca="1">AVERAGE(OFFSET($EN$3,0,0,'Données projet'!$E$15+1,1))-AVERAGE(OFFSET($H$3,0,0,'Données projet'!$E$15+1,1))</f>
        <v>274.14900959323484</v>
      </c>
      <c r="EP52" s="59">
        <f t="shared" si="46"/>
        <v>130.44590390921582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17.399999999999999</v>
      </c>
      <c r="FE52" s="12">
        <f>IF('Données projet'!$A$218&gt;35,FE51+FD52-FM51,IF(A52&lt;'Données projet'!$A$218,$FB$205^A52,IF(A52='Données projet'!$A$218,'Données projet'!$B$218,FE51+FD52-FM51)))</f>
        <v>334.59999999999997</v>
      </c>
      <c r="FF52" s="17">
        <f>FE52*VLOOKUP('Données projet'!$B$16,Paramètres!$A$1:$I$89,3,0)*VLOOKUP('Données projet'!$B$16,Paramètres!$A$1:$I$89,5,0)</f>
        <v>200.0908</v>
      </c>
      <c r="FG52" s="13">
        <f t="shared" si="47"/>
        <v>49.764122289960234</v>
      </c>
      <c r="FH52" s="20">
        <f t="shared" si="22"/>
        <v>435.16398965501406</v>
      </c>
      <c r="FI52" s="59">
        <f t="shared" si="23"/>
        <v>728.49732298834738</v>
      </c>
      <c r="FJ52" s="59">
        <f ca="1">AVERAGE(OFFSET($FI$3,0,0,'Données projet'!$E$16+1,1))-AVERAGE(OFFSET($H$3,0,0,'Données projet'!$E$16+1,1))</f>
        <v>405.42845699663462</v>
      </c>
      <c r="FK52" s="59">
        <f t="shared" si="48"/>
        <v>292.26503163353146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15.456547601981374</v>
      </c>
      <c r="FR52" s="21">
        <f>EXP(-LN(2)/25)*FR51+(1-EXP(-LN(2)/25))/(LN(2)/25)*Calculateur!FM52*Calculateur!FO52*VLOOKUP('Données projet'!$B$16,Paramètres!$A$1:$I$89,3,0)*0.475*44/12</f>
        <v>27.265550663315747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42.72209826529712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17.399999999999999</v>
      </c>
      <c r="FZ52" s="12">
        <f>IF('Données projet'!$A$244&gt;35,FZ51+FY52-GH51,IF(A52&lt;'Données projet'!$A$244,$FW$205^A52,IF(A52='Données projet'!$A$244,'Données projet'!$B$244,FZ51+FY52-GH51)))</f>
        <v>334.59999999999997</v>
      </c>
      <c r="GA52" s="17">
        <f>FZ52*VLOOKUP('Données projet'!$B$17,Paramètres!$A$1:$I$89,3,0)*VLOOKUP('Données projet'!$B$17,Paramètres!$A$1:$I$89,5,0)</f>
        <v>200.0908</v>
      </c>
      <c r="GB52" s="13">
        <f t="shared" si="49"/>
        <v>49.764122289960234</v>
      </c>
      <c r="GC52" s="20">
        <f t="shared" si="25"/>
        <v>435.16398965501406</v>
      </c>
      <c r="GD52" s="59">
        <f t="shared" si="26"/>
        <v>728.49732298834738</v>
      </c>
      <c r="GE52" s="59">
        <f ca="1">AVERAGE(OFFSET($GD$3,0,0,'Données projet'!$E$17+1,1))-AVERAGE(OFFSET($H$3,0,0,'Données projet'!$E$17+1,1))</f>
        <v>405.42845699663462</v>
      </c>
      <c r="GF52" s="59">
        <f t="shared" si="50"/>
        <v>292.26503163353146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15.456547601981374</v>
      </c>
      <c r="GM52" s="21">
        <f>EXP(-LN(2)/25)*GM51+(1-EXP(-LN(2)/25))/(LN(2)/25)*Calculateur!GH52*Calculateur!GJ52*VLOOKUP('Données projet'!$B$17,Paramètres!$A$1:$I$89,3,0)*0.475*44/12</f>
        <v>27.265550663315747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42.72209826529712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311.82</v>
      </c>
      <c r="L53" s="12">
        <f>VLOOKUP(A53,'Données projet'!$A$35:$I$55,9,0)</f>
        <v>11.5</v>
      </c>
      <c r="M53" s="12">
        <f t="array" ref="M53">INDEX(L:L,MIN(IF(ISNUMBER(L53:L249),ROW(L53:L249),"")))</f>
        <v>11.5</v>
      </c>
      <c r="N53" s="13">
        <f>IF('Données projet'!$A$36&gt;35,N52+M53-V52,IF(A53&lt;'Données projet'!$A$36,$K$205^A53,IF(A53='Données projet'!$A$36,'Données projet'!$B$36,N52+M53-V52)))</f>
        <v>311.81999999999994</v>
      </c>
      <c r="O53" s="13">
        <f>N53*VLOOKUP('Données projet'!$B$9,Paramètres!$A$1:$I$89,3,0)*VLOOKUP('Données projet'!$B$9,Paramètres!$A$1:$I$89,5,0)</f>
        <v>145.93175999999997</v>
      </c>
      <c r="P53" s="13">
        <f t="shared" si="33"/>
        <v>37.65258920161326</v>
      </c>
      <c r="Q53" s="20">
        <f t="shared" si="53"/>
        <v>319.74274152614299</v>
      </c>
      <c r="R53" s="59">
        <f t="shared" si="0"/>
        <v>613.07607485947631</v>
      </c>
      <c r="S53" s="59">
        <f ca="1">AVERAGE(OFFSET($R$3,0,0,'Données projet'!$E$9+1,1))-AVERAGE(OFFSET($H$3,0,0,'Données projet'!$E$9+1,1))</f>
        <v>198.26255998041</v>
      </c>
      <c r="T53" s="59">
        <f t="shared" si="34"/>
        <v>238.62101708181166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62.364000000000004</v>
      </c>
      <c r="W53" s="16">
        <f>IF(ISNA(VLOOKUP(A53,'Données projet'!$A$35:$I$55,5,0)),0%,VLOOKUP(A53,'Données projet'!$A$35:$I$55,5,0)*VLOOKUP('Données projet'!$B$9,Paramètres!$A$1:$I$89,7,0))</f>
        <v>0.38500000000000001</v>
      </c>
      <c r="X53" s="16">
        <f>IF(ISNA(VLOOKUP(A53,'Données projet'!$A$35:$I$55,6,0)),0%,VLOOKUP(A53,'Données projet'!$A$35:$I$55,6,0)*VLOOKUP('Données projet'!$B$9,Paramètres!$A$1:$I$89,7,0))</f>
        <v>0.16500000000000001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21.797668958862111</v>
      </c>
      <c r="AA53" s="21">
        <f>EXP(-LN(2)/25)*AA52+(1-EXP(-LN(2)/25))/(LN(2)/25)*Calculateur!V53*Calculateur!X53*VLOOKUP('Données projet'!$B$9,Paramètres!$A$1:$I$89,3,0)*0.475*44/12</f>
        <v>30.399858149612783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52.197527108474894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17.714285714285715</v>
      </c>
      <c r="AI53" s="13">
        <f>IF('Données projet'!$A$62&gt;35,AI52+AH53-AQ52,IF(A53&lt;'Données projet'!$A$62,$AF$205^A53,IF(A53='Données projet'!$A$62,'Données projet'!$B$62,AI52+AH53-AQ52)))</f>
        <v>428.857142857143</v>
      </c>
      <c r="AJ53" s="13">
        <f>AI53*VLOOKUP('Données projet'!$B$10,Paramètres!$A$1:$I$89,3,0)*VLOOKUP('Données projet'!$B$10,Paramètres!$A$1:$I$89,5,0)</f>
        <v>239.73114285714294</v>
      </c>
      <c r="AK53" s="13">
        <f t="shared" si="35"/>
        <v>58.381680785216801</v>
      </c>
      <c r="AL53" s="20">
        <f t="shared" si="4"/>
        <v>519.21316784377643</v>
      </c>
      <c r="AM53" s="59">
        <f t="shared" si="5"/>
        <v>812.5465011771098</v>
      </c>
      <c r="AN53" s="59">
        <f ca="1">AVERAGE(OFFSET($AM$3,0,0,'Données projet'!$E$10+1,1))-AVERAGE(OFFSET($H$3,0,0,'Données projet'!$E$10+1,1))</f>
        <v>347.02720636703873</v>
      </c>
      <c r="AO53" s="59">
        <f t="shared" si="36"/>
        <v>394.03759949558702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25.827828751770845</v>
      </c>
      <c r="AV53" s="21">
        <f>EXP(-LN(2)/25)*AV52+(1-EXP(-LN(2)/25))/(LN(2)/25)*Calculateur!AQ53*Calculateur!AS53*VLOOKUP('Données projet'!$B$10,Paramètres!$A$1:$I$89,3,0)*0.475*44/12</f>
        <v>46.942504160802407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72.770332912573252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414</v>
      </c>
      <c r="BB53" s="12">
        <f>VLOOKUP(A53,'Données projet'!$A$87:$I$107,9,0)</f>
        <v>17.399999999999999</v>
      </c>
      <c r="BC53" s="12">
        <f t="array" ref="BC53">INDEX(BB:BB,MIN(IF(ISNUMBER(BB53:BB249),ROW(BB53:BB249),"")))</f>
        <v>17.399999999999999</v>
      </c>
      <c r="BD53" s="12">
        <f>IF('Données projet'!$A$88&gt;35,BD52+BC53-BL52,IF(A53&lt;'Données projet'!$A$88,$BA$205^A53,IF(A53='Données projet'!$A$88,'Données projet'!$B$88,BD52+BC53-BL52)))</f>
        <v>414.00000000000006</v>
      </c>
      <c r="BE53" s="13">
        <f>BD53*VLOOKUP('Données projet'!$B$11,Paramètres!$A$1:$I$89,3,0)*VLOOKUP('Données projet'!$B$11,Paramètres!$A$1:$I$89,5,0)</f>
        <v>247.57200000000003</v>
      </c>
      <c r="BF53" s="13">
        <f t="shared" si="37"/>
        <v>60.065726249156576</v>
      </c>
      <c r="BG53" s="20">
        <f t="shared" si="7"/>
        <v>535.80237321728112</v>
      </c>
      <c r="BH53" s="59">
        <f t="shared" si="8"/>
        <v>829.13570655061449</v>
      </c>
      <c r="BI53" s="59">
        <f ca="1">AVERAGE(OFFSET($BH$3,0,0,'Données projet'!$E$11+1,1))-AVERAGE(OFFSET($H$3,0,0,'Données projet'!$E$11+1,1))</f>
        <v>378.75660696651238</v>
      </c>
      <c r="BJ53" s="59">
        <f t="shared" si="38"/>
        <v>371.70674704563288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47</v>
      </c>
      <c r="BM53" s="16">
        <f>IF(ISNA(VLOOKUP(A53,'Données projet'!$A$87:$I$107,5,0)),0%,VLOOKUP(A53,'Données projet'!$A$87:$I$107,5,0)*VLOOKUP('Données projet'!$B$11,Paramètres!$A$1:$I$89,7,0))</f>
        <v>0.315</v>
      </c>
      <c r="BN53" s="16">
        <f>IF(ISNA(VLOOKUP(A53,'Données projet'!$A$87:$I$107,6,0)),0%,VLOOKUP(A53,'Données projet'!$A$87:$I$107,6,0)*VLOOKUP('Données projet'!$B$11,Paramètres!$A$1:$I$89,7,0))</f>
        <v>0.13500000000000001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30.598605361164694</v>
      </c>
      <c r="BQ53" s="21">
        <f>EXP(-LN(2)/25)*BQ52+(1-EXP(-LN(2)/25))/(LN(2)/25)*Calculateur!BL53*Calculateur!BN53*VLOOKUP('Données projet'!$B$11,Paramètres!$A$1:$I$89,3,0)*0.475*44/12</f>
        <v>41.030146889122996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71.62875225028769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2.1607142857142856</v>
      </c>
      <c r="BY53" s="12">
        <f>IF('Données projet'!$A$114&gt;35,BY52+BX53-CG52,IF(A53&lt;'Données projet'!$A$114,$BV$205^A53,IF(A53='Données projet'!$A$114,'Données projet'!$B$114,BY52+BX53-CG52)))</f>
        <v>108.03571428571439</v>
      </c>
      <c r="BZ53" s="13">
        <f>BY53*VLOOKUP('Données projet'!$B$12,Paramètres!$A$1:$I$89,3,0)*VLOOKUP('Données projet'!$B$12,Paramètres!$A$1:$I$89,5,0)</f>
        <v>109.54821428571441</v>
      </c>
      <c r="CA53" s="13">
        <f t="shared" si="39"/>
        <v>29.224514851527026</v>
      </c>
      <c r="CB53" s="20">
        <f t="shared" si="10"/>
        <v>241.69583658069553</v>
      </c>
      <c r="CC53" s="59">
        <f t="shared" si="11"/>
        <v>535.0291699140289</v>
      </c>
      <c r="CD53" s="59">
        <f ca="1">AVERAGE(OFFSET($CC$3,0,0,'Données projet'!$E$12+1,1))-AVERAGE(OFFSET($H$3,0,0,'Données projet'!$E$12+1,1))</f>
        <v>410.75375635525211</v>
      </c>
      <c r="CE53" s="59">
        <f t="shared" si="40"/>
        <v>183.55513001437367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151</v>
      </c>
      <c r="CR53" s="12">
        <f>VLOOKUP(A53,'Données projet'!$A$139:$I$159,9,0)</f>
        <v>6.875</v>
      </c>
      <c r="CS53" s="12">
        <f t="array" ref="CS53">INDEX(CR:CR,MIN(IF(ISNUMBER(CR53:CR249),ROW(CR53:CR249),"")))</f>
        <v>6.875</v>
      </c>
      <c r="CT53" s="12">
        <f>IF('Données projet'!$A$140&gt;35,CT52+CS53-DB52,IF(A53&lt;'Données projet'!$A$140,$CQ$205^A53,IF(A53='Données projet'!$A$140,'Données projet'!$B$140,CT52+CS53-DB52)))</f>
        <v>151</v>
      </c>
      <c r="CU53" s="17">
        <f>CT53*VLOOKUP('Données projet'!$B$13,Paramètres!$A$1:$I$89,3,0)*VLOOKUP('Données projet'!$B$13,Paramètres!$A$1:$I$89,5,0)</f>
        <v>136.62479999999999</v>
      </c>
      <c r="CV53" s="13">
        <f t="shared" si="41"/>
        <v>35.522699804888632</v>
      </c>
      <c r="CW53" s="20">
        <f t="shared" si="13"/>
        <v>299.82356216018104</v>
      </c>
      <c r="CX53" s="59">
        <f t="shared" si="14"/>
        <v>593.15689549351441</v>
      </c>
      <c r="CY53" s="59">
        <f ca="1">AVERAGE(OFFSET($CX$3,0,0,'Données projet'!$E$13+1,1))-AVERAGE(OFFSET($H$3,0,0,'Données projet'!$E$13+1,1))</f>
        <v>436.12708882925142</v>
      </c>
      <c r="CZ53" s="59">
        <f t="shared" si="42"/>
        <v>217.65884352525285</v>
      </c>
      <c r="DA53" s="15">
        <f>IF(ISNA(VLOOKUP(A53,'Données projet'!$A$139:$I$159,3,0)),0,VLOOKUP(A53,'Données projet'!$A$139:$I$159,3,0))</f>
        <v>2</v>
      </c>
      <c r="DB53" s="15">
        <f>IF(ISNA(VLOOKUP(A53,'Données projet'!$A$139:$I$159,4,0)),0,VLOOKUP(A53,'Données projet'!$A$139:$I$159,4,0))</f>
        <v>35</v>
      </c>
      <c r="DC53" s="16">
        <f>IF(ISNA(VLOOKUP(A53,'Données projet'!$A$139:$I$159,5,0)),0%,VLOOKUP(A53,'Données projet'!$A$139:$I$159,5,0)*VLOOKUP('Données projet'!$B$13,Paramètres!$A$1:$I$89,7,0))</f>
        <v>0.129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7.8197610435516669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7.8197610435516669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429</v>
      </c>
      <c r="DM53" s="12">
        <f>VLOOKUP(A53,'Données projet'!$A$165:$I$185,9,0)</f>
        <v>15.6</v>
      </c>
      <c r="DN53" s="12">
        <f t="array" ref="DN53">INDEX(DM:DM,MIN(IF(ISNUMBER(DM53:DM249),ROW(DM53:DM249),"")))</f>
        <v>15.6</v>
      </c>
      <c r="DO53" s="12">
        <f>IF('Données projet'!$A$166&gt;35,DO52+DN53-DW52,IF(A53&lt;'Données projet'!$A$166,$DL$205^A53,IF(A53='Données projet'!$A$166,'Données projet'!$B$166,DO52+DN53-DW52)))</f>
        <v>429.00000000000023</v>
      </c>
      <c r="DP53" s="17">
        <f>DO53*VLOOKUP('Données projet'!$B$14,Paramètres!$A$1:$I$89,3,0)*VLOOKUP('Données projet'!$B$14,Paramètres!$A$1:$I$89,5,0)</f>
        <v>408.23640000000017</v>
      </c>
      <c r="DQ53" s="13">
        <f t="shared" si="43"/>
        <v>93.444483003287701</v>
      </c>
      <c r="DR53" s="20">
        <f t="shared" si="16"/>
        <v>873.76087123072637</v>
      </c>
      <c r="DS53" s="59">
        <f t="shared" si="17"/>
        <v>1167.0942045640597</v>
      </c>
      <c r="DT53" s="59">
        <f ca="1">AVERAGE(OFFSET($DS$3,0,0,'Données projet'!$E$14+1,1))-AVERAGE(OFFSET($H$3,0,0,'Données projet'!$E$14+1,1))</f>
        <v>735.50267870886194</v>
      </c>
      <c r="DU53" s="59">
        <f t="shared" si="44"/>
        <v>525.80345400853275</v>
      </c>
      <c r="DV53" s="15">
        <f>IF(ISNA(VLOOKUP(A53,'Données projet'!$A$165:$I$185,3,0)),0,VLOOKUP(A53,'Données projet'!$A$165:$I$185,3,0))</f>
        <v>8</v>
      </c>
      <c r="DW53" s="15">
        <f>IF(ISNA(VLOOKUP(A53,'Données projet'!$A$165:$I$185,4,0)),0,VLOOKUP(A53,'Données projet'!$A$165:$I$185,4,0))</f>
        <v>51</v>
      </c>
      <c r="DX53" s="16">
        <f>IF(ISNA(VLOOKUP(A53,'Données projet'!$A$165:$I$185,5,0)),0%,VLOOKUP(A53,'Données projet'!$A$165:$I$185,5,0)*VLOOKUP('Données projet'!$B$14,Paramètres!$A$1:$I$89,7,0))</f>
        <v>0.129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17.841655295004955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17.841655295004955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2.1607142857142856</v>
      </c>
      <c r="EJ53" s="12">
        <f>IF('Données projet'!$A$192&gt;35,EJ52+EI53-ER52,IF(A53&lt;'Données projet'!$A$192,$EG$205^A53,IF(A53='Données projet'!$A$192,'Données projet'!$B$192,EJ52+EI53-ER52)))</f>
        <v>108.03571428571439</v>
      </c>
      <c r="EK53" s="17">
        <f>EJ53*VLOOKUP('Données projet'!$B$15,Paramètres!$A$1:$I$89,3,0)*VLOOKUP('Données projet'!$B$15,Paramètres!$A$1:$I$89,5,0)</f>
        <v>69.099642857142925</v>
      </c>
      <c r="EL53" s="13">
        <f t="shared" si="45"/>
        <v>19.449698977694588</v>
      </c>
      <c r="EM53" s="20">
        <f t="shared" si="19"/>
        <v>154.22343702900869</v>
      </c>
      <c r="EN53" s="59">
        <f t="shared" si="20"/>
        <v>447.55677036234204</v>
      </c>
      <c r="EO53" s="59">
        <f ca="1">AVERAGE(OFFSET($EN$3,0,0,'Données projet'!$E$15+1,1))-AVERAGE(OFFSET($H$3,0,0,'Données projet'!$E$15+1,1))</f>
        <v>274.14900959323484</v>
      </c>
      <c r="EP53" s="59">
        <f t="shared" si="46"/>
        <v>130.44590390921582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352</v>
      </c>
      <c r="FC53" s="12">
        <f>VLOOKUP(A53,'Données projet'!$A$217:$I$237,9,0)</f>
        <v>17.399999999999999</v>
      </c>
      <c r="FD53" s="12">
        <f t="array" ref="FD53">INDEX(FC:FC,MIN(IF(ISNUMBER(FC53:FC249),ROW(FC53:FC249),"")))</f>
        <v>17.399999999999999</v>
      </c>
      <c r="FE53" s="12">
        <f>IF('Données projet'!$A$218&gt;35,FE52+FD53-FM52,IF(A53&lt;'Données projet'!$A$218,$FB$205^A53,IF(A53='Données projet'!$A$218,'Données projet'!$B$218,FE52+FD53-FM52)))</f>
        <v>351.99999999999994</v>
      </c>
      <c r="FF53" s="17">
        <f>FE53*VLOOKUP('Données projet'!$B$16,Paramètres!$A$1:$I$89,3,0)*VLOOKUP('Données projet'!$B$16,Paramètres!$A$1:$I$89,5,0)</f>
        <v>210.49599999999998</v>
      </c>
      <c r="FG53" s="13">
        <f t="shared" si="47"/>
        <v>52.043959291168463</v>
      </c>
      <c r="FH53" s="20">
        <f t="shared" si="22"/>
        <v>457.25709576545165</v>
      </c>
      <c r="FI53" s="59">
        <f t="shared" si="23"/>
        <v>750.59042909878497</v>
      </c>
      <c r="FJ53" s="59">
        <f ca="1">AVERAGE(OFFSET($FI$3,0,0,'Données projet'!$E$16+1,1))-AVERAGE(OFFSET($H$3,0,0,'Données projet'!$E$16+1,1))</f>
        <v>405.42845699663462</v>
      </c>
      <c r="FK53" s="59">
        <f t="shared" si="48"/>
        <v>292.26503163353146</v>
      </c>
      <c r="FL53" s="15">
        <f>IF(ISNA(VLOOKUP(A53,'Données projet'!$A$217:$I$237,3,0)),0,VLOOKUP(A53,'Données projet'!$A$217:$I$237,3,0))</f>
        <v>7</v>
      </c>
      <c r="FM53" s="15">
        <f>IF(ISNA(VLOOKUP(A53,'Données projet'!$A$217:$I$237,4,0)),0,VLOOKUP(A53,'Données projet'!$A$217:$I$237,4,0))</f>
        <v>53</v>
      </c>
      <c r="FN53" s="16">
        <f>IF(ISNA(VLOOKUP(A53,'Données projet'!$A$217:$I$237,5,0)),0%,VLOOKUP(A53,'Données projet'!$A$217:$I$237,5,0)*VLOOKUP('Données projet'!$B$16,Paramètres!$A$1:$I$89,7,0))</f>
        <v>0.31499999999999995</v>
      </c>
      <c r="FO53" s="16">
        <f>IF(ISNA(VLOOKUP(A53,'Données projet'!$A$217:$I$237,6,0)),0%,VLOOKUP(A53,'Données projet'!$A$217:$I$237,6,0)*VLOOKUP('Données projet'!$B$16,Paramètres!$A$1:$I$89,7,0))</f>
        <v>0.13500000000000001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28.397356294040407</v>
      </c>
      <c r="FR53" s="21">
        <f>EXP(-LN(2)/25)*FR52+(1-EXP(-LN(2)/25))/(LN(2)/25)*Calculateur!FM53*Calculateur!FO53*VLOOKUP('Données projet'!$B$16,Paramètres!$A$1:$I$89,3,0)*0.475*44/12</f>
        <v>32.173582406808436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60.570938700848842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352</v>
      </c>
      <c r="FX53" s="12">
        <f>VLOOKUP(A53,'Données projet'!$A$243:$I$263,9,0)</f>
        <v>17.399999999999999</v>
      </c>
      <c r="FY53" s="12">
        <f t="array" ref="FY53">INDEX(FX:FX,MIN(IF(ISNUMBER(FX53:FX249),ROW(FX53:FX249),"")))</f>
        <v>17.399999999999999</v>
      </c>
      <c r="FZ53" s="12">
        <f>IF('Données projet'!$A$244&gt;35,FZ52+FY53-GH52,IF(A53&lt;'Données projet'!$A$244,$FW$205^A53,IF(A53='Données projet'!$A$244,'Données projet'!$B$244,FZ52+FY53-GH52)))</f>
        <v>351.99999999999994</v>
      </c>
      <c r="GA53" s="17">
        <f>FZ53*VLOOKUP('Données projet'!$B$17,Paramètres!$A$1:$I$89,3,0)*VLOOKUP('Données projet'!$B$17,Paramètres!$A$1:$I$89,5,0)</f>
        <v>210.49599999999998</v>
      </c>
      <c r="GB53" s="13">
        <f t="shared" si="49"/>
        <v>52.043959291168463</v>
      </c>
      <c r="GC53" s="20">
        <f t="shared" si="25"/>
        <v>457.25709576545165</v>
      </c>
      <c r="GD53" s="59">
        <f t="shared" si="26"/>
        <v>750.59042909878497</v>
      </c>
      <c r="GE53" s="59">
        <f ca="1">AVERAGE(OFFSET($GD$3,0,0,'Données projet'!$E$17+1,1))-AVERAGE(OFFSET($H$3,0,0,'Données projet'!$E$17+1,1))</f>
        <v>405.42845699663462</v>
      </c>
      <c r="GF53" s="59">
        <f t="shared" si="50"/>
        <v>292.26503163353146</v>
      </c>
      <c r="GG53" s="15">
        <f>IF(ISNA(VLOOKUP(A53,'Données projet'!$A$243:$I$263,3,0)),0,VLOOKUP(A53,'Données projet'!$A$243:$I$263,3,0))</f>
        <v>7</v>
      </c>
      <c r="GH53" s="15">
        <f>IF(ISNA(VLOOKUP(A53,'Données projet'!$A$243:$I$263,4,0)),0,VLOOKUP(A53,'Données projet'!$A$243:$I$263,4,0))</f>
        <v>53</v>
      </c>
      <c r="GI53" s="16">
        <f>IF(ISNA(VLOOKUP(A53,'Données projet'!$A$243:$I$263,5,0)),0%,VLOOKUP(A53,'Données projet'!$A$243:$I$263,5,0)*VLOOKUP('Données projet'!$B$17,Paramètres!$A$1:$I$89,7,0))</f>
        <v>0.31499999999999995</v>
      </c>
      <c r="GJ53" s="16">
        <f>IF(ISNA(VLOOKUP(A53,'Données projet'!$A$243:$I$263,6,0)),0%,VLOOKUP(A53,'Données projet'!$A$243:$I$263,6,0)*VLOOKUP('Données projet'!$B$17,Paramètres!$A$1:$I$89,7,0))</f>
        <v>0.13500000000000001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28.397356294040407</v>
      </c>
      <c r="GM53" s="21">
        <f>EXP(-LN(2)/25)*GM52+(1-EXP(-LN(2)/25))/(LN(2)/25)*Calculateur!GH53*Calculateur!GJ53*VLOOKUP('Données projet'!$B$17,Paramètres!$A$1:$I$89,3,0)*0.475*44/12</f>
        <v>32.173582406808436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60.570938700848842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13.500000000000004</v>
      </c>
      <c r="N54" s="13">
        <f>IF('Données projet'!$A$36&gt;35,N53+M54-V53,IF(A54&lt;'Données projet'!$A$36,$K$205^A54,IF(A54='Données projet'!$A$36,'Données projet'!$B$36,N53+M54-V53)))</f>
        <v>262.9559999999999</v>
      </c>
      <c r="O54" s="13">
        <f>N54*VLOOKUP('Données projet'!$B$9,Paramètres!$A$1:$I$89,3,0)*VLOOKUP('Données projet'!$B$9,Paramètres!$A$1:$I$89,5,0)</f>
        <v>123.06340799999997</v>
      </c>
      <c r="P54" s="13">
        <f t="shared" si="33"/>
        <v>32.388437298911995</v>
      </c>
      <c r="Q54" s="20">
        <f t="shared" si="53"/>
        <v>270.74529722893834</v>
      </c>
      <c r="R54" s="59">
        <f t="shared" si="0"/>
        <v>564.07863056227166</v>
      </c>
      <c r="S54" s="59">
        <f ca="1">AVERAGE(OFFSET($R$3,0,0,'Données projet'!$E$9+1,1))-AVERAGE(OFFSET($H$3,0,0,'Données projet'!$E$9+1,1))</f>
        <v>198.26255998041</v>
      </c>
      <c r="T54" s="59">
        <f t="shared" si="34"/>
        <v>238.62101708181166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21.370229965844093</v>
      </c>
      <c r="AA54" s="21">
        <f>EXP(-LN(2)/25)*AA53+(1-EXP(-LN(2)/25))/(LN(2)/25)*Calculateur!V54*Calculateur!X54*VLOOKUP('Données projet'!$B$9,Paramètres!$A$1:$I$89,3,0)*0.475*44/12</f>
        <v>29.568572429852562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50.938802395696655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17.714285714285715</v>
      </c>
      <c r="AI54" s="13">
        <f>IF('Données projet'!$A$62&gt;35,AI53+AH54-AQ53,IF(A54&lt;'Données projet'!$A$62,$AF$205^A54,IF(A54='Données projet'!$A$62,'Données projet'!$B$62,AI53+AH54-AQ53)))</f>
        <v>446.57142857142873</v>
      </c>
      <c r="AJ54" s="13">
        <f>AI54*VLOOKUP('Données projet'!$B$10,Paramètres!$A$1:$I$89,3,0)*VLOOKUP('Données projet'!$B$10,Paramètres!$A$1:$I$89,5,0)</f>
        <v>249.63342857142865</v>
      </c>
      <c r="AK54" s="13">
        <f t="shared" si="35"/>
        <v>60.50743839573984</v>
      </c>
      <c r="AL54" s="20">
        <f t="shared" si="4"/>
        <v>540.16200996781845</v>
      </c>
      <c r="AM54" s="59">
        <f t="shared" si="5"/>
        <v>833.49534330115171</v>
      </c>
      <c r="AN54" s="59">
        <f ca="1">AVERAGE(OFFSET($AM$3,0,0,'Données projet'!$E$10+1,1))-AVERAGE(OFFSET($H$3,0,0,'Données projet'!$E$10+1,1))</f>
        <v>347.02720636703873</v>
      </c>
      <c r="AO54" s="59">
        <f t="shared" si="36"/>
        <v>394.03759949558702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25.321360783368636</v>
      </c>
      <c r="AV54" s="21">
        <f>EXP(-LN(2)/25)*AV53+(1-EXP(-LN(2)/25))/(LN(2)/25)*Calculateur!AQ54*Calculateur!AS54*VLOOKUP('Données projet'!$B$10,Paramètres!$A$1:$I$89,3,0)*0.475*44/12</f>
        <v>45.65885891592626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70.980219699294892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19.2</v>
      </c>
      <c r="BD54" s="12">
        <f>IF('Données projet'!$A$88&gt;35,BD53+BC54-BL53,IF(A54&lt;'Données projet'!$A$88,$BA$205^A54,IF(A54='Données projet'!$A$88,'Données projet'!$B$88,BD53+BC54-BL53)))</f>
        <v>386.20000000000005</v>
      </c>
      <c r="BE54" s="13">
        <f>BD54*VLOOKUP('Données projet'!$B$11,Paramètres!$A$1:$I$89,3,0)*VLOOKUP('Données projet'!$B$11,Paramètres!$A$1:$I$89,5,0)</f>
        <v>230.94760000000002</v>
      </c>
      <c r="BF54" s="13">
        <f t="shared" si="37"/>
        <v>56.487525751065782</v>
      </c>
      <c r="BG54" s="20">
        <f t="shared" si="7"/>
        <v>500.61617734977295</v>
      </c>
      <c r="BH54" s="59">
        <f t="shared" si="8"/>
        <v>793.94951068310627</v>
      </c>
      <c r="BI54" s="59">
        <f ca="1">AVERAGE(OFFSET($BH$3,0,0,'Données projet'!$E$11+1,1))-AVERAGE(OFFSET($H$3,0,0,'Données projet'!$E$11+1,1))</f>
        <v>378.75660696651238</v>
      </c>
      <c r="BJ54" s="59">
        <f t="shared" si="38"/>
        <v>371.70674704563288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29.998585373338678</v>
      </c>
      <c r="BQ54" s="21">
        <f>EXP(-LN(2)/25)*BQ53+(1-EXP(-LN(2)/25))/(LN(2)/25)*Calculateur!BL54*Calculateur!BN54*VLOOKUP('Données projet'!$B$11,Paramètres!$A$1:$I$89,3,0)*0.475*44/12</f>
        <v>39.908175364758279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69.906760738096949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2.1607142857142856</v>
      </c>
      <c r="BY54" s="12">
        <f>IF('Données projet'!$A$114&gt;35,BY53+BX54-CG53,IF(A54&lt;'Données projet'!$A$114,$BV$205^A54,IF(A54='Données projet'!$A$114,'Données projet'!$B$114,BY53+BX54-CG53)))</f>
        <v>110.19642857142868</v>
      </c>
      <c r="BZ54" s="13">
        <f>BY54*VLOOKUP('Données projet'!$B$12,Paramètres!$A$1:$I$89,3,0)*VLOOKUP('Données projet'!$B$12,Paramètres!$A$1:$I$89,5,0)</f>
        <v>111.7391785714287</v>
      </c>
      <c r="CA54" s="13">
        <f t="shared" si="39"/>
        <v>29.740373751061774</v>
      </c>
      <c r="CB54" s="20">
        <f t="shared" si="10"/>
        <v>246.41022029500422</v>
      </c>
      <c r="CC54" s="59">
        <f t="shared" si="11"/>
        <v>539.74355362833751</v>
      </c>
      <c r="CD54" s="59">
        <f ca="1">AVERAGE(OFFSET($CC$3,0,0,'Données projet'!$E$12+1,1))-AVERAGE(OFFSET($H$3,0,0,'Données projet'!$E$12+1,1))</f>
        <v>410.75375635525211</v>
      </c>
      <c r="CE54" s="59">
        <f t="shared" si="40"/>
        <v>183.55513001437367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7.875</v>
      </c>
      <c r="CT54" s="12">
        <f>IF('Données projet'!$A$140&gt;35,CT53+CS54-DB53,IF(A54&lt;'Données projet'!$A$140,$CQ$205^A54,IF(A54='Données projet'!$A$140,'Données projet'!$B$140,CT53+CS54-DB53)))</f>
        <v>123.875</v>
      </c>
      <c r="CU54" s="17">
        <f>CT54*VLOOKUP('Données projet'!$B$13,Paramètres!$A$1:$I$89,3,0)*VLOOKUP('Données projet'!$B$13,Paramètres!$A$1:$I$89,5,0)</f>
        <v>112.0821</v>
      </c>
      <c r="CV54" s="13">
        <f t="shared" si="41"/>
        <v>29.821006931508371</v>
      </c>
      <c r="CW54" s="20">
        <f t="shared" si="13"/>
        <v>247.14791123904374</v>
      </c>
      <c r="CX54" s="59">
        <f t="shared" si="14"/>
        <v>540.48124457237702</v>
      </c>
      <c r="CY54" s="59">
        <f ca="1">AVERAGE(OFFSET($CX$3,0,0,'Données projet'!$E$13+1,1))-AVERAGE(OFFSET($H$3,0,0,'Données projet'!$E$13+1,1))</f>
        <v>436.12708882925142</v>
      </c>
      <c r="CZ54" s="59">
        <f t="shared" si="42"/>
        <v>217.65884352525285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7.6664202990708983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7.6664202990708983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14.6</v>
      </c>
      <c r="DO54" s="12">
        <f>IF('Données projet'!$A$166&gt;35,DO53+DN54-DW53,IF(A54&lt;'Données projet'!$A$166,$DL$205^A54,IF(A54='Données projet'!$A$166,'Données projet'!$B$166,DO53+DN54-DW53)))</f>
        <v>392.60000000000025</v>
      </c>
      <c r="DP54" s="17">
        <f>DO54*VLOOKUP('Données projet'!$B$14,Paramètres!$A$1:$I$89,3,0)*VLOOKUP('Données projet'!$B$14,Paramètres!$A$1:$I$89,5,0)</f>
        <v>373.59816000000029</v>
      </c>
      <c r="DQ54" s="13">
        <f t="shared" si="43"/>
        <v>86.403012175700297</v>
      </c>
      <c r="DR54" s="20">
        <f t="shared" si="16"/>
        <v>801.16870820601196</v>
      </c>
      <c r="DS54" s="59">
        <f t="shared" si="17"/>
        <v>1094.5020415393453</v>
      </c>
      <c r="DT54" s="59">
        <f ca="1">AVERAGE(OFFSET($DS$3,0,0,'Données projet'!$E$14+1,1))-AVERAGE(OFFSET($H$3,0,0,'Données projet'!$E$14+1,1))</f>
        <v>735.50267870886194</v>
      </c>
      <c r="DU54" s="59">
        <f t="shared" si="44"/>
        <v>525.80345400853275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17.491791317005095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17.491791317005095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2.1607142857142856</v>
      </c>
      <c r="EJ54" s="12">
        <f>IF('Données projet'!$A$192&gt;35,EJ53+EI54-ER53,IF(A54&lt;'Données projet'!$A$192,$EG$205^A54,IF(A54='Données projet'!$A$192,'Données projet'!$B$192,EJ53+EI54-ER53)))</f>
        <v>110.19642857142868</v>
      </c>
      <c r="EK54" s="17">
        <f>EJ54*VLOOKUP('Données projet'!$B$15,Paramètres!$A$1:$I$89,3,0)*VLOOKUP('Données projet'!$B$15,Paramètres!$A$1:$I$89,5,0)</f>
        <v>70.481635714285787</v>
      </c>
      <c r="EL54" s="13">
        <f t="shared" si="45"/>
        <v>19.793016920246899</v>
      </c>
      <c r="EM54" s="20">
        <f t="shared" si="19"/>
        <v>157.22835333847775</v>
      </c>
      <c r="EN54" s="59">
        <f t="shared" si="20"/>
        <v>450.56168667181106</v>
      </c>
      <c r="EO54" s="59">
        <f ca="1">AVERAGE(OFFSET($EN$3,0,0,'Données projet'!$E$15+1,1))-AVERAGE(OFFSET($H$3,0,0,'Données projet'!$E$15+1,1))</f>
        <v>274.14900959323484</v>
      </c>
      <c r="EP54" s="59">
        <f t="shared" si="46"/>
        <v>130.44590390921582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17.625</v>
      </c>
      <c r="FE54" s="12">
        <f>IF('Données projet'!$A$218&gt;35,FE53+FD54-FM53,IF(A54&lt;'Données projet'!$A$218,$FB$205^A54,IF(A54='Données projet'!$A$218,'Données projet'!$B$218,FE53+FD54-FM53)))</f>
        <v>316.62499999999994</v>
      </c>
      <c r="FF54" s="17">
        <f>FE54*VLOOKUP('Données projet'!$B$16,Paramètres!$A$1:$I$89,3,0)*VLOOKUP('Données projet'!$B$16,Paramètres!$A$1:$I$89,5,0)</f>
        <v>189.34174999999999</v>
      </c>
      <c r="FG54" s="13">
        <f t="shared" si="47"/>
        <v>47.394393740797923</v>
      </c>
      <c r="FH54" s="20">
        <f t="shared" si="22"/>
        <v>412.31545034855634</v>
      </c>
      <c r="FI54" s="59">
        <f t="shared" si="23"/>
        <v>705.64878368188965</v>
      </c>
      <c r="FJ54" s="59">
        <f ca="1">AVERAGE(OFFSET($FI$3,0,0,'Données projet'!$E$16+1,1))-AVERAGE(OFFSET($H$3,0,0,'Données projet'!$E$16+1,1))</f>
        <v>405.42845699663462</v>
      </c>
      <c r="FK54" s="59">
        <f t="shared" si="48"/>
        <v>292.26503163353146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27.840501457791337</v>
      </c>
      <c r="FR54" s="21">
        <f>EXP(-LN(2)/25)*FR53+(1-EXP(-LN(2)/25))/(LN(2)/25)*Calculateur!FM54*Calculateur!FO54*VLOOKUP('Données projet'!$B$16,Paramètres!$A$1:$I$89,3,0)*0.475*44/12</f>
        <v>31.293794103959094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59.134295561750434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17.625</v>
      </c>
      <c r="FZ54" s="12">
        <f>IF('Données projet'!$A$244&gt;35,FZ53+FY54-GH53,IF(A54&lt;'Données projet'!$A$244,$FW$205^A54,IF(A54='Données projet'!$A$244,'Données projet'!$B$244,FZ53+FY54-GH53)))</f>
        <v>316.62499999999994</v>
      </c>
      <c r="GA54" s="17">
        <f>FZ54*VLOOKUP('Données projet'!$B$17,Paramètres!$A$1:$I$89,3,0)*VLOOKUP('Données projet'!$B$17,Paramètres!$A$1:$I$89,5,0)</f>
        <v>189.34174999999999</v>
      </c>
      <c r="GB54" s="13">
        <f t="shared" si="49"/>
        <v>47.394393740797923</v>
      </c>
      <c r="GC54" s="20">
        <f t="shared" si="25"/>
        <v>412.31545034855634</v>
      </c>
      <c r="GD54" s="59">
        <f t="shared" si="26"/>
        <v>705.64878368188965</v>
      </c>
      <c r="GE54" s="59">
        <f ca="1">AVERAGE(OFFSET($GD$3,0,0,'Données projet'!$E$17+1,1))-AVERAGE(OFFSET($H$3,0,0,'Données projet'!$E$17+1,1))</f>
        <v>405.42845699663462</v>
      </c>
      <c r="GF54" s="59">
        <f t="shared" si="50"/>
        <v>292.26503163353146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27.840501457791337</v>
      </c>
      <c r="GM54" s="21">
        <f>EXP(-LN(2)/25)*GM53+(1-EXP(-LN(2)/25))/(LN(2)/25)*Calculateur!GH54*Calculateur!GJ54*VLOOKUP('Données projet'!$B$17,Paramètres!$A$1:$I$89,3,0)*0.475*44/12</f>
        <v>31.293794103959094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59.134295561750434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13.500000000000004</v>
      </c>
      <c r="N55" s="13">
        <f>IF('Données projet'!$A$36&gt;35,N54+M55-V54,IF(A55&lt;'Données projet'!$A$36,$K$205^A55,IF(A55='Données projet'!$A$36,'Données projet'!$B$36,N54+M55-V54)))</f>
        <v>276.4559999999999</v>
      </c>
      <c r="O55" s="13">
        <f>N55*VLOOKUP('Données projet'!$B$9,Paramètres!$A$1:$I$89,3,0)*VLOOKUP('Données projet'!$B$9,Paramètres!$A$1:$I$89,5,0)</f>
        <v>129.38140799999996</v>
      </c>
      <c r="P55" s="13">
        <f t="shared" si="33"/>
        <v>33.853381227971028</v>
      </c>
      <c r="Q55" s="20">
        <f t="shared" si="53"/>
        <v>284.30059123871615</v>
      </c>
      <c r="R55" s="59">
        <f t="shared" si="0"/>
        <v>577.63392457204941</v>
      </c>
      <c r="S55" s="59">
        <f ca="1">AVERAGE(OFFSET($R$3,0,0,'Données projet'!$E$9+1,1))-AVERAGE(OFFSET($H$3,0,0,'Données projet'!$E$9+1,1))</f>
        <v>198.26255998041</v>
      </c>
      <c r="T55" s="59">
        <f t="shared" si="34"/>
        <v>238.62101708181166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20.951172790767114</v>
      </c>
      <c r="AA55" s="21">
        <f>EXP(-LN(2)/25)*AA54+(1-EXP(-LN(2)/25))/(LN(2)/25)*Calculateur!V55*Calculateur!X55*VLOOKUP('Données projet'!$B$9,Paramètres!$A$1:$I$89,3,0)*0.475*44/12</f>
        <v>28.760018261814601</v>
      </c>
      <c r="AB55" s="21">
        <f>EXP(-LN(2)/2)*AB54+(1-EXP(-LN(2)/2))/(LN(2)/2)*V55*Y55*VLOOKUP('Données projet'!$B$9,Paramètres!$A$1:$I$89,3,0)*0.475*44/12</f>
        <v>0</v>
      </c>
      <c r="AC55" s="22">
        <f t="shared" si="3"/>
        <v>49.711191052581711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17.714285714285715</v>
      </c>
      <c r="AI55" s="13">
        <f>IF('Données projet'!$A$62&gt;35,AI54+AH55-AQ54,IF(A55&lt;'Données projet'!$A$62,$AF$205^A55,IF(A55='Données projet'!$A$62,'Données projet'!$B$62,AI54+AH55-AQ54)))</f>
        <v>464.28571428571445</v>
      </c>
      <c r="AJ55" s="13">
        <f>AI55*VLOOKUP('Données projet'!$B$10,Paramètres!$A$1:$I$89,3,0)*VLOOKUP('Données projet'!$B$10,Paramètres!$A$1:$I$89,5,0)</f>
        <v>259.53571428571439</v>
      </c>
      <c r="AK55" s="13">
        <f t="shared" si="35"/>
        <v>62.623400711752197</v>
      </c>
      <c r="AL55" s="20">
        <f t="shared" si="4"/>
        <v>561.09379195392091</v>
      </c>
      <c r="AM55" s="59">
        <f t="shared" si="5"/>
        <v>854.42712528725428</v>
      </c>
      <c r="AN55" s="59">
        <f ca="1">AVERAGE(OFFSET($AM$3,0,0,'Données projet'!$E$10+1,1))-AVERAGE(OFFSET($H$3,0,0,'Données projet'!$E$10+1,1))</f>
        <v>347.02720636703873</v>
      </c>
      <c r="AO55" s="59">
        <f t="shared" si="36"/>
        <v>394.03759949558702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24.824824342911835</v>
      </c>
      <c r="AV55" s="21">
        <f>EXP(-LN(2)/25)*AV54+(1-EXP(-LN(2)/25))/(LN(2)/25)*Calculateur!AQ55*Calculateur!AS55*VLOOKUP('Données projet'!$B$10,Paramètres!$A$1:$I$89,3,0)*0.475*44/12</f>
        <v>44.410315017775218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69.235139360687057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19.2</v>
      </c>
      <c r="BD55" s="12">
        <f>IF('Données projet'!$A$88&gt;35,BD54+BC55-BL54,IF(A55&lt;'Données projet'!$A$88,$BA$205^A55,IF(A55='Données projet'!$A$88,'Données projet'!$B$88,BD54+BC55-BL54)))</f>
        <v>405.40000000000003</v>
      </c>
      <c r="BE55" s="13">
        <f>BD55*VLOOKUP('Données projet'!$B$11,Paramètres!$A$1:$I$89,3,0)*VLOOKUP('Données projet'!$B$11,Paramètres!$A$1:$I$89,5,0)</f>
        <v>242.42920000000007</v>
      </c>
      <c r="BF55" s="13">
        <f t="shared" si="37"/>
        <v>58.961877963646693</v>
      </c>
      <c r="BG55" s="20">
        <f t="shared" si="7"/>
        <v>524.92279412001812</v>
      </c>
      <c r="BH55" s="59">
        <f t="shared" si="8"/>
        <v>818.25612745335138</v>
      </c>
      <c r="BI55" s="59">
        <f ca="1">AVERAGE(OFFSET($BH$3,0,0,'Données projet'!$E$11+1,1))-AVERAGE(OFFSET($H$3,0,0,'Données projet'!$E$11+1,1))</f>
        <v>378.75660696651238</v>
      </c>
      <c r="BJ55" s="59">
        <f t="shared" si="38"/>
        <v>371.70674704563288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29.410331411497872</v>
      </c>
      <c r="BQ55" s="21">
        <f>EXP(-LN(2)/25)*BQ54+(1-EXP(-LN(2)/25))/(LN(2)/25)*Calculateur!BL55*Calculateur!BN55*VLOOKUP('Données projet'!$B$11,Paramètres!$A$1:$I$89,3,0)*0.475*44/12</f>
        <v>38.816884210729235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68.227215622227106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2.1607142857142856</v>
      </c>
      <c r="BY55" s="12">
        <f>IF('Données projet'!$A$114&gt;35,BY54+BX55-CG54,IF(A55&lt;'Données projet'!$A$114,$BV$205^A55,IF(A55='Données projet'!$A$114,'Données projet'!$B$114,BY54+BX55-CG54)))</f>
        <v>112.35714285714297</v>
      </c>
      <c r="BZ55" s="13">
        <f>BY55*VLOOKUP('Données projet'!$B$12,Paramètres!$A$1:$I$89,3,0)*VLOOKUP('Données projet'!$B$12,Paramètres!$A$1:$I$89,5,0)</f>
        <v>113.93014285714297</v>
      </c>
      <c r="CA55" s="13">
        <f t="shared" si="39"/>
        <v>30.255056541422459</v>
      </c>
      <c r="CB55" s="20">
        <f t="shared" si="10"/>
        <v>251.12255561916814</v>
      </c>
      <c r="CC55" s="59">
        <f t="shared" si="11"/>
        <v>544.45588895250148</v>
      </c>
      <c r="CD55" s="59">
        <f ca="1">AVERAGE(OFFSET($CC$3,0,0,'Données projet'!$E$12+1,1))-AVERAGE(OFFSET($H$3,0,0,'Données projet'!$E$12+1,1))</f>
        <v>410.75375635525211</v>
      </c>
      <c r="CE55" s="59">
        <f t="shared" si="40"/>
        <v>183.55513001437367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7.875</v>
      </c>
      <c r="CT55" s="12">
        <f>IF('Données projet'!$A$140&gt;35,CT54+CS55-DB54,IF(A55&lt;'Données projet'!$A$140,$CQ$205^A55,IF(A55='Données projet'!$A$140,'Données projet'!$B$140,CT54+CS55-DB54)))</f>
        <v>131.75</v>
      </c>
      <c r="CU55" s="17">
        <f>CT55*VLOOKUP('Données projet'!$B$13,Paramètres!$A$1:$I$89,3,0)*VLOOKUP('Données projet'!$B$13,Paramètres!$A$1:$I$89,5,0)</f>
        <v>119.20739999999999</v>
      </c>
      <c r="CV55" s="13">
        <f t="shared" si="41"/>
        <v>31.490067122235608</v>
      </c>
      <c r="CW55" s="20">
        <f t="shared" si="13"/>
        <v>262.46475523789366</v>
      </c>
      <c r="CX55" s="59">
        <f t="shared" si="14"/>
        <v>555.79808857122703</v>
      </c>
      <c r="CY55" s="59">
        <f ca="1">AVERAGE(OFFSET($CX$3,0,0,'Données projet'!$E$13+1,1))-AVERAGE(OFFSET($H$3,0,0,'Données projet'!$E$13+1,1))</f>
        <v>436.12708882925142</v>
      </c>
      <c r="CZ55" s="59">
        <f t="shared" si="42"/>
        <v>217.65884352525285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7.5160864730607786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7.5160864730607786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14.6</v>
      </c>
      <c r="DO55" s="12">
        <f>IF('Données projet'!$A$166&gt;35,DO54+DN55-DW54,IF(A55&lt;'Données projet'!$A$166,$DL$205^A55,IF(A55='Données projet'!$A$166,'Données projet'!$B$166,DO54+DN55-DW54)))</f>
        <v>407.20000000000027</v>
      </c>
      <c r="DP55" s="17">
        <f>DO55*VLOOKUP('Données projet'!$B$14,Paramètres!$A$1:$I$89,3,0)*VLOOKUP('Données projet'!$B$14,Paramètres!$A$1:$I$89,5,0)</f>
        <v>387.49152000000026</v>
      </c>
      <c r="DQ55" s="13">
        <f t="shared" si="43"/>
        <v>89.236092946791587</v>
      </c>
      <c r="DR55" s="20">
        <f t="shared" si="16"/>
        <v>830.30059254899572</v>
      </c>
      <c r="DS55" s="59">
        <f t="shared" si="17"/>
        <v>1123.6339258823291</v>
      </c>
      <c r="DT55" s="59">
        <f ca="1">AVERAGE(OFFSET($DS$3,0,0,'Données projet'!$E$14+1,1))-AVERAGE(OFFSET($H$3,0,0,'Données projet'!$E$14+1,1))</f>
        <v>735.50267870886194</v>
      </c>
      <c r="DU55" s="59">
        <f t="shared" si="44"/>
        <v>525.80345400853275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17.148787958217859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17.148787958217859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2.1607142857142856</v>
      </c>
      <c r="EJ55" s="12">
        <f>IF('Données projet'!$A$192&gt;35,EJ54+EI55-ER54,IF(A55&lt;'Données projet'!$A$192,$EG$205^A55,IF(A55='Données projet'!$A$192,'Données projet'!$B$192,EJ54+EI55-ER54)))</f>
        <v>112.35714285714297</v>
      </c>
      <c r="EK55" s="17">
        <f>EJ55*VLOOKUP('Données projet'!$B$15,Paramètres!$A$1:$I$89,3,0)*VLOOKUP('Données projet'!$B$15,Paramètres!$A$1:$I$89,5,0)</f>
        <v>71.863628571428649</v>
      </c>
      <c r="EL55" s="13">
        <f t="shared" si="45"/>
        <v>20.135552130578777</v>
      </c>
      <c r="EM55" s="20">
        <f t="shared" si="19"/>
        <v>160.23190638932959</v>
      </c>
      <c r="EN55" s="59">
        <f t="shared" si="20"/>
        <v>453.56523972266291</v>
      </c>
      <c r="EO55" s="59">
        <f ca="1">AVERAGE(OFFSET($EN$3,0,0,'Données projet'!$E$15+1,1))-AVERAGE(OFFSET($H$3,0,0,'Données projet'!$E$15+1,1))</f>
        <v>274.14900959323484</v>
      </c>
      <c r="EP55" s="59">
        <f t="shared" si="46"/>
        <v>130.44590390921582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17.625</v>
      </c>
      <c r="FE55" s="12">
        <f>IF('Données projet'!$A$218&gt;35,FE54+FD55-FM54,IF(A55&lt;'Données projet'!$A$218,$FB$205^A55,IF(A55='Données projet'!$A$218,'Données projet'!$B$218,FE54+FD55-FM54)))</f>
        <v>334.24999999999994</v>
      </c>
      <c r="FF55" s="17">
        <f>FE55*VLOOKUP('Données projet'!$B$16,Paramètres!$A$1:$I$89,3,0)*VLOOKUP('Données projet'!$B$16,Paramètres!$A$1:$I$89,5,0)</f>
        <v>199.88149999999996</v>
      </c>
      <c r="FG55" s="13">
        <f t="shared" si="47"/>
        <v>49.71812411377941</v>
      </c>
      <c r="FH55" s="20">
        <f t="shared" si="22"/>
        <v>434.71934533149914</v>
      </c>
      <c r="FI55" s="59">
        <f t="shared" si="23"/>
        <v>728.05267866483246</v>
      </c>
      <c r="FJ55" s="59">
        <f ca="1">AVERAGE(OFFSET($FI$3,0,0,'Données projet'!$E$16+1,1))-AVERAGE(OFFSET($H$3,0,0,'Données projet'!$E$16+1,1))</f>
        <v>405.42845699663462</v>
      </c>
      <c r="FK55" s="59">
        <f t="shared" si="48"/>
        <v>292.26503163353146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27.294566205233203</v>
      </c>
      <c r="FR55" s="21">
        <f>EXP(-LN(2)/25)*FR54+(1-EXP(-LN(2)/25))/(LN(2)/25)*Calculateur!FM55*Calculateur!FO55*VLOOKUP('Données projet'!$B$16,Paramètres!$A$1:$I$89,3,0)*0.475*44/12</f>
        <v>30.438063658517223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57.732629863750425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17.625</v>
      </c>
      <c r="FZ55" s="12">
        <f>IF('Données projet'!$A$244&gt;35,FZ54+FY55-GH54,IF(A55&lt;'Données projet'!$A$244,$FW$205^A55,IF(A55='Données projet'!$A$244,'Données projet'!$B$244,FZ54+FY55-GH54)))</f>
        <v>334.24999999999994</v>
      </c>
      <c r="GA55" s="17">
        <f>FZ55*VLOOKUP('Données projet'!$B$17,Paramètres!$A$1:$I$89,3,0)*VLOOKUP('Données projet'!$B$17,Paramètres!$A$1:$I$89,5,0)</f>
        <v>199.88149999999996</v>
      </c>
      <c r="GB55" s="13">
        <f t="shared" si="49"/>
        <v>49.71812411377941</v>
      </c>
      <c r="GC55" s="20">
        <f t="shared" si="25"/>
        <v>434.71934533149914</v>
      </c>
      <c r="GD55" s="59">
        <f t="shared" si="26"/>
        <v>728.05267866483246</v>
      </c>
      <c r="GE55" s="59">
        <f ca="1">AVERAGE(OFFSET($GD$3,0,0,'Données projet'!$E$17+1,1))-AVERAGE(OFFSET($H$3,0,0,'Données projet'!$E$17+1,1))</f>
        <v>405.42845699663462</v>
      </c>
      <c r="GF55" s="59">
        <f t="shared" si="50"/>
        <v>292.26503163353146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27.294566205233203</v>
      </c>
      <c r="GM55" s="21">
        <f>EXP(-LN(2)/25)*GM54+(1-EXP(-LN(2)/25))/(LN(2)/25)*Calculateur!GH55*Calculateur!GJ55*VLOOKUP('Données projet'!$B$17,Paramètres!$A$1:$I$89,3,0)*0.475*44/12</f>
        <v>30.438063658517223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57.732629863750425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13.500000000000004</v>
      </c>
      <c r="N56" s="13">
        <f>IF('Données projet'!$A$36&gt;35,N55+M56-V55,IF(A56&lt;'Données projet'!$A$36,$K$205^A56,IF(A56='Données projet'!$A$36,'Données projet'!$B$36,N55+M56-V55)))</f>
        <v>289.9559999999999</v>
      </c>
      <c r="O56" s="13">
        <f>N56*VLOOKUP('Données projet'!$B$9,Paramètres!$A$1:$I$89,3,0)*VLOOKUP('Données projet'!$B$9,Paramètres!$A$1:$I$89,5,0)</f>
        <v>135.69940799999995</v>
      </c>
      <c r="P56" s="13">
        <f t="shared" si="33"/>
        <v>35.310018422992826</v>
      </c>
      <c r="Q56" s="20">
        <f t="shared" si="53"/>
        <v>297.84141768671242</v>
      </c>
      <c r="R56" s="59">
        <f t="shared" si="0"/>
        <v>591.17475102004573</v>
      </c>
      <c r="S56" s="59">
        <f ca="1">AVERAGE(OFFSET($R$3,0,0,'Données projet'!$E$9+1,1))-AVERAGE(OFFSET($H$3,0,0,'Données projet'!$E$9+1,1))</f>
        <v>198.26255998041</v>
      </c>
      <c r="T56" s="59">
        <f t="shared" si="34"/>
        <v>238.62101708181166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20.540333071293755</v>
      </c>
      <c r="AA56" s="21">
        <f>EXP(-LN(2)/25)*AA55+(1-EXP(-LN(2)/25))/(LN(2)/25)*Calculateur!V56*Calculateur!X56*VLOOKUP('Données projet'!$B$9,Paramètres!$A$1:$I$89,3,0)*0.475*44/12</f>
        <v>27.973574050021654</v>
      </c>
      <c r="AB56" s="21">
        <f>EXP(-LN(2)/2)*AB55+(1-EXP(-LN(2)/2))/(LN(2)/2)*V56*Y56*VLOOKUP('Données projet'!$B$9,Paramètres!$A$1:$I$89,3,0)*0.475*44/12</f>
        <v>0</v>
      </c>
      <c r="AC56" s="22">
        <f t="shared" si="3"/>
        <v>48.513907121315412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>
        <f>VLOOKUP(A56,'Données projet'!$A$61:$I$81,2,0)</f>
        <v>482</v>
      </c>
      <c r="AG56" s="12">
        <f>VLOOKUP(A56,'Données projet'!$A$61:$I$81,9,0)</f>
        <v>17.714285714285715</v>
      </c>
      <c r="AH56" s="12">
        <f t="array" ref="AH56">INDEX(AG:AG,MIN(IF(ISNUMBER(AG56:AG252),ROW(AG56:AG252),"")))</f>
        <v>17.714285714285715</v>
      </c>
      <c r="AI56" s="13">
        <f>IF('Données projet'!$A$62&gt;35,AI55+AH56-AQ55,IF(A56&lt;'Données projet'!$A$62,$AF$205^A56,IF(A56='Données projet'!$A$62,'Données projet'!$B$62,AI55+AH56-AQ55)))</f>
        <v>482.00000000000017</v>
      </c>
      <c r="AJ56" s="13">
        <f>AI56*VLOOKUP('Données projet'!$B$10,Paramètres!$A$1:$I$89,3,0)*VLOOKUP('Données projet'!$B$10,Paramètres!$A$1:$I$89,5,0)</f>
        <v>269.4380000000001</v>
      </c>
      <c r="AK56" s="13">
        <f t="shared" si="35"/>
        <v>64.729984244002807</v>
      </c>
      <c r="AL56" s="20">
        <f t="shared" si="4"/>
        <v>582.00923922497179</v>
      </c>
      <c r="AM56" s="59">
        <f t="shared" si="5"/>
        <v>875.34257255830516</v>
      </c>
      <c r="AN56" s="59">
        <f ca="1">AVERAGE(OFFSET($AM$3,0,0,'Données projet'!$E$10+1,1))-AVERAGE(OFFSET($H$3,0,0,'Données projet'!$E$10+1,1))</f>
        <v>347.02720636703873</v>
      </c>
      <c r="AO56" s="59">
        <f t="shared" si="36"/>
        <v>394.03759949558702</v>
      </c>
      <c r="AP56" s="15">
        <f>IF(ISNA(VLOOKUP(A56,'Données projet'!$A$61:$I$81,3,0)),0,VLOOKUP(A56,'Données projet'!$A$61:$I$81,3,0))</f>
        <v>5</v>
      </c>
      <c r="AQ56" s="15">
        <f>IF(ISNA(VLOOKUP(A56,'Données projet'!$A$61:$I$81,4,0)),0,VLOOKUP(A56,'Données projet'!$A$61:$I$81,4,0))</f>
        <v>80</v>
      </c>
      <c r="AR56" s="16">
        <f>IF(ISNA(VLOOKUP(A56,'Données projet'!$A$61:$I$81,5,0)),0%,VLOOKUP(A56,'Données projet'!$A$61:$I$81,5,0)*VLOOKUP('Données projet'!$B$10,Paramètres!$A$1:$I$89,7,0))</f>
        <v>0.38500000000000001</v>
      </c>
      <c r="AS56" s="16">
        <f>IF(ISNA(VLOOKUP(A56,'Données projet'!$A$61:$I$81,6,0)),0%,VLOOKUP(A56,'Données projet'!$A$61:$I$81,6,0)*VLOOKUP('Données projet'!$B$10,Paramètres!$A$1:$I$89,7,0))</f>
        <v>0.16500000000000001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47.17775022138872</v>
      </c>
      <c r="AV56" s="21">
        <f>EXP(-LN(2)/25)*AV55+(1-EXP(-LN(2)/25))/(LN(2)/25)*Calculateur!AQ56*Calculateur!AS56*VLOOKUP('Données projet'!$B$10,Paramètres!$A$1:$I$89,3,0)*0.475*44/12</f>
        <v>52.945825549655616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100.12357577104433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19.2</v>
      </c>
      <c r="BD56" s="12">
        <f>IF('Données projet'!$A$88&gt;35,BD55+BC56-BL55,IF(A56&lt;'Données projet'!$A$88,$BA$205^A56,IF(A56='Données projet'!$A$88,'Données projet'!$B$88,BD55+BC56-BL55)))</f>
        <v>424.6</v>
      </c>
      <c r="BE56" s="13">
        <f>BD56*VLOOKUP('Données projet'!$B$11,Paramètres!$A$1:$I$89,3,0)*VLOOKUP('Données projet'!$B$11,Paramètres!$A$1:$I$89,5,0)</f>
        <v>253.91080000000005</v>
      </c>
      <c r="BF56" s="13">
        <f t="shared" si="37"/>
        <v>61.422621781167194</v>
      </c>
      <c r="BG56" s="20">
        <f t="shared" si="7"/>
        <v>549.20570960219959</v>
      </c>
      <c r="BH56" s="59">
        <f t="shared" si="8"/>
        <v>842.53904293553296</v>
      </c>
      <c r="BI56" s="59">
        <f ca="1">AVERAGE(OFFSET($BH$3,0,0,'Données projet'!$E$11+1,1))-AVERAGE(OFFSET($H$3,0,0,'Données projet'!$E$11+1,1))</f>
        <v>378.75660696651238</v>
      </c>
      <c r="BJ56" s="59">
        <f t="shared" si="38"/>
        <v>371.70674704563288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28.833612751049277</v>
      </c>
      <c r="BQ56" s="21">
        <f>EXP(-LN(2)/25)*BQ55+(1-EXP(-LN(2)/25))/(LN(2)/25)*Calculateur!BL56*Calculateur!BN56*VLOOKUP('Données projet'!$B$11,Paramètres!$A$1:$I$89,3,0)*0.475*44/12</f>
        <v>37.755434470695619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66.589047221744892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2.1607142857142856</v>
      </c>
      <c r="BY56" s="12">
        <f>IF('Données projet'!$A$114&gt;35,BY55+BX56-CG55,IF(A56&lt;'Données projet'!$A$114,$BV$205^A56,IF(A56='Données projet'!$A$114,'Données projet'!$B$114,BY55+BX56-CG55)))</f>
        <v>114.51785714285727</v>
      </c>
      <c r="BZ56" s="13">
        <f>BY56*VLOOKUP('Données projet'!$B$12,Paramètres!$A$1:$I$89,3,0)*VLOOKUP('Données projet'!$B$12,Paramètres!$A$1:$I$89,5,0)</f>
        <v>116.12110714285728</v>
      </c>
      <c r="CA56" s="13">
        <f t="shared" si="39"/>
        <v>30.768588447665518</v>
      </c>
      <c r="CB56" s="20">
        <f t="shared" si="10"/>
        <v>255.83288648682719</v>
      </c>
      <c r="CC56" s="59">
        <f t="shared" si="11"/>
        <v>549.16621982016045</v>
      </c>
      <c r="CD56" s="59">
        <f ca="1">AVERAGE(OFFSET($CC$3,0,0,'Données projet'!$E$12+1,1))-AVERAGE(OFFSET($H$3,0,0,'Données projet'!$E$12+1,1))</f>
        <v>410.75375635525211</v>
      </c>
      <c r="CE56" s="59">
        <f t="shared" si="40"/>
        <v>183.55513001437367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7.875</v>
      </c>
      <c r="CT56" s="12">
        <f>IF('Données projet'!$A$140&gt;35,CT55+CS56-DB55,IF(A56&lt;'Données projet'!$A$140,$CQ$205^A56,IF(A56='Données projet'!$A$140,'Données projet'!$B$140,CT55+CS56-DB55)))</f>
        <v>139.625</v>
      </c>
      <c r="CU56" s="17">
        <f>CT56*VLOOKUP('Données projet'!$B$13,Paramètres!$A$1:$I$89,3,0)*VLOOKUP('Données projet'!$B$13,Paramètres!$A$1:$I$89,5,0)</f>
        <v>126.33269999999999</v>
      </c>
      <c r="CV56" s="13">
        <f t="shared" si="41"/>
        <v>33.147547860677506</v>
      </c>
      <c r="CW56" s="20">
        <f t="shared" si="13"/>
        <v>277.7614316906799</v>
      </c>
      <c r="CX56" s="59">
        <f t="shared" si="14"/>
        <v>571.09476502401321</v>
      </c>
      <c r="CY56" s="59">
        <f ca="1">AVERAGE(OFFSET($CX$3,0,0,'Données projet'!$E$13+1,1))-AVERAGE(OFFSET($H$3,0,0,'Données projet'!$E$13+1,1))</f>
        <v>436.12708882925142</v>
      </c>
      <c r="CZ56" s="59">
        <f t="shared" si="42"/>
        <v>217.65884352525285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7.3687006016841377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7.3687006016841377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14.6</v>
      </c>
      <c r="DO56" s="12">
        <f>IF('Données projet'!$A$166&gt;35,DO55+DN56-DW55,IF(A56&lt;'Données projet'!$A$166,$DL$205^A56,IF(A56='Données projet'!$A$166,'Données projet'!$B$166,DO55+DN56-DW55)))</f>
        <v>421.8000000000003</v>
      </c>
      <c r="DP56" s="17">
        <f>DO56*VLOOKUP('Données projet'!$B$14,Paramètres!$A$1:$I$89,3,0)*VLOOKUP('Données projet'!$B$14,Paramètres!$A$1:$I$89,5,0)</f>
        <v>401.38488000000029</v>
      </c>
      <c r="DQ56" s="13">
        <f t="shared" si="43"/>
        <v>92.057371887115451</v>
      </c>
      <c r="DR56" s="20">
        <f t="shared" si="16"/>
        <v>859.41192203672654</v>
      </c>
      <c r="DS56" s="59">
        <f t="shared" si="17"/>
        <v>1152.7452553700598</v>
      </c>
      <c r="DT56" s="59">
        <f ca="1">AVERAGE(OFFSET($DS$3,0,0,'Données projet'!$E$14+1,1))-AVERAGE(OFFSET($H$3,0,0,'Données projet'!$E$14+1,1))</f>
        <v>735.50267870886194</v>
      </c>
      <c r="DU56" s="59">
        <f t="shared" si="44"/>
        <v>525.80345400853275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16.812510686085048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16.812510686085048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2.1607142857142856</v>
      </c>
      <c r="EJ56" s="12">
        <f>IF('Données projet'!$A$192&gt;35,EJ55+EI56-ER55,IF(A56&lt;'Données projet'!$A$192,$EG$205^A56,IF(A56='Données projet'!$A$192,'Données projet'!$B$192,EJ55+EI56-ER55)))</f>
        <v>114.51785714285727</v>
      </c>
      <c r="EK56" s="17">
        <f>EJ56*VLOOKUP('Données projet'!$B$15,Paramètres!$A$1:$I$89,3,0)*VLOOKUP('Données projet'!$B$15,Paramètres!$A$1:$I$89,5,0)</f>
        <v>73.245621428571511</v>
      </c>
      <c r="EL56" s="13">
        <f t="shared" si="45"/>
        <v>20.477321396642328</v>
      </c>
      <c r="EM56" s="20">
        <f t="shared" si="19"/>
        <v>163.23412542058077</v>
      </c>
      <c r="EN56" s="59">
        <f t="shared" si="20"/>
        <v>456.56745875391408</v>
      </c>
      <c r="EO56" s="59">
        <f ca="1">AVERAGE(OFFSET($EN$3,0,0,'Données projet'!$E$15+1,1))-AVERAGE(OFFSET($H$3,0,0,'Données projet'!$E$15+1,1))</f>
        <v>274.14900959323484</v>
      </c>
      <c r="EP56" s="59">
        <f t="shared" si="46"/>
        <v>130.44590390921582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17.625</v>
      </c>
      <c r="FE56" s="12">
        <f>IF('Données projet'!$A$218&gt;35,FE55+FD56-FM55,IF(A56&lt;'Données projet'!$A$218,$FB$205^A56,IF(A56='Données projet'!$A$218,'Données projet'!$B$218,FE55+FD56-FM55)))</f>
        <v>351.87499999999994</v>
      </c>
      <c r="FF56" s="17">
        <f>FE56*VLOOKUP('Données projet'!$B$16,Paramètres!$A$1:$I$89,3,0)*VLOOKUP('Données projet'!$B$16,Paramètres!$A$1:$I$89,5,0)</f>
        <v>210.42124999999999</v>
      </c>
      <c r="FG56" s="13">
        <f t="shared" si="47"/>
        <v>52.027628682866947</v>
      </c>
      <c r="FH56" s="20">
        <f t="shared" si="22"/>
        <v>457.09846370599325</v>
      </c>
      <c r="FI56" s="59">
        <f t="shared" si="23"/>
        <v>750.43179703932651</v>
      </c>
      <c r="FJ56" s="59">
        <f ca="1">AVERAGE(OFFSET($FI$3,0,0,'Données projet'!$E$16+1,1))-AVERAGE(OFFSET($H$3,0,0,'Données projet'!$E$16+1,1))</f>
        <v>405.42845699663462</v>
      </c>
      <c r="FK56" s="59">
        <f t="shared" si="48"/>
        <v>292.26503163353146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26.759336409990109</v>
      </c>
      <c r="FR56" s="21">
        <f>EXP(-LN(2)/25)*FR55+(1-EXP(-LN(2)/25))/(LN(2)/25)*Calculateur!FM56*Calculateur!FO56*VLOOKUP('Données projet'!$B$16,Paramètres!$A$1:$I$89,3,0)*0.475*44/12</f>
        <v>29.605733207106869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56.365069617096978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17.625</v>
      </c>
      <c r="FZ56" s="12">
        <f>IF('Données projet'!$A$244&gt;35,FZ55+FY56-GH55,IF(A56&lt;'Données projet'!$A$244,$FW$205^A56,IF(A56='Données projet'!$A$244,'Données projet'!$B$244,FZ55+FY56-GH55)))</f>
        <v>351.87499999999994</v>
      </c>
      <c r="GA56" s="17">
        <f>FZ56*VLOOKUP('Données projet'!$B$17,Paramètres!$A$1:$I$89,3,0)*VLOOKUP('Données projet'!$B$17,Paramètres!$A$1:$I$89,5,0)</f>
        <v>210.42124999999999</v>
      </c>
      <c r="GB56" s="13">
        <f t="shared" si="49"/>
        <v>52.027628682866947</v>
      </c>
      <c r="GC56" s="20">
        <f t="shared" si="25"/>
        <v>457.09846370599325</v>
      </c>
      <c r="GD56" s="59">
        <f t="shared" si="26"/>
        <v>750.43179703932651</v>
      </c>
      <c r="GE56" s="59">
        <f ca="1">AVERAGE(OFFSET($GD$3,0,0,'Données projet'!$E$17+1,1))-AVERAGE(OFFSET($H$3,0,0,'Données projet'!$E$17+1,1))</f>
        <v>405.42845699663462</v>
      </c>
      <c r="GF56" s="59">
        <f t="shared" si="50"/>
        <v>292.26503163353146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26.759336409990109</v>
      </c>
      <c r="GM56" s="21">
        <f>EXP(-LN(2)/25)*GM55+(1-EXP(-LN(2)/25))/(LN(2)/25)*Calculateur!GH56*Calculateur!GJ56*VLOOKUP('Données projet'!$B$17,Paramètres!$A$1:$I$89,3,0)*0.475*44/12</f>
        <v>29.605733207106869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56.365069617096978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13.500000000000004</v>
      </c>
      <c r="N57" s="13">
        <f>IF('Données projet'!$A$36&gt;35,N56+M57-V56,IF(A57&lt;'Données projet'!$A$36,$K$205^A57,IF(A57='Données projet'!$A$36,'Données projet'!$B$36,N56+M57-V56)))</f>
        <v>303.4559999999999</v>
      </c>
      <c r="O57" s="13">
        <f>N57*VLOOKUP('Données projet'!$B$9,Paramètres!$A$1:$I$89,3,0)*VLOOKUP('Données projet'!$B$9,Paramètres!$A$1:$I$89,5,0)</f>
        <v>142.01740799999996</v>
      </c>
      <c r="P57" s="13">
        <f t="shared" si="33"/>
        <v>36.758779803768832</v>
      </c>
      <c r="Q57" s="20">
        <f t="shared" si="53"/>
        <v>311.36852709156392</v>
      </c>
      <c r="R57" s="59">
        <f t="shared" si="0"/>
        <v>604.70186042489718</v>
      </c>
      <c r="S57" s="59">
        <f ca="1">AVERAGE(OFFSET($R$3,0,0,'Données projet'!$E$9+1,1))-AVERAGE(OFFSET($H$3,0,0,'Données projet'!$E$9+1,1))</f>
        <v>198.26255998041</v>
      </c>
      <c r="T57" s="59">
        <f t="shared" si="34"/>
        <v>238.62101708181166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20.137549668131786</v>
      </c>
      <c r="AA57" s="21">
        <f>EXP(-LN(2)/25)*AA56+(1-EXP(-LN(2)/25))/(LN(2)/25)*Calculateur!V57*Calculateur!X57*VLOOKUP('Données projet'!$B$9,Paramètres!$A$1:$I$89,3,0)*0.475*44/12</f>
        <v>27.208635196557488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47.346184864689278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16.428571428571427</v>
      </c>
      <c r="AI57" s="13">
        <f>IF('Données projet'!$A$62&gt;35,AI56+AH57-AQ56,IF(A57&lt;'Données projet'!$A$62,$AF$205^A57,IF(A57='Données projet'!$A$62,'Données projet'!$B$62,AI56+AH57-AQ56)))</f>
        <v>418.42857142857162</v>
      </c>
      <c r="AJ57" s="13">
        <f>AI57*VLOOKUP('Données projet'!$B$10,Paramètres!$A$1:$I$89,3,0)*VLOOKUP('Données projet'!$B$10,Paramètres!$A$1:$I$89,5,0)</f>
        <v>233.90157142857154</v>
      </c>
      <c r="AK57" s="13">
        <f t="shared" si="35"/>
        <v>57.125464834218377</v>
      </c>
      <c r="AL57" s="20">
        <f t="shared" si="4"/>
        <v>506.87208815769242</v>
      </c>
      <c r="AM57" s="59">
        <f t="shared" si="5"/>
        <v>800.20542149102573</v>
      </c>
      <c r="AN57" s="59">
        <f ca="1">AVERAGE(OFFSET($AM$3,0,0,'Données projet'!$E$10+1,1))-AVERAGE(OFFSET($H$3,0,0,'Données projet'!$E$10+1,1))</f>
        <v>347.02720636703873</v>
      </c>
      <c r="AO57" s="59">
        <f t="shared" si="36"/>
        <v>394.03759949558702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46.252623315133569</v>
      </c>
      <c r="AV57" s="21">
        <f>EXP(-LN(2)/25)*AV56+(1-EXP(-LN(2)/25))/(LN(2)/25)*Calculateur!AQ57*Calculateur!AS57*VLOOKUP('Données projet'!$B$10,Paramètres!$A$1:$I$89,3,0)*0.475*44/12</f>
        <v>51.498019165700327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97.750642480833903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19.2</v>
      </c>
      <c r="BD57" s="12">
        <f>IF('Données projet'!$A$88&gt;35,BD56+BC57-BL56,IF(A57&lt;'Données projet'!$A$88,$BA$205^A57,IF(A57='Données projet'!$A$88,'Données projet'!$B$88,BD56+BC57-BL56)))</f>
        <v>443.8</v>
      </c>
      <c r="BE57" s="13">
        <f>BD57*VLOOKUP('Données projet'!$B$11,Paramètres!$A$1:$I$89,3,0)*VLOOKUP('Données projet'!$B$11,Paramètres!$A$1:$I$89,5,0)</f>
        <v>265.39240000000007</v>
      </c>
      <c r="BF57" s="13">
        <f t="shared" si="37"/>
        <v>63.870442862391819</v>
      </c>
      <c r="BG57" s="20">
        <f t="shared" si="7"/>
        <v>573.46611798533252</v>
      </c>
      <c r="BH57" s="59">
        <f t="shared" si="8"/>
        <v>866.79945131866589</v>
      </c>
      <c r="BI57" s="59">
        <f ca="1">AVERAGE(OFFSET($BH$3,0,0,'Données projet'!$E$11+1,1))-AVERAGE(OFFSET($H$3,0,0,'Données projet'!$E$11+1,1))</f>
        <v>378.75660696651238</v>
      </c>
      <c r="BJ57" s="59">
        <f t="shared" si="38"/>
        <v>371.70674704563288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28.268203191768428</v>
      </c>
      <c r="BQ57" s="21">
        <f>EXP(-LN(2)/25)*BQ56+(1-EXP(-LN(2)/25))/(LN(2)/25)*Calculateur!BL57*Calculateur!BN57*VLOOKUP('Données projet'!$B$11,Paramètres!$A$1:$I$89,3,0)*0.475*44/12</f>
        <v>36.723010129622438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64.991213321390859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2.1607142857142856</v>
      </c>
      <c r="BY57" s="12">
        <f>IF('Données projet'!$A$114&gt;35,BY56+BX57-CG56,IF(A57&lt;'Données projet'!$A$114,$BV$205^A57,IF(A57='Données projet'!$A$114,'Données projet'!$B$114,BY56+BX57-CG56)))</f>
        <v>116.67857142857156</v>
      </c>
      <c r="BZ57" s="13">
        <f>BY57*VLOOKUP('Données projet'!$B$12,Paramètres!$A$1:$I$89,3,0)*VLOOKUP('Données projet'!$B$12,Paramètres!$A$1:$I$89,5,0)</f>
        <v>118.31207142857156</v>
      </c>
      <c r="CA57" s="13">
        <f t="shared" si="39"/>
        <v>31.280993688484951</v>
      </c>
      <c r="CB57" s="20">
        <f t="shared" si="10"/>
        <v>260.54125507887341</v>
      </c>
      <c r="CC57" s="59">
        <f t="shared" si="11"/>
        <v>553.87458841220678</v>
      </c>
      <c r="CD57" s="59">
        <f ca="1">AVERAGE(OFFSET($CC$3,0,0,'Données projet'!$E$12+1,1))-AVERAGE(OFFSET($H$3,0,0,'Données projet'!$E$12+1,1))</f>
        <v>410.75375635525211</v>
      </c>
      <c r="CE57" s="59">
        <f t="shared" si="40"/>
        <v>183.55513001437367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7.875</v>
      </c>
      <c r="CT57" s="12">
        <f>IF('Données projet'!$A$140&gt;35,CT56+CS57-DB56,IF(A57&lt;'Données projet'!$A$140,$CQ$205^A57,IF(A57='Données projet'!$A$140,'Données projet'!$B$140,CT56+CS57-DB56)))</f>
        <v>147.5</v>
      </c>
      <c r="CU57" s="17">
        <f>CT57*VLOOKUP('Données projet'!$B$13,Paramètres!$A$1:$I$89,3,0)*VLOOKUP('Données projet'!$B$13,Paramètres!$A$1:$I$89,5,0)</f>
        <v>133.458</v>
      </c>
      <c r="CV57" s="13">
        <f t="shared" si="41"/>
        <v>34.794176665003405</v>
      </c>
      <c r="CW57" s="20">
        <f t="shared" si="13"/>
        <v>293.03920769154757</v>
      </c>
      <c r="CX57" s="59">
        <f t="shared" si="14"/>
        <v>586.37254102488089</v>
      </c>
      <c r="CY57" s="59">
        <f ca="1">AVERAGE(OFFSET($CX$3,0,0,'Données projet'!$E$13+1,1))-AVERAGE(OFFSET($H$3,0,0,'Données projet'!$E$13+1,1))</f>
        <v>436.12708882925142</v>
      </c>
      <c r="CZ57" s="59">
        <f t="shared" si="42"/>
        <v>217.65884352525285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7.2242048773486873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7.2242048773486873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14.6</v>
      </c>
      <c r="DO57" s="12">
        <f>IF('Données projet'!$A$166&gt;35,DO56+DN57-DW56,IF(A57&lt;'Données projet'!$A$166,$DL$205^A57,IF(A57='Données projet'!$A$166,'Données projet'!$B$166,DO56+DN57-DW56)))</f>
        <v>436.40000000000032</v>
      </c>
      <c r="DP57" s="17">
        <f>DO57*VLOOKUP('Données projet'!$B$14,Paramètres!$A$1:$I$89,3,0)*VLOOKUP('Données projet'!$B$14,Paramètres!$A$1:$I$89,5,0)</f>
        <v>415.27824000000027</v>
      </c>
      <c r="DQ57" s="13">
        <f t="shared" si="43"/>
        <v>94.867304317152119</v>
      </c>
      <c r="DR57" s="20">
        <f t="shared" si="16"/>
        <v>888.503489685707</v>
      </c>
      <c r="DS57" s="59">
        <f t="shared" si="17"/>
        <v>1181.8368230190404</v>
      </c>
      <c r="DT57" s="59">
        <f ca="1">AVERAGE(OFFSET($DS$3,0,0,'Données projet'!$E$14+1,1))-AVERAGE(OFFSET($H$3,0,0,'Données projet'!$E$14+1,1))</f>
        <v>735.50267870886194</v>
      </c>
      <c r="DU57" s="59">
        <f t="shared" si="44"/>
        <v>525.80345400853275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16.482827606149879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16.482827606149879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2.1607142857142856</v>
      </c>
      <c r="EJ57" s="12">
        <f>IF('Données projet'!$A$192&gt;35,EJ56+EI57-ER56,IF(A57&lt;'Données projet'!$A$192,$EG$205^A57,IF(A57='Données projet'!$A$192,'Données projet'!$B$192,EJ56+EI57-ER56)))</f>
        <v>116.67857142857156</v>
      </c>
      <c r="EK57" s="17">
        <f>EJ57*VLOOKUP('Données projet'!$B$15,Paramètres!$A$1:$I$89,3,0)*VLOOKUP('Données projet'!$B$15,Paramètres!$A$1:$I$89,5,0)</f>
        <v>74.627614285714372</v>
      </c>
      <c r="EL57" s="13">
        <f t="shared" si="45"/>
        <v>20.818340836628337</v>
      </c>
      <c r="EM57" s="20">
        <f t="shared" si="19"/>
        <v>166.23503850474688</v>
      </c>
      <c r="EN57" s="59">
        <f t="shared" si="20"/>
        <v>459.56837183808022</v>
      </c>
      <c r="EO57" s="59">
        <f ca="1">AVERAGE(OFFSET($EN$3,0,0,'Données projet'!$E$15+1,1))-AVERAGE(OFFSET($H$3,0,0,'Données projet'!$E$15+1,1))</f>
        <v>274.14900959323484</v>
      </c>
      <c r="EP57" s="59">
        <f t="shared" si="46"/>
        <v>130.44590390921582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17.625</v>
      </c>
      <c r="FE57" s="12">
        <f>IF('Données projet'!$A$218&gt;35,FE56+FD57-FM56,IF(A57&lt;'Données projet'!$A$218,$FB$205^A57,IF(A57='Données projet'!$A$218,'Données projet'!$B$218,FE56+FD57-FM56)))</f>
        <v>369.49999999999994</v>
      </c>
      <c r="FF57" s="17">
        <f>FE57*VLOOKUP('Données projet'!$B$16,Paramètres!$A$1:$I$89,3,0)*VLOOKUP('Données projet'!$B$16,Paramètres!$A$1:$I$89,5,0)</f>
        <v>220.96099999999996</v>
      </c>
      <c r="FG57" s="13">
        <f t="shared" si="47"/>
        <v>54.323701308314696</v>
      </c>
      <c r="FH57" s="20">
        <f t="shared" si="22"/>
        <v>479.45418811198141</v>
      </c>
      <c r="FI57" s="59">
        <f t="shared" si="23"/>
        <v>772.78752144531472</v>
      </c>
      <c r="FJ57" s="59">
        <f ca="1">AVERAGE(OFFSET($FI$3,0,0,'Données projet'!$E$16+1,1))-AVERAGE(OFFSET($H$3,0,0,'Données projet'!$E$16+1,1))</f>
        <v>405.42845699663462</v>
      </c>
      <c r="FK57" s="59">
        <f t="shared" si="48"/>
        <v>292.26503163353146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26.234602144573792</v>
      </c>
      <c r="FR57" s="21">
        <f>EXP(-LN(2)/25)*FR56+(1-EXP(-LN(2)/25))/(LN(2)/25)*Calculateur!FM57*Calculateur!FO57*VLOOKUP('Données projet'!$B$16,Paramètres!$A$1:$I$89,3,0)*0.475*44/12</f>
        <v>28.796162875660688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55.030765020234483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17.625</v>
      </c>
      <c r="FZ57" s="12">
        <f>IF('Données projet'!$A$244&gt;35,FZ56+FY57-GH56,IF(A57&lt;'Données projet'!$A$244,$FW$205^A57,IF(A57='Données projet'!$A$244,'Données projet'!$B$244,FZ56+FY57-GH56)))</f>
        <v>369.49999999999994</v>
      </c>
      <c r="GA57" s="17">
        <f>FZ57*VLOOKUP('Données projet'!$B$17,Paramètres!$A$1:$I$89,3,0)*VLOOKUP('Données projet'!$B$17,Paramètres!$A$1:$I$89,5,0)</f>
        <v>220.96099999999996</v>
      </c>
      <c r="GB57" s="13">
        <f t="shared" si="49"/>
        <v>54.323701308314696</v>
      </c>
      <c r="GC57" s="20">
        <f t="shared" si="25"/>
        <v>479.45418811198141</v>
      </c>
      <c r="GD57" s="59">
        <f t="shared" si="26"/>
        <v>772.78752144531472</v>
      </c>
      <c r="GE57" s="59">
        <f ca="1">AVERAGE(OFFSET($GD$3,0,0,'Données projet'!$E$17+1,1))-AVERAGE(OFFSET($H$3,0,0,'Données projet'!$E$17+1,1))</f>
        <v>405.42845699663462</v>
      </c>
      <c r="GF57" s="59">
        <f t="shared" si="50"/>
        <v>292.26503163353146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26.234602144573792</v>
      </c>
      <c r="GM57" s="21">
        <f>EXP(-LN(2)/25)*GM56+(1-EXP(-LN(2)/25))/(LN(2)/25)*Calculateur!GH57*Calculateur!GJ57*VLOOKUP('Données projet'!$B$17,Paramètres!$A$1:$I$89,3,0)*0.475*44/12</f>
        <v>28.796162875660688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55.030765020234483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13.500000000000004</v>
      </c>
      <c r="N58" s="13">
        <f>IF('Données projet'!$A$36&gt;35,N57+M58-V57,IF(A58&lt;'Données projet'!$A$36,$K$205^A58,IF(A58='Données projet'!$A$36,'Données projet'!$B$36,N57+M58-V57)))</f>
        <v>316.9559999999999</v>
      </c>
      <c r="O58" s="13">
        <f>N58*VLOOKUP('Données projet'!$B$9,Paramètres!$A$1:$I$89,3,0)*VLOOKUP('Données projet'!$B$9,Paramètres!$A$1:$I$89,5,0)</f>
        <v>148.33540799999997</v>
      </c>
      <c r="P58" s="13">
        <f t="shared" si="33"/>
        <v>38.200055781296022</v>
      </c>
      <c r="Q58" s="20">
        <f t="shared" si="53"/>
        <v>324.88259941909052</v>
      </c>
      <c r="R58" s="59">
        <f t="shared" si="0"/>
        <v>618.2159327524239</v>
      </c>
      <c r="S58" s="59">
        <f ca="1">AVERAGE(OFFSET($R$3,0,0,'Données projet'!$E$9+1,1))-AVERAGE(OFFSET($H$3,0,0,'Données projet'!$E$9+1,1))</f>
        <v>198.26255998041</v>
      </c>
      <c r="T58" s="59">
        <f t="shared" si="34"/>
        <v>238.62101708181166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19.742664601832203</v>
      </c>
      <c r="AA58" s="21">
        <f>EXP(-LN(2)/25)*AA57+(1-EXP(-LN(2)/25))/(LN(2)/25)*Calculateur!V58*Calculateur!X58*VLOOKUP('Données projet'!$B$9,Paramètres!$A$1:$I$89,3,0)*0.475*44/12</f>
        <v>26.464613636267686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46.207278238099889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16.428571428571427</v>
      </c>
      <c r="AI58" s="13">
        <f>IF('Données projet'!$A$62&gt;35,AI57+AH58-AQ57,IF(A58&lt;'Données projet'!$A$62,$AF$205^A58,IF(A58='Données projet'!$A$62,'Données projet'!$B$62,AI57+AH58-AQ57)))</f>
        <v>434.85714285714306</v>
      </c>
      <c r="AJ58" s="13">
        <f>AI58*VLOOKUP('Données projet'!$B$10,Paramètres!$A$1:$I$89,3,0)*VLOOKUP('Données projet'!$B$10,Paramètres!$A$1:$I$89,5,0)</f>
        <v>243.08514285714296</v>
      </c>
      <c r="AK58" s="13">
        <f t="shared" si="35"/>
        <v>59.102819748715035</v>
      </c>
      <c r="AL58" s="20">
        <f t="shared" si="4"/>
        <v>526.31070153853602</v>
      </c>
      <c r="AM58" s="59">
        <f t="shared" si="5"/>
        <v>819.64403487186928</v>
      </c>
      <c r="AN58" s="59">
        <f ca="1">AVERAGE(OFFSET($AM$3,0,0,'Données projet'!$E$10+1,1))-AVERAGE(OFFSET($H$3,0,0,'Données projet'!$E$10+1,1))</f>
        <v>347.02720636703873</v>
      </c>
      <c r="AO58" s="59">
        <f t="shared" si="36"/>
        <v>394.03759949558702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45.345637583238386</v>
      </c>
      <c r="AV58" s="21">
        <f>EXP(-LN(2)/25)*AV57+(1-EXP(-LN(2)/25))/(LN(2)/25)*Calculateur!AQ58*Calculateur!AS58*VLOOKUP('Données projet'!$B$10,Paramètres!$A$1:$I$89,3,0)*0.475*44/12</f>
        <v>50.089803123451127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95.435440706689519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463</v>
      </c>
      <c r="BB58" s="12">
        <f>VLOOKUP(A58,'Données projet'!$A$87:$I$107,9,0)</f>
        <v>19.2</v>
      </c>
      <c r="BC58" s="12">
        <f t="array" ref="BC58">INDEX(BB:BB,MIN(IF(ISNUMBER(BB58:BB254),ROW(BB58:BB254),"")))</f>
        <v>19.2</v>
      </c>
      <c r="BD58" s="12">
        <f>IF('Données projet'!$A$88&gt;35,BD57+BC58-BL57,IF(A58&lt;'Données projet'!$A$88,$BA$205^A58,IF(A58='Données projet'!$A$88,'Données projet'!$B$88,BD57+BC58-BL57)))</f>
        <v>463</v>
      </c>
      <c r="BE58" s="13">
        <f>BD58*VLOOKUP('Données projet'!$B$11,Paramètres!$A$1:$I$89,3,0)*VLOOKUP('Données projet'!$B$11,Paramètres!$A$1:$I$89,5,0)</f>
        <v>276.87400000000002</v>
      </c>
      <c r="BF58" s="13">
        <f t="shared" si="37"/>
        <v>66.305964184031993</v>
      </c>
      <c r="BG58" s="20">
        <f t="shared" si="7"/>
        <v>597.7051042871891</v>
      </c>
      <c r="BH58" s="59">
        <f t="shared" si="8"/>
        <v>891.03843762052247</v>
      </c>
      <c r="BI58" s="59">
        <f ca="1">AVERAGE(OFFSET($BH$3,0,0,'Données projet'!$E$11+1,1))-AVERAGE(OFFSET($H$3,0,0,'Données projet'!$E$11+1,1))</f>
        <v>378.75660696651238</v>
      </c>
      <c r="BJ58" s="59">
        <f t="shared" si="38"/>
        <v>371.70674704563288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48</v>
      </c>
      <c r="BM58" s="16">
        <f>IF(ISNA(VLOOKUP(A58,'Données projet'!$A$87:$I$107,5,0)),0%,VLOOKUP(A58,'Données projet'!$A$87:$I$107,5,0)*VLOOKUP('Données projet'!$B$11,Paramètres!$A$1:$I$89,7,0))</f>
        <v>0.31499999999999995</v>
      </c>
      <c r="BN58" s="16">
        <f>IF(ISNA(VLOOKUP(A58,'Données projet'!$A$87:$I$107,6,0)),0%,VLOOKUP(A58,'Données projet'!$A$87:$I$107,6,0)*VLOOKUP('Données projet'!$B$11,Paramètres!$A$1:$I$89,7,0))</f>
        <v>0.13500000000000001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39.708358399694319</v>
      </c>
      <c r="BQ58" s="21">
        <f>EXP(-LN(2)/25)*BQ57+(1-EXP(-LN(2)/25))/(LN(2)/25)*Calculateur!BL58*Calculateur!BN58*VLOOKUP('Données projet'!$B$11,Paramètres!$A$1:$I$89,3,0)*0.475*44/12</f>
        <v>40.839067744755809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80.547426144450128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2.1607142857142856</v>
      </c>
      <c r="BY58" s="12">
        <f>IF('Données projet'!$A$114&gt;35,BY57+BX58-CG57,IF(A58&lt;'Données projet'!$A$114,$BV$205^A58,IF(A58='Données projet'!$A$114,'Données projet'!$B$114,BY57+BX58-CG57)))</f>
        <v>118.83928571428585</v>
      </c>
      <c r="BZ58" s="13">
        <f>BY58*VLOOKUP('Données projet'!$B$12,Paramètres!$A$1:$I$89,3,0)*VLOOKUP('Données projet'!$B$12,Paramètres!$A$1:$I$89,5,0)</f>
        <v>120.50303571428586</v>
      </c>
      <c r="CA58" s="13">
        <f t="shared" si="39"/>
        <v>31.792295534241237</v>
      </c>
      <c r="CB58" s="20">
        <f t="shared" si="10"/>
        <v>265.24770192451803</v>
      </c>
      <c r="CC58" s="59">
        <f t="shared" si="11"/>
        <v>558.58103525785134</v>
      </c>
      <c r="CD58" s="59">
        <f ca="1">AVERAGE(OFFSET($CC$3,0,0,'Données projet'!$E$12+1,1))-AVERAGE(OFFSET($H$3,0,0,'Données projet'!$E$12+1,1))</f>
        <v>410.75375635525211</v>
      </c>
      <c r="CE58" s="59">
        <f t="shared" si="40"/>
        <v>183.55513001437367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7.875</v>
      </c>
      <c r="CT58" s="12">
        <f>IF('Données projet'!$A$140&gt;35,CT57+CS58-DB57,IF(A58&lt;'Données projet'!$A$140,$CQ$205^A58,IF(A58='Données projet'!$A$140,'Données projet'!$B$140,CT57+CS58-DB57)))</f>
        <v>155.375</v>
      </c>
      <c r="CU58" s="17">
        <f>CT58*VLOOKUP('Données projet'!$B$13,Paramètres!$A$1:$I$89,3,0)*VLOOKUP('Données projet'!$B$13,Paramètres!$A$1:$I$89,5,0)</f>
        <v>140.58329999999998</v>
      </c>
      <c r="CV58" s="13">
        <f t="shared" si="41"/>
        <v>36.430598981754322</v>
      </c>
      <c r="CW58" s="20">
        <f t="shared" si="13"/>
        <v>308.29920739322205</v>
      </c>
      <c r="CX58" s="59">
        <f t="shared" si="14"/>
        <v>601.63254072655536</v>
      </c>
      <c r="CY58" s="59">
        <f ca="1">AVERAGE(OFFSET($CX$3,0,0,'Données projet'!$E$13+1,1))-AVERAGE(OFFSET($H$3,0,0,'Données projet'!$E$13+1,1))</f>
        <v>436.12708882925142</v>
      </c>
      <c r="CZ58" s="59">
        <f t="shared" si="42"/>
        <v>217.65884352525285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7.0825426260337654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7.0825426260337654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451</v>
      </c>
      <c r="DM58" s="12">
        <f>VLOOKUP(A58,'Données projet'!$A$165:$I$185,9,0)</f>
        <v>14.6</v>
      </c>
      <c r="DN58" s="12">
        <f t="array" ref="DN58">INDEX(DM:DM,MIN(IF(ISNUMBER(DM58:DM254),ROW(DM58:DM254),"")))</f>
        <v>14.6</v>
      </c>
      <c r="DO58" s="12">
        <f>IF('Données projet'!$A$166&gt;35,DO57+DN58-DW57,IF(A58&lt;'Données projet'!$A$166,$DL$205^A58,IF(A58='Données projet'!$A$166,'Données projet'!$B$166,DO57+DN58-DW57)))</f>
        <v>451.00000000000034</v>
      </c>
      <c r="DP58" s="17">
        <f>DO58*VLOOKUP('Données projet'!$B$14,Paramètres!$A$1:$I$89,3,0)*VLOOKUP('Données projet'!$B$14,Paramètres!$A$1:$I$89,5,0)</f>
        <v>429.1716000000003</v>
      </c>
      <c r="DQ58" s="13">
        <f t="shared" si="43"/>
        <v>97.66631336269846</v>
      </c>
      <c r="DR58" s="20">
        <f t="shared" si="16"/>
        <v>917.57603244003349</v>
      </c>
      <c r="DS58" s="59">
        <f t="shared" si="17"/>
        <v>1210.9093657733667</v>
      </c>
      <c r="DT58" s="59">
        <f ca="1">AVERAGE(OFFSET($DS$3,0,0,'Données projet'!$E$14+1,1))-AVERAGE(OFFSET($H$3,0,0,'Données projet'!$E$14+1,1))</f>
        <v>735.50267870886194</v>
      </c>
      <c r="DU58" s="59">
        <f t="shared" si="44"/>
        <v>525.80345400853275</v>
      </c>
      <c r="DV58" s="15">
        <f>IF(ISNA(VLOOKUP(A58,'Données projet'!$A$165:$I$185,3,0)),0,VLOOKUP(A58,'Données projet'!$A$165:$I$185,3,0))</f>
        <v>9</v>
      </c>
      <c r="DW58" s="15">
        <f>IF(ISNA(VLOOKUP(A58,'Données projet'!$A$165:$I$185,4,0)),0,VLOOKUP(A58,'Données projet'!$A$165:$I$185,4,0))</f>
        <v>52</v>
      </c>
      <c r="DX58" s="16">
        <f>IF(ISNA(VLOOKUP(A58,'Données projet'!$A$165:$I$185,5,0)),0%,VLOOKUP(A58,'Données projet'!$A$165:$I$185,5,0)*VLOOKUP('Données projet'!$B$14,Paramètres!$A$1:$I$89,7,0))</f>
        <v>0.129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23.216194743426545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23.216194743426545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2.1607142857142856</v>
      </c>
      <c r="EJ58" s="12">
        <f>IF('Données projet'!$A$192&gt;35,EJ57+EI58-ER57,IF(A58&lt;'Données projet'!$A$192,$EG$205^A58,IF(A58='Données projet'!$A$192,'Données projet'!$B$192,EJ57+EI58-ER57)))</f>
        <v>118.83928571428585</v>
      </c>
      <c r="EK58" s="17">
        <f>EJ58*VLOOKUP('Données projet'!$B$15,Paramètres!$A$1:$I$89,3,0)*VLOOKUP('Données projet'!$B$15,Paramètres!$A$1:$I$89,5,0)</f>
        <v>76.00960714285722</v>
      </c>
      <c r="EL58" s="13">
        <f t="shared" si="45"/>
        <v>21.158625937586301</v>
      </c>
      <c r="EM58" s="20">
        <f t="shared" si="19"/>
        <v>169.23467261510578</v>
      </c>
      <c r="EN58" s="59">
        <f t="shared" si="20"/>
        <v>462.56800594843912</v>
      </c>
      <c r="EO58" s="59">
        <f ca="1">AVERAGE(OFFSET($EN$3,0,0,'Données projet'!$E$15+1,1))-AVERAGE(OFFSET($H$3,0,0,'Données projet'!$E$15+1,1))</f>
        <v>274.14900959323484</v>
      </c>
      <c r="EP58" s="59">
        <f t="shared" si="46"/>
        <v>130.44590390921582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17.625</v>
      </c>
      <c r="FE58" s="12">
        <f>IF('Données projet'!$A$218&gt;35,FE57+FD58-FM57,IF(A58&lt;'Données projet'!$A$218,$FB$205^A58,IF(A58='Données projet'!$A$218,'Données projet'!$B$218,FE57+FD58-FM57)))</f>
        <v>387.12499999999994</v>
      </c>
      <c r="FF58" s="17">
        <f>FE58*VLOOKUP('Données projet'!$B$16,Paramètres!$A$1:$I$89,3,0)*VLOOKUP('Données projet'!$B$16,Paramètres!$A$1:$I$89,5,0)</f>
        <v>231.50074999999998</v>
      </c>
      <c r="FG58" s="13">
        <f t="shared" si="47"/>
        <v>56.607055837426749</v>
      </c>
      <c r="FH58" s="20">
        <f t="shared" si="22"/>
        <v>501.78776183351812</v>
      </c>
      <c r="FI58" s="59">
        <f t="shared" si="23"/>
        <v>795.12109516685143</v>
      </c>
      <c r="FJ58" s="59">
        <f ca="1">AVERAGE(OFFSET($FI$3,0,0,'Données projet'!$E$16+1,1))-AVERAGE(OFFSET($H$3,0,0,'Données projet'!$E$16+1,1))</f>
        <v>405.42845699663462</v>
      </c>
      <c r="FK58" s="59">
        <f t="shared" si="48"/>
        <v>292.26503163353146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25.72015759804599</v>
      </c>
      <c r="FR58" s="21">
        <f>EXP(-LN(2)/25)*FR57+(1-EXP(-LN(2)/25))/(LN(2)/25)*Calculateur!FM58*Calculateur!FO58*VLOOKUP('Données projet'!$B$16,Paramètres!$A$1:$I$89,3,0)*0.475*44/12</f>
        <v>28.008730287501354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53.728887885547344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17.625</v>
      </c>
      <c r="FZ58" s="12">
        <f>IF('Données projet'!$A$244&gt;35,FZ57+FY58-GH57,IF(A58&lt;'Données projet'!$A$244,$FW$205^A58,IF(A58='Données projet'!$A$244,'Données projet'!$B$244,FZ57+FY58-GH57)))</f>
        <v>387.12499999999994</v>
      </c>
      <c r="GA58" s="17">
        <f>FZ58*VLOOKUP('Données projet'!$B$17,Paramètres!$A$1:$I$89,3,0)*VLOOKUP('Données projet'!$B$17,Paramètres!$A$1:$I$89,5,0)</f>
        <v>231.50074999999998</v>
      </c>
      <c r="GB58" s="13">
        <f t="shared" si="49"/>
        <v>56.607055837426749</v>
      </c>
      <c r="GC58" s="20">
        <f t="shared" si="25"/>
        <v>501.78776183351812</v>
      </c>
      <c r="GD58" s="59">
        <f t="shared" si="26"/>
        <v>795.12109516685143</v>
      </c>
      <c r="GE58" s="59">
        <f ca="1">AVERAGE(OFFSET($GD$3,0,0,'Données projet'!$E$17+1,1))-AVERAGE(OFFSET($H$3,0,0,'Données projet'!$E$17+1,1))</f>
        <v>405.42845699663462</v>
      </c>
      <c r="GF58" s="59">
        <f t="shared" si="50"/>
        <v>292.26503163353146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25.72015759804599</v>
      </c>
      <c r="GM58" s="21">
        <f>EXP(-LN(2)/25)*GM57+(1-EXP(-LN(2)/25))/(LN(2)/25)*Calculateur!GH58*Calculateur!GJ58*VLOOKUP('Données projet'!$B$17,Paramètres!$A$1:$I$89,3,0)*0.475*44/12</f>
        <v>28.008730287501354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53.728887885547344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13.500000000000004</v>
      </c>
      <c r="N59" s="13">
        <f>IF('Données projet'!$A$36&gt;35,N58+M59-V58,IF(A59&lt;'Données projet'!$A$36,$K$205^A59,IF(A59='Données projet'!$A$36,'Données projet'!$B$36,N58+M59-V58)))</f>
        <v>330.4559999999999</v>
      </c>
      <c r="O59" s="13">
        <f>N59*VLOOKUP('Données projet'!$B$9,Paramètres!$A$1:$I$89,3,0)*VLOOKUP('Données projet'!$B$9,Paramètres!$A$1:$I$89,5,0)</f>
        <v>154.65340799999996</v>
      </c>
      <c r="P59" s="13">
        <f t="shared" si="33"/>
        <v>39.634201628177898</v>
      </c>
      <c r="Q59" s="20">
        <f t="shared" si="53"/>
        <v>338.38425343574306</v>
      </c>
      <c r="R59" s="59">
        <f t="shared" si="0"/>
        <v>631.71758676907643</v>
      </c>
      <c r="S59" s="59">
        <f ca="1">AVERAGE(OFFSET($R$3,0,0,'Données projet'!$E$9+1,1))-AVERAGE(OFFSET($H$3,0,0,'Données projet'!$E$9+1,1))</f>
        <v>198.26255998041</v>
      </c>
      <c r="T59" s="59">
        <f t="shared" si="34"/>
        <v>238.62101708181166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19.35552299082665</v>
      </c>
      <c r="AA59" s="21">
        <f>EXP(-LN(2)/25)*AA58+(1-EXP(-LN(2)/25))/(LN(2)/25)*Calculateur!V59*Calculateur!X59*VLOOKUP('Données projet'!$B$9,Paramètres!$A$1:$I$89,3,0)*0.475*44/12</f>
        <v>25.740937384670399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45.096460375497045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16.428571428571427</v>
      </c>
      <c r="AI59" s="13">
        <f>IF('Données projet'!$A$62&gt;35,AI58+AH59-AQ58,IF(A59&lt;'Données projet'!$A$62,$AF$205^A59,IF(A59='Données projet'!$A$62,'Données projet'!$B$62,AI58+AH59-AQ58)))</f>
        <v>451.2857142857145</v>
      </c>
      <c r="AJ59" s="13">
        <f>AI59*VLOOKUP('Données projet'!$B$10,Paramètres!$A$1:$I$89,3,0)*VLOOKUP('Données projet'!$B$10,Paramètres!$A$1:$I$89,5,0)</f>
        <v>252.2687142857144</v>
      </c>
      <c r="AK59" s="13">
        <f t="shared" si="35"/>
        <v>61.071496149027759</v>
      </c>
      <c r="AL59" s="20">
        <f t="shared" si="4"/>
        <v>545.73419984050929</v>
      </c>
      <c r="AM59" s="59">
        <f t="shared" si="5"/>
        <v>839.06753317384255</v>
      </c>
      <c r="AN59" s="59">
        <f ca="1">AVERAGE(OFFSET($AM$3,0,0,'Données projet'!$E$10+1,1))-AVERAGE(OFFSET($H$3,0,0,'Données projet'!$E$10+1,1))</f>
        <v>347.02720636703873</v>
      </c>
      <c r="AO59" s="59">
        <f t="shared" si="36"/>
        <v>394.03759949558702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44.456437288338996</v>
      </c>
      <c r="AV59" s="21">
        <f>EXP(-LN(2)/25)*AV58+(1-EXP(-LN(2)/25))/(LN(2)/25)*Calculateur!AQ59*Calculateur!AS59*VLOOKUP('Données projet'!$B$10,Paramètres!$A$1:$I$89,3,0)*0.475*44/12</f>
        <v>48.72009482293209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93.176532111271086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17</v>
      </c>
      <c r="BD59" s="12">
        <f>IF('Données projet'!$A$88&gt;35,BD58+BC59-BL58,IF(A59&lt;'Données projet'!$A$88,$BA$205^A59,IF(A59='Données projet'!$A$88,'Données projet'!$B$88,BD58+BC59-BL58)))</f>
        <v>432</v>
      </c>
      <c r="BE59" s="13">
        <f>BD59*VLOOKUP('Données projet'!$B$11,Paramètres!$A$1:$I$89,3,0)*VLOOKUP('Données projet'!$B$11,Paramètres!$A$1:$I$89,5,0)</f>
        <v>258.33600000000001</v>
      </c>
      <c r="BF59" s="13">
        <f t="shared" si="37"/>
        <v>62.367547966451262</v>
      </c>
      <c r="BG59" s="20">
        <f t="shared" si="7"/>
        <v>558.55867937490257</v>
      </c>
      <c r="BH59" s="59">
        <f t="shared" si="8"/>
        <v>851.89201270823582</v>
      </c>
      <c r="BI59" s="59">
        <f ca="1">AVERAGE(OFFSET($BH$3,0,0,'Données projet'!$E$11+1,1))-AVERAGE(OFFSET($H$3,0,0,'Données projet'!$E$11+1,1))</f>
        <v>378.75660696651238</v>
      </c>
      <c r="BJ59" s="59">
        <f t="shared" si="38"/>
        <v>371.70674704563288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38.929701711183441</v>
      </c>
      <c r="BQ59" s="21">
        <f>EXP(-LN(2)/25)*BQ58+(1-EXP(-LN(2)/25))/(LN(2)/25)*Calculateur!BL59*Calculateur!BN59*VLOOKUP('Données projet'!$B$11,Paramètres!$A$1:$I$89,3,0)*0.475*44/12</f>
        <v>39.722321289642231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78.652023000825665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>
        <f>VLOOKUP(A59,'Données projet'!$A$113:$I$133,2,0)</f>
        <v>121</v>
      </c>
      <c r="BW59" s="12">
        <f>VLOOKUP(A59,'Données projet'!$A$113:$I$133,9,0)</f>
        <v>2.1607142857142856</v>
      </c>
      <c r="BX59" s="12">
        <f t="array" ref="BX59">INDEX(BW:BW,MIN(IF(ISNUMBER(BW59:BW255),ROW(BW59:BW255),"")))</f>
        <v>2.1607142857142856</v>
      </c>
      <c r="BY59" s="12">
        <f>IF('Données projet'!$A$114&gt;35,BY58+BX59-CG58,IF(A59&lt;'Données projet'!$A$114,$BV$205^A59,IF(A59='Données projet'!$A$114,'Données projet'!$B$114,BY58+BX59-CG58)))</f>
        <v>121.00000000000014</v>
      </c>
      <c r="BZ59" s="13">
        <f>BY59*VLOOKUP('Données projet'!$B$12,Paramètres!$A$1:$I$89,3,0)*VLOOKUP('Données projet'!$B$12,Paramètres!$A$1:$I$89,5,0)</f>
        <v>122.69400000000014</v>
      </c>
      <c r="CA59" s="13">
        <f t="shared" si="39"/>
        <v>32.302516360650714</v>
      </c>
      <c r="CB59" s="20">
        <f t="shared" si="10"/>
        <v>269.9522659948002</v>
      </c>
      <c r="CC59" s="59">
        <f t="shared" si="11"/>
        <v>563.28559932813346</v>
      </c>
      <c r="CD59" s="59">
        <f ca="1">AVERAGE(OFFSET($CC$3,0,0,'Données projet'!$E$12+1,1))-AVERAGE(OFFSET($H$3,0,0,'Données projet'!$E$12+1,1))</f>
        <v>410.75375635525211</v>
      </c>
      <c r="CE59" s="59">
        <f t="shared" si="40"/>
        <v>183.55513001437367</v>
      </c>
      <c r="CF59" s="15">
        <f>IF(ISNA(VLOOKUP(A59,'Données projet'!$A$113:$I$133,3,0)),0,VLOOKUP(A59,'Données projet'!$A$113:$I$133,3,0))</f>
        <v>1</v>
      </c>
      <c r="CG59" s="15">
        <f>IF(ISNA(VLOOKUP(A59,'Données projet'!$A$113:$I$133,4,0)),0,VLOOKUP(A59,'Données projet'!$A$113:$I$133,4,0))</f>
        <v>29</v>
      </c>
      <c r="CH59" s="16">
        <f>IF(ISNA(VLOOKUP(A59,'Données projet'!$A$113:$I$133,5,0)),0%,VLOOKUP(A59,'Données projet'!$A$113:$I$133,5,0)*VLOOKUP('Données projet'!$B$12,Paramètres!$A$1:$I$89,7,0))</f>
        <v>0.129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4.1934625954904252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4.1934625954904252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7.875</v>
      </c>
      <c r="CT59" s="12">
        <f>IF('Données projet'!$A$140&gt;35,CT58+CS59-DB58,IF(A59&lt;'Données projet'!$A$140,$CQ$205^A59,IF(A59='Données projet'!$A$140,'Données projet'!$B$140,CT58+CS59-DB58)))</f>
        <v>163.25</v>
      </c>
      <c r="CU59" s="17">
        <f>CT59*VLOOKUP('Données projet'!$B$13,Paramètres!$A$1:$I$89,3,0)*VLOOKUP('Données projet'!$B$13,Paramètres!$A$1:$I$89,5,0)</f>
        <v>147.70859999999999</v>
      </c>
      <c r="CV59" s="13">
        <f t="shared" si="41"/>
        <v>38.057391134324966</v>
      </c>
      <c r="CW59" s="20">
        <f t="shared" si="13"/>
        <v>323.54243455894931</v>
      </c>
      <c r="CX59" s="59">
        <f t="shared" si="14"/>
        <v>616.87576789228262</v>
      </c>
      <c r="CY59" s="59">
        <f ca="1">AVERAGE(OFFSET($CX$3,0,0,'Données projet'!$E$13+1,1))-AVERAGE(OFFSET($H$3,0,0,'Données projet'!$E$13+1,1))</f>
        <v>436.12708882925142</v>
      </c>
      <c r="CZ59" s="59">
        <f t="shared" si="42"/>
        <v>217.65884352525285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6.9436582850616881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6.9436582850616881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14</v>
      </c>
      <c r="DO59" s="12">
        <f>IF('Données projet'!$A$166&gt;35,DO58+DN59-DW58,IF(A59&lt;'Données projet'!$A$166,$DL$205^A59,IF(A59='Données projet'!$A$166,'Données projet'!$B$166,DO58+DN59-DW58)))</f>
        <v>413.00000000000034</v>
      </c>
      <c r="DP59" s="17">
        <f>DO59*VLOOKUP('Données projet'!$B$14,Paramètres!$A$1:$I$89,3,0)*VLOOKUP('Données projet'!$B$14,Paramètres!$A$1:$I$89,5,0)</f>
        <v>393.01080000000036</v>
      </c>
      <c r="DQ59" s="13">
        <f t="shared" si="43"/>
        <v>90.358261784137085</v>
      </c>
      <c r="DR59" s="20">
        <f t="shared" si="16"/>
        <v>841.86778260737265</v>
      </c>
      <c r="DS59" s="59">
        <f t="shared" si="17"/>
        <v>1135.2011159407059</v>
      </c>
      <c r="DT59" s="59">
        <f ca="1">AVERAGE(OFFSET($DS$3,0,0,'Données projet'!$E$14+1,1))-AVERAGE(OFFSET($H$3,0,0,'Données projet'!$E$14+1,1))</f>
        <v>735.50267870886194</v>
      </c>
      <c r="DU59" s="59">
        <f t="shared" si="44"/>
        <v>525.80345400853275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22.760939324988513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22.760939324988513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>
        <f>VLOOKUP(A59,'Données projet'!$A$191:$I$211,2,0)</f>
        <v>121</v>
      </c>
      <c r="EH59" s="12">
        <f>VLOOKUP(A59,'Données projet'!$A$191:$I$211,9,0)</f>
        <v>2.1607142857142856</v>
      </c>
      <c r="EI59" s="12">
        <f t="array" ref="EI59">INDEX(EH:EH,MIN(IF(ISNUMBER(EH59:EH255),ROW(EH59:EH255),"")))</f>
        <v>2.1607142857142856</v>
      </c>
      <c r="EJ59" s="12">
        <f>IF('Données projet'!$A$192&gt;35,EJ58+EI59-ER58,IF(A59&lt;'Données projet'!$A$192,$EG$205^A59,IF(A59='Données projet'!$A$192,'Données projet'!$B$192,EJ58+EI59-ER58)))</f>
        <v>121.00000000000014</v>
      </c>
      <c r="EK59" s="17">
        <f>EJ59*VLOOKUP('Données projet'!$B$15,Paramètres!$A$1:$I$89,3,0)*VLOOKUP('Données projet'!$B$15,Paramètres!$A$1:$I$89,5,0)</f>
        <v>77.391600000000096</v>
      </c>
      <c r="EL59" s="13">
        <f t="shared" si="45"/>
        <v>21.498191591155969</v>
      </c>
      <c r="EM59" s="20">
        <f t="shared" si="19"/>
        <v>172.23305368793012</v>
      </c>
      <c r="EN59" s="59">
        <f t="shared" si="20"/>
        <v>465.56638702126344</v>
      </c>
      <c r="EO59" s="59">
        <f ca="1">AVERAGE(OFFSET($EN$3,0,0,'Données projet'!$E$15+1,1))-AVERAGE(OFFSET($H$3,0,0,'Données projet'!$E$15+1,1))</f>
        <v>274.14900959323484</v>
      </c>
      <c r="EP59" s="59">
        <f t="shared" si="46"/>
        <v>130.44590390921582</v>
      </c>
      <c r="EQ59" s="15">
        <f>IF(ISNA(VLOOKUP(A59,'Données projet'!$A$191:$I$211,3,0)),0,VLOOKUP(A59,'Données projet'!$A$191:$I$211,3,0))</f>
        <v>1</v>
      </c>
      <c r="ER59" s="15">
        <f>IF(ISNA(VLOOKUP(A59,'Données projet'!$A$191:$I$211,4,0)),0,VLOOKUP(A59,'Données projet'!$A$191:$I$211,4,0))</f>
        <v>29</v>
      </c>
      <c r="ES59" s="16">
        <f>IF(ISNA(VLOOKUP(A59,'Données projet'!$A$191:$I$211,5,0)),0%,VLOOKUP(A59,'Données projet'!$A$191:$I$211,5,0)*VLOOKUP('Données projet'!$B$15,Paramètres!$A$1:$I$89,7,0))</f>
        <v>0.129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2.6451071756170372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2.6451071756170372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17.625</v>
      </c>
      <c r="FE59" s="12">
        <f>IF('Données projet'!$A$218&gt;35,FE58+FD59-FM58,IF(A59&lt;'Données projet'!$A$218,$FB$205^A59,IF(A59='Données projet'!$A$218,'Données projet'!$B$218,FE58+FD59-FM58)))</f>
        <v>404.74999999999994</v>
      </c>
      <c r="FF59" s="17">
        <f>FE59*VLOOKUP('Données projet'!$B$16,Paramètres!$A$1:$I$89,3,0)*VLOOKUP('Données projet'!$B$16,Paramètres!$A$1:$I$89,5,0)</f>
        <v>242.04049999999998</v>
      </c>
      <c r="FG59" s="13">
        <f t="shared" si="47"/>
        <v>58.878337443371535</v>
      </c>
      <c r="FH59" s="20">
        <f t="shared" si="22"/>
        <v>524.10030854720526</v>
      </c>
      <c r="FI59" s="59">
        <f t="shared" si="23"/>
        <v>817.43364188053852</v>
      </c>
      <c r="FJ59" s="59">
        <f ca="1">AVERAGE(OFFSET($FI$3,0,0,'Données projet'!$E$16+1,1))-AVERAGE(OFFSET($H$3,0,0,'Données projet'!$E$16+1,1))</f>
        <v>405.42845699663462</v>
      </c>
      <c r="FK59" s="59">
        <f t="shared" si="48"/>
        <v>292.26503163353146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25.215800995295407</v>
      </c>
      <c r="FR59" s="21">
        <f>EXP(-LN(2)/25)*FR58+(1-EXP(-LN(2)/25))/(LN(2)/25)*Calculateur!FM59*Calculateur!FO59*VLOOKUP('Données projet'!$B$16,Paramètres!$A$1:$I$89,3,0)*0.475*44/12</f>
        <v>27.24283008487452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52.458631080169923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17.625</v>
      </c>
      <c r="FZ59" s="12">
        <f>IF('Données projet'!$A$244&gt;35,FZ58+FY59-GH58,IF(A59&lt;'Données projet'!$A$244,$FW$205^A59,IF(A59='Données projet'!$A$244,'Données projet'!$B$244,FZ58+FY59-GH58)))</f>
        <v>404.74999999999994</v>
      </c>
      <c r="GA59" s="17">
        <f>FZ59*VLOOKUP('Données projet'!$B$17,Paramètres!$A$1:$I$89,3,0)*VLOOKUP('Données projet'!$B$17,Paramètres!$A$1:$I$89,5,0)</f>
        <v>242.04049999999998</v>
      </c>
      <c r="GB59" s="13">
        <f t="shared" si="49"/>
        <v>58.878337443371535</v>
      </c>
      <c r="GC59" s="20">
        <f t="shared" si="25"/>
        <v>524.10030854720526</v>
      </c>
      <c r="GD59" s="59">
        <f t="shared" si="26"/>
        <v>817.43364188053852</v>
      </c>
      <c r="GE59" s="59">
        <f ca="1">AVERAGE(OFFSET($GD$3,0,0,'Données projet'!$E$17+1,1))-AVERAGE(OFFSET($H$3,0,0,'Données projet'!$E$17+1,1))</f>
        <v>405.42845699663462</v>
      </c>
      <c r="GF59" s="59">
        <f t="shared" si="50"/>
        <v>292.26503163353146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25.215800995295407</v>
      </c>
      <c r="GM59" s="21">
        <f>EXP(-LN(2)/25)*GM58+(1-EXP(-LN(2)/25))/(LN(2)/25)*Calculateur!GH59*Calculateur!GJ59*VLOOKUP('Données projet'!$B$17,Paramètres!$A$1:$I$89,3,0)*0.475*44/12</f>
        <v>27.24283008487452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52.458631080169923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13.500000000000004</v>
      </c>
      <c r="N60" s="13">
        <f>IF('Données projet'!$A$36&gt;35,N59+M60-V59,IF(A60&lt;'Données projet'!$A$36,$K$205^A60,IF(A60='Données projet'!$A$36,'Données projet'!$B$36,N59+M60-V59)))</f>
        <v>343.9559999999999</v>
      </c>
      <c r="O60" s="13">
        <f>N60*VLOOKUP('Données projet'!$B$9,Paramètres!$A$1:$I$89,3,0)*VLOOKUP('Données projet'!$B$9,Paramètres!$A$1:$I$89,5,0)</f>
        <v>160.97140799999997</v>
      </c>
      <c r="P60" s="13">
        <f t="shared" si="33"/>
        <v>41.061541946729591</v>
      </c>
      <c r="Q60" s="20">
        <f t="shared" si="53"/>
        <v>351.87405449055399</v>
      </c>
      <c r="R60" s="59">
        <f t="shared" si="0"/>
        <v>645.2073878238873</v>
      </c>
      <c r="S60" s="59">
        <f ca="1">AVERAGE(OFFSET($R$3,0,0,'Données projet'!$E$9+1,1))-AVERAGE(OFFSET($H$3,0,0,'Données projet'!$E$9+1,1))</f>
        <v>198.26255998041</v>
      </c>
      <c r="T60" s="59">
        <f t="shared" si="34"/>
        <v>238.62101708181166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18.975972990679846</v>
      </c>
      <c r="AA60" s="21">
        <f>EXP(-LN(2)/25)*AA59+(1-EXP(-LN(2)/25))/(LN(2)/25)*Calculateur!V60*Calculateur!X60*VLOOKUP('Données projet'!$B$9,Paramètres!$A$1:$I$89,3,0)*0.475*44/12</f>
        <v>25.037050098229521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44.013023088909364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16.428571428571427</v>
      </c>
      <c r="AI60" s="13">
        <f>IF('Données projet'!$A$62&gt;35,AI59+AH60-AQ59,IF(A60&lt;'Données projet'!$A$62,$AF$205^A60,IF(A60='Données projet'!$A$62,'Données projet'!$B$62,AI59+AH60-AQ59)))</f>
        <v>467.71428571428595</v>
      </c>
      <c r="AJ60" s="13">
        <f>AI60*VLOOKUP('Données projet'!$B$10,Paramètres!$A$1:$I$89,3,0)*VLOOKUP('Données projet'!$B$10,Paramètres!$A$1:$I$89,5,0)</f>
        <v>261.45228571428589</v>
      </c>
      <c r="AK60" s="13">
        <f t="shared" si="35"/>
        <v>63.031846153602828</v>
      </c>
      <c r="AL60" s="20">
        <f t="shared" si="4"/>
        <v>565.14319633657283</v>
      </c>
      <c r="AM60" s="59">
        <f t="shared" si="5"/>
        <v>858.47652966990609</v>
      </c>
      <c r="AN60" s="59">
        <f ca="1">AVERAGE(OFFSET($AM$3,0,0,'Données projet'!$E$10+1,1))-AVERAGE(OFFSET($H$3,0,0,'Données projet'!$E$10+1,1))</f>
        <v>347.02720636703873</v>
      </c>
      <c r="AO60" s="59">
        <f t="shared" si="36"/>
        <v>394.03759949558702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43.584673668863957</v>
      </c>
      <c r="AV60" s="21">
        <f>EXP(-LN(2)/25)*AV59+(1-EXP(-LN(2)/25))/(LN(2)/25)*Calculateur!AQ60*Calculateur!AS60*VLOOKUP('Données projet'!$B$10,Paramètres!$A$1:$I$89,3,0)*0.475*44/12</f>
        <v>47.387841267920578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90.972514936784535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17</v>
      </c>
      <c r="BD60" s="12">
        <f>IF('Données projet'!$A$88&gt;35,BD59+BC60-BL59,IF(A60&lt;'Données projet'!$A$88,$BA$205^A60,IF(A60='Données projet'!$A$88,'Données projet'!$B$88,BD59+BC60-BL59)))</f>
        <v>449</v>
      </c>
      <c r="BE60" s="13">
        <f>BD60*VLOOKUP('Données projet'!$B$11,Paramètres!$A$1:$I$89,3,0)*VLOOKUP('Données projet'!$B$11,Paramètres!$A$1:$I$89,5,0)</f>
        <v>268.50200000000001</v>
      </c>
      <c r="BF60" s="13">
        <f t="shared" si="37"/>
        <v>64.531253013339168</v>
      </c>
      <c r="BG60" s="20">
        <f t="shared" si="7"/>
        <v>580.03291566489895</v>
      </c>
      <c r="BH60" s="59">
        <f t="shared" si="8"/>
        <v>873.36624899823232</v>
      </c>
      <c r="BI60" s="59">
        <f ca="1">AVERAGE(OFFSET($BH$3,0,0,'Données projet'!$E$11+1,1))-AVERAGE(OFFSET($H$3,0,0,'Données projet'!$E$11+1,1))</f>
        <v>378.75660696651238</v>
      </c>
      <c r="BJ60" s="59">
        <f t="shared" si="38"/>
        <v>371.70674704563288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38.166314005400572</v>
      </c>
      <c r="BQ60" s="21">
        <f>EXP(-LN(2)/25)*BQ59+(1-EXP(-LN(2)/25))/(LN(2)/25)*Calculateur!BL60*Calculateur!BN60*VLOOKUP('Données projet'!$B$11,Paramètres!$A$1:$I$89,3,0)*0.475*44/12</f>
        <v>38.636112325070876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76.802426330471448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5.625</v>
      </c>
      <c r="BY60" s="12">
        <f>IF('Données projet'!$A$114&gt;35,BY59+BX60-CG59,IF(A60&lt;'Données projet'!$A$114,$BV$205^A60,IF(A60='Données projet'!$A$114,'Données projet'!$B$114,BY59+BX60-CG59)))</f>
        <v>97.625000000000142</v>
      </c>
      <c r="BZ60" s="13">
        <f>BY60*VLOOKUP('Données projet'!$B$12,Paramètres!$A$1:$I$89,3,0)*VLOOKUP('Données projet'!$B$12,Paramètres!$A$1:$I$89,5,0)</f>
        <v>98.991750000000152</v>
      </c>
      <c r="CA60" s="13">
        <f t="shared" si="39"/>
        <v>26.721654406893734</v>
      </c>
      <c r="CB60" s="20">
        <f t="shared" si="10"/>
        <v>218.95084600867349</v>
      </c>
      <c r="CC60" s="59">
        <f t="shared" si="11"/>
        <v>512.28417934200684</v>
      </c>
      <c r="CD60" s="59">
        <f ca="1">AVERAGE(OFFSET($CC$3,0,0,'Données projet'!$E$12+1,1))-AVERAGE(OFFSET($H$3,0,0,'Données projet'!$E$12+1,1))</f>
        <v>410.75375635525211</v>
      </c>
      <c r="CE60" s="59">
        <f t="shared" si="40"/>
        <v>183.55513001437367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4.1112313517524832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4.1112313517524832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7.875</v>
      </c>
      <c r="CT60" s="12">
        <f>IF('Données projet'!$A$140&gt;35,CT59+CS60-DB59,IF(A60&lt;'Données projet'!$A$140,$CQ$205^A60,IF(A60='Données projet'!$A$140,'Données projet'!$B$140,CT59+CS60-DB59)))</f>
        <v>171.125</v>
      </c>
      <c r="CU60" s="17">
        <f>CT60*VLOOKUP('Données projet'!$B$13,Paramètres!$A$1:$I$89,3,0)*VLOOKUP('Données projet'!$B$13,Paramètres!$A$1:$I$89,5,0)</f>
        <v>154.8339</v>
      </c>
      <c r="CV60" s="13">
        <f t="shared" si="41"/>
        <v>39.675070702121111</v>
      </c>
      <c r="CW60" s="20">
        <f t="shared" si="13"/>
        <v>338.76979063952757</v>
      </c>
      <c r="CX60" s="59">
        <f t="shared" si="14"/>
        <v>632.10312397286089</v>
      </c>
      <c r="CY60" s="59">
        <f ca="1">AVERAGE(OFFSET($CX$3,0,0,'Données projet'!$E$13+1,1))-AVERAGE(OFFSET($H$3,0,0,'Données projet'!$E$13+1,1))</f>
        <v>436.12708882925142</v>
      </c>
      <c r="CZ60" s="59">
        <f t="shared" si="42"/>
        <v>217.65884352525285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6.8074973813049899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6.8074973813049899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14</v>
      </c>
      <c r="DO60" s="12">
        <f>IF('Données projet'!$A$166&gt;35,DO59+DN60-DW59,IF(A60&lt;'Données projet'!$A$166,$DL$205^A60,IF(A60='Données projet'!$A$166,'Données projet'!$B$166,DO59+DN60-DW59)))</f>
        <v>427.00000000000034</v>
      </c>
      <c r="DP60" s="17">
        <f>DO60*VLOOKUP('Données projet'!$B$14,Paramètres!$A$1:$I$89,3,0)*VLOOKUP('Données projet'!$B$14,Paramètres!$A$1:$I$89,5,0)</f>
        <v>406.33320000000032</v>
      </c>
      <c r="DQ60" s="13">
        <f t="shared" si="43"/>
        <v>93.05944809845434</v>
      </c>
      <c r="DR60" s="20">
        <f t="shared" si="16"/>
        <v>869.77552877147502</v>
      </c>
      <c r="DS60" s="59">
        <f t="shared" si="17"/>
        <v>1163.1088621048084</v>
      </c>
      <c r="DT60" s="59">
        <f ca="1">AVERAGE(OFFSET($DS$3,0,0,'Données projet'!$E$14+1,1))-AVERAGE(OFFSET($H$3,0,0,'Données projet'!$E$14+1,1))</f>
        <v>735.50267870886194</v>
      </c>
      <c r="DU60" s="59">
        <f t="shared" si="44"/>
        <v>525.80345400853275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22.314611187627662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22.314611187627662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5.625</v>
      </c>
      <c r="EJ60" s="12">
        <f>IF('Données projet'!$A$192&gt;35,EJ59+EI60-ER59,IF(A60&lt;'Données projet'!$A$192,$EG$205^A60,IF(A60='Données projet'!$A$192,'Données projet'!$B$192,EJ59+EI60-ER59)))</f>
        <v>97.625000000000142</v>
      </c>
      <c r="EK60" s="17">
        <f>EJ60*VLOOKUP('Données projet'!$B$15,Paramètres!$A$1:$I$89,3,0)*VLOOKUP('Données projet'!$B$15,Paramètres!$A$1:$I$89,5,0)</f>
        <v>62.440950000000086</v>
      </c>
      <c r="EL60" s="13">
        <f t="shared" si="45"/>
        <v>17.783978178611658</v>
      </c>
      <c r="EM60" s="20">
        <f t="shared" si="19"/>
        <v>139.72508324441546</v>
      </c>
      <c r="EN60" s="59">
        <f t="shared" si="20"/>
        <v>433.05841657774874</v>
      </c>
      <c r="EO60" s="59">
        <f ca="1">AVERAGE(OFFSET($EN$3,0,0,'Données projet'!$E$15+1,1))-AVERAGE(OFFSET($H$3,0,0,'Données projet'!$E$15+1,1))</f>
        <v>274.14900959323484</v>
      </c>
      <c r="EP60" s="59">
        <f t="shared" si="46"/>
        <v>130.44590390921582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2.5932382372592584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2.5932382372592584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17.625</v>
      </c>
      <c r="FE60" s="12">
        <f>IF('Données projet'!$A$218&gt;35,FE59+FD60-FM59,IF(A60&lt;'Données projet'!$A$218,$FB$205^A60,IF(A60='Données projet'!$A$218,'Données projet'!$B$218,FE59+FD60-FM59)))</f>
        <v>422.37499999999994</v>
      </c>
      <c r="FF60" s="17">
        <f>FE60*VLOOKUP('Données projet'!$B$16,Paramètres!$A$1:$I$89,3,0)*VLOOKUP('Données projet'!$B$16,Paramètres!$A$1:$I$89,5,0)</f>
        <v>252.58025000000001</v>
      </c>
      <c r="FG60" s="13">
        <f t="shared" si="47"/>
        <v>61.138131933251593</v>
      </c>
      <c r="FH60" s="20">
        <f t="shared" si="22"/>
        <v>546.39284853374647</v>
      </c>
      <c r="FI60" s="59">
        <f t="shared" si="23"/>
        <v>839.72618186707973</v>
      </c>
      <c r="FJ60" s="59">
        <f ca="1">AVERAGE(OFFSET($FI$3,0,0,'Données projet'!$E$16+1,1))-AVERAGE(OFFSET($H$3,0,0,'Données projet'!$E$16+1,1))</f>
        <v>405.42845699663462</v>
      </c>
      <c r="FK60" s="59">
        <f t="shared" si="48"/>
        <v>292.26503163353146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24.72133451789761</v>
      </c>
      <c r="FR60" s="21">
        <f>EXP(-LN(2)/25)*FR59+(1-EXP(-LN(2)/25))/(LN(2)/25)*Calculateur!FM60*Calculateur!FO60*VLOOKUP('Données projet'!$B$16,Paramètres!$A$1:$I$89,3,0)*0.475*44/12</f>
        <v>26.497873463565455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51.219207981463065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17.625</v>
      </c>
      <c r="FZ60" s="12">
        <f>IF('Données projet'!$A$244&gt;35,FZ59+FY60-GH59,IF(A60&lt;'Données projet'!$A$244,$FW$205^A60,IF(A60='Données projet'!$A$244,'Données projet'!$B$244,FZ59+FY60-GH59)))</f>
        <v>422.37499999999994</v>
      </c>
      <c r="GA60" s="17">
        <f>FZ60*VLOOKUP('Données projet'!$B$17,Paramètres!$A$1:$I$89,3,0)*VLOOKUP('Données projet'!$B$17,Paramètres!$A$1:$I$89,5,0)</f>
        <v>252.58025000000001</v>
      </c>
      <c r="GB60" s="13">
        <f t="shared" si="49"/>
        <v>61.138131933251593</v>
      </c>
      <c r="GC60" s="20">
        <f t="shared" si="25"/>
        <v>546.39284853374647</v>
      </c>
      <c r="GD60" s="59">
        <f t="shared" si="26"/>
        <v>839.72618186707973</v>
      </c>
      <c r="GE60" s="59">
        <f ca="1">AVERAGE(OFFSET($GD$3,0,0,'Données projet'!$E$17+1,1))-AVERAGE(OFFSET($H$3,0,0,'Données projet'!$E$17+1,1))</f>
        <v>405.42845699663462</v>
      </c>
      <c r="GF60" s="59">
        <f t="shared" si="50"/>
        <v>292.26503163353146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24.72133451789761</v>
      </c>
      <c r="GM60" s="21">
        <f>EXP(-LN(2)/25)*GM59+(1-EXP(-LN(2)/25))/(LN(2)/25)*Calculateur!GH60*Calculateur!GJ60*VLOOKUP('Données projet'!$B$17,Paramètres!$A$1:$I$89,3,0)*0.475*44/12</f>
        <v>26.497873463565455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51.219207981463065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13.500000000000004</v>
      </c>
      <c r="N61" s="13">
        <f>IF('Données projet'!$A$36&gt;35,N60+M61-V60,IF(A61&lt;'Données projet'!$A$36,$K$205^A61,IF(A61='Données projet'!$A$36,'Données projet'!$B$36,N60+M61-V60)))</f>
        <v>357.4559999999999</v>
      </c>
      <c r="O61" s="13">
        <f>N61*VLOOKUP('Données projet'!$B$9,Paramètres!$A$1:$I$89,3,0)*VLOOKUP('Données projet'!$B$9,Paramètres!$A$1:$I$89,5,0)</f>
        <v>167.28940799999995</v>
      </c>
      <c r="P61" s="13">
        <f t="shared" si="33"/>
        <v>42.482374415866772</v>
      </c>
      <c r="Q61" s="20">
        <f t="shared" si="53"/>
        <v>365.35252104096782</v>
      </c>
      <c r="R61" s="59">
        <f t="shared" si="0"/>
        <v>658.68585437430113</v>
      </c>
      <c r="S61" s="59">
        <f ca="1">AVERAGE(OFFSET($R$3,0,0,'Données projet'!$E$9+1,1))-AVERAGE(OFFSET($H$3,0,0,'Données projet'!$E$9+1,1))</f>
        <v>198.26255998041</v>
      </c>
      <c r="T61" s="59">
        <f t="shared" si="34"/>
        <v>238.62101708181166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18.603865734533283</v>
      </c>
      <c r="AA61" s="21">
        <f>EXP(-LN(2)/25)*AA60+(1-EXP(-LN(2)/25))/(LN(2)/25)*Calculateur!V61*Calculateur!X61*VLOOKUP('Données projet'!$B$9,Paramètres!$A$1:$I$89,3,0)*0.475*44/12</f>
        <v>24.352410646652192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42.956276381185475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16.428571428571427</v>
      </c>
      <c r="AI61" s="13">
        <f>IF('Données projet'!$A$62&gt;35,AI60+AH61-AQ60,IF(A61&lt;'Données projet'!$A$62,$AF$205^A61,IF(A61='Données projet'!$A$62,'Données projet'!$B$62,AI60+AH61-AQ60)))</f>
        <v>484.14285714285739</v>
      </c>
      <c r="AJ61" s="13">
        <f>AI61*VLOOKUP('Données projet'!$B$10,Paramètres!$A$1:$I$89,3,0)*VLOOKUP('Données projet'!$B$10,Paramètres!$A$1:$I$89,5,0)</f>
        <v>270.63585714285728</v>
      </c>
      <c r="AK61" s="13">
        <f t="shared" si="35"/>
        <v>64.98419574180447</v>
      </c>
      <c r="AL61" s="20">
        <f t="shared" si="4"/>
        <v>584.53825877411907</v>
      </c>
      <c r="AM61" s="59">
        <f t="shared" si="5"/>
        <v>877.87159210745244</v>
      </c>
      <c r="AN61" s="59">
        <f ca="1">AVERAGE(OFFSET($AM$3,0,0,'Données projet'!$E$10+1,1))-AVERAGE(OFFSET($H$3,0,0,'Données projet'!$E$10+1,1))</f>
        <v>347.02720636703873</v>
      </c>
      <c r="AO61" s="59">
        <f t="shared" si="36"/>
        <v>394.03759949558702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42.730004802243521</v>
      </c>
      <c r="AV61" s="21">
        <f>EXP(-LN(2)/25)*AV60+(1-EXP(-LN(2)/25))/(LN(2)/25)*Calculateur!AQ61*Calculateur!AS61*VLOOKUP('Données projet'!$B$10,Paramètres!$A$1:$I$89,3,0)*0.475*44/12</f>
        <v>46.092018256431025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88.822023058674546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17</v>
      </c>
      <c r="BD61" s="12">
        <f>IF('Données projet'!$A$88&gt;35,BD60+BC61-BL60,IF(A61&lt;'Données projet'!$A$88,$BA$205^A61,IF(A61='Données projet'!$A$88,'Données projet'!$B$88,BD60+BC61-BL60)))</f>
        <v>466</v>
      </c>
      <c r="BE61" s="13">
        <f>BD61*VLOOKUP('Données projet'!$B$11,Paramètres!$A$1:$I$89,3,0)*VLOOKUP('Données projet'!$B$11,Paramètres!$A$1:$I$89,5,0)</f>
        <v>278.66800000000001</v>
      </c>
      <c r="BF61" s="13">
        <f t="shared" si="37"/>
        <v>66.685440917424543</v>
      </c>
      <c r="BG61" s="20">
        <f t="shared" si="7"/>
        <v>601.49057626451452</v>
      </c>
      <c r="BH61" s="59">
        <f t="shared" si="8"/>
        <v>894.82390959784789</v>
      </c>
      <c r="BI61" s="59">
        <f ca="1">AVERAGE(OFFSET($BH$3,0,0,'Données projet'!$E$11+1,1))-AVERAGE(OFFSET($H$3,0,0,'Données projet'!$E$11+1,1))</f>
        <v>378.75660696651238</v>
      </c>
      <c r="BJ61" s="59">
        <f t="shared" si="38"/>
        <v>371.70674704563288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37.417895866907585</v>
      </c>
      <c r="BQ61" s="21">
        <f>EXP(-LN(2)/25)*BQ60+(1-EXP(-LN(2)/25))/(LN(2)/25)*Calculateur!BL61*Calculateur!BN61*VLOOKUP('Données projet'!$B$11,Paramètres!$A$1:$I$89,3,0)*0.475*44/12</f>
        <v>37.579605801756969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74.997501668664555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5.625</v>
      </c>
      <c r="BY61" s="12">
        <f>IF('Données projet'!$A$114&gt;35,BY60+BX61-CG60,IF(A61&lt;'Données projet'!$A$114,$BV$205^A61,IF(A61='Données projet'!$A$114,'Données projet'!$B$114,BY60+BX61-CG60)))</f>
        <v>103.25000000000014</v>
      </c>
      <c r="BZ61" s="13">
        <f>BY61*VLOOKUP('Données projet'!$B$12,Paramètres!$A$1:$I$89,3,0)*VLOOKUP('Données projet'!$B$12,Paramètres!$A$1:$I$89,5,0)</f>
        <v>104.69550000000015</v>
      </c>
      <c r="CA61" s="13">
        <f t="shared" si="39"/>
        <v>28.077630807961086</v>
      </c>
      <c r="CB61" s="20">
        <f t="shared" si="10"/>
        <v>231.24653615719913</v>
      </c>
      <c r="CC61" s="59">
        <f t="shared" si="11"/>
        <v>524.57986949053247</v>
      </c>
      <c r="CD61" s="59">
        <f ca="1">AVERAGE(OFFSET($CC$3,0,0,'Données projet'!$E$12+1,1))-AVERAGE(OFFSET($H$3,0,0,'Données projet'!$E$12+1,1))</f>
        <v>410.75375635525211</v>
      </c>
      <c r="CE61" s="59">
        <f t="shared" si="40"/>
        <v>183.55513001437367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4.0306126125481363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4.0306126125481363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>
        <f>VLOOKUP(A61,'Données projet'!$A$139:$I$159,2,0)</f>
        <v>179</v>
      </c>
      <c r="CR61" s="12">
        <f>VLOOKUP(A61,'Données projet'!$A$139:$I$159,9,0)</f>
        <v>7.875</v>
      </c>
      <c r="CS61" s="12">
        <f t="array" ref="CS61">INDEX(CR:CR,MIN(IF(ISNUMBER(CR61:CR257),ROW(CR61:CR257),"")))</f>
        <v>7.875</v>
      </c>
      <c r="CT61" s="12">
        <f>IF('Données projet'!$A$140&gt;35,CT60+CS61-DB60,IF(A61&lt;'Données projet'!$A$140,$CQ$205^A61,IF(A61='Données projet'!$A$140,'Données projet'!$B$140,CT60+CS61-DB60)))</f>
        <v>179</v>
      </c>
      <c r="CU61" s="17">
        <f>CT61*VLOOKUP('Données projet'!$B$13,Paramètres!$A$1:$I$89,3,0)*VLOOKUP('Données projet'!$B$13,Paramètres!$A$1:$I$89,5,0)</f>
        <v>161.95919999999998</v>
      </c>
      <c r="CV61" s="13">
        <f t="shared" si="41"/>
        <v>41.284104935125683</v>
      </c>
      <c r="CW61" s="20">
        <f t="shared" si="13"/>
        <v>353.98208942867717</v>
      </c>
      <c r="CX61" s="59">
        <f t="shared" si="14"/>
        <v>647.31542276201048</v>
      </c>
      <c r="CY61" s="59">
        <f ca="1">AVERAGE(OFFSET($CX$3,0,0,'Données projet'!$E$13+1,1))-AVERAGE(OFFSET($H$3,0,0,'Données projet'!$E$13+1,1))</f>
        <v>436.12708882925142</v>
      </c>
      <c r="CZ61" s="59">
        <f t="shared" si="42"/>
        <v>217.65884352525285</v>
      </c>
      <c r="DA61" s="15">
        <f>IF(ISNA(VLOOKUP(A61,'Données projet'!$A$139:$I$159,3,0)),0,VLOOKUP(A61,'Données projet'!$A$139:$I$159,3,0))</f>
        <v>3</v>
      </c>
      <c r="DB61" s="15">
        <f>IF(ISNA(VLOOKUP(A61,'Données projet'!$A$139:$I$159,4,0)),0,VLOOKUP(A61,'Données projet'!$A$139:$I$159,4,0))</f>
        <v>44</v>
      </c>
      <c r="DC61" s="16">
        <f>IF(ISNA(VLOOKUP(A61,'Données projet'!$A$139:$I$159,5,0)),0%,VLOOKUP(A61,'Données projet'!$A$139:$I$159,5,0)*VLOOKUP('Données projet'!$B$13,Paramètres!$A$1:$I$89,7,0))</f>
        <v>0.129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12.35130971602343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12.35130971602343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14</v>
      </c>
      <c r="DO61" s="12">
        <f>IF('Données projet'!$A$166&gt;35,DO60+DN61-DW60,IF(A61&lt;'Données projet'!$A$166,$DL$205^A61,IF(A61='Données projet'!$A$166,'Données projet'!$B$166,DO60+DN61-DW60)))</f>
        <v>441.00000000000034</v>
      </c>
      <c r="DP61" s="17">
        <f>DO61*VLOOKUP('Données projet'!$B$14,Paramètres!$A$1:$I$89,3,0)*VLOOKUP('Données projet'!$B$14,Paramètres!$A$1:$I$89,5,0)</f>
        <v>419.65560000000033</v>
      </c>
      <c r="DQ61" s="13">
        <f t="shared" si="43"/>
        <v>95.75034332135138</v>
      </c>
      <c r="DR61" s="20">
        <f t="shared" si="16"/>
        <v>897.66535128468752</v>
      </c>
      <c r="DS61" s="59">
        <f t="shared" si="17"/>
        <v>1190.9986846180209</v>
      </c>
      <c r="DT61" s="59">
        <f ca="1">AVERAGE(OFFSET($DS$3,0,0,'Données projet'!$E$14+1,1))-AVERAGE(OFFSET($H$3,0,0,'Données projet'!$E$14+1,1))</f>
        <v>735.50267870886194</v>
      </c>
      <c r="DU61" s="59">
        <f t="shared" si="44"/>
        <v>525.80345400853275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21.877035272807177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21.877035272807177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5.625</v>
      </c>
      <c r="EJ61" s="12">
        <f>IF('Données projet'!$A$192&gt;35,EJ60+EI61-ER60,IF(A61&lt;'Données projet'!$A$192,$EG$205^A61,IF(A61='Données projet'!$A$192,'Données projet'!$B$192,EJ60+EI61-ER60)))</f>
        <v>103.25000000000014</v>
      </c>
      <c r="EK61" s="17">
        <f>EJ61*VLOOKUP('Données projet'!$B$15,Paramètres!$A$1:$I$89,3,0)*VLOOKUP('Données projet'!$B$15,Paramètres!$A$1:$I$89,5,0)</f>
        <v>66.038700000000091</v>
      </c>
      <c r="EL61" s="13">
        <f t="shared" si="45"/>
        <v>18.686416865981002</v>
      </c>
      <c r="EM61" s="20">
        <f t="shared" si="19"/>
        <v>147.56291187491706</v>
      </c>
      <c r="EN61" s="59">
        <f t="shared" si="20"/>
        <v>440.89624520825038</v>
      </c>
      <c r="EO61" s="59">
        <f ca="1">AVERAGE(OFFSET($EN$3,0,0,'Données projet'!$E$15+1,1))-AVERAGE(OFFSET($H$3,0,0,'Données projet'!$E$15+1,1))</f>
        <v>274.14900959323484</v>
      </c>
      <c r="EP61" s="59">
        <f t="shared" si="46"/>
        <v>130.44590390921582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2.5423864171457473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2.5423864171457473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>
        <f>VLOOKUP(A61,'Données projet'!$A$217:$I$237,2,0)</f>
        <v>440</v>
      </c>
      <c r="FC61" s="12">
        <f>VLOOKUP(A61,'Données projet'!$A$217:$I$237,9,0)</f>
        <v>17.625</v>
      </c>
      <c r="FD61" s="12">
        <f t="array" ref="FD61">INDEX(FC:FC,MIN(IF(ISNUMBER(FC61:FC257),ROW(FC61:FC257),"")))</f>
        <v>17.625</v>
      </c>
      <c r="FE61" s="12">
        <f>IF('Données projet'!$A$218&gt;35,FE60+FD61-FM60,IF(A61&lt;'Données projet'!$A$218,$FB$205^A61,IF(A61='Données projet'!$A$218,'Données projet'!$B$218,FE60+FD61-FM60)))</f>
        <v>439.99999999999994</v>
      </c>
      <c r="FF61" s="17">
        <f>FE61*VLOOKUP('Données projet'!$B$16,Paramètres!$A$1:$I$89,3,0)*VLOOKUP('Données projet'!$B$16,Paramètres!$A$1:$I$89,5,0)</f>
        <v>263.12</v>
      </c>
      <c r="FG61" s="13">
        <f t="shared" si="47"/>
        <v>63.386973458752003</v>
      </c>
      <c r="FH61" s="20">
        <f t="shared" si="22"/>
        <v>568.66631210732646</v>
      </c>
      <c r="FI61" s="59">
        <f t="shared" si="23"/>
        <v>861.99964544065983</v>
      </c>
      <c r="FJ61" s="59">
        <f ca="1">AVERAGE(OFFSET($FI$3,0,0,'Données projet'!$E$16+1,1))-AVERAGE(OFFSET($H$3,0,0,'Données projet'!$E$16+1,1))</f>
        <v>405.42845699663462</v>
      </c>
      <c r="FK61" s="59">
        <f t="shared" si="48"/>
        <v>292.26503163353146</v>
      </c>
      <c r="FL61" s="15">
        <f>IF(ISNA(VLOOKUP(A61,'Données projet'!$A$217:$I$237,3,0)),0,VLOOKUP(A61,'Données projet'!$A$217:$I$237,3,0))</f>
        <v>8</v>
      </c>
      <c r="FM61" s="15">
        <f>IF(ISNA(VLOOKUP(A61,'Données projet'!$A$217:$I$237,4,0)),0,VLOOKUP(A61,'Données projet'!$A$217:$I$237,4,0))</f>
        <v>78</v>
      </c>
      <c r="FN61" s="16">
        <f>IF(ISNA(VLOOKUP(A61,'Données projet'!$A$217:$I$237,5,0)),0%,VLOOKUP(A61,'Données projet'!$A$217:$I$237,5,0)*VLOOKUP('Données projet'!$B$16,Paramètres!$A$1:$I$89,7,0))</f>
        <v>0.315</v>
      </c>
      <c r="FO61" s="16">
        <f>IF(ISNA(VLOOKUP(A61,'Données projet'!$A$217:$I$237,6,0)),0%,VLOOKUP(A61,'Données projet'!$A$217:$I$237,6,0)*VLOOKUP('Données projet'!$B$16,Paramètres!$A$1:$I$89,7,0))</f>
        <v>0.13500000000000001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43.727590051276216</v>
      </c>
      <c r="FR61" s="21">
        <f>EXP(-LN(2)/25)*FR60+(1-EXP(-LN(2)/25))/(LN(2)/25)*Calculateur!FM61*Calculateur!FO61*VLOOKUP('Données projet'!$B$16,Paramètres!$A$1:$I$89,3,0)*0.475*44/12</f>
        <v>34.093694389990631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77.82128444126684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>
        <f>VLOOKUP(A61,'Données projet'!$A$243:$I$263,2,0)</f>
        <v>440</v>
      </c>
      <c r="FX61" s="12">
        <f>VLOOKUP(A61,'Données projet'!$A$243:$I$263,9,0)</f>
        <v>17.625</v>
      </c>
      <c r="FY61" s="12">
        <f t="array" ref="FY61">INDEX(FX:FX,MIN(IF(ISNUMBER(FX61:FX257),ROW(FX61:FX257),"")))</f>
        <v>17.625</v>
      </c>
      <c r="FZ61" s="12">
        <f>IF('Données projet'!$A$244&gt;35,FZ60+FY61-GH60,IF(A61&lt;'Données projet'!$A$244,$FW$205^A61,IF(A61='Données projet'!$A$244,'Données projet'!$B$244,FZ60+FY61-GH60)))</f>
        <v>439.99999999999994</v>
      </c>
      <c r="GA61" s="17">
        <f>FZ61*VLOOKUP('Données projet'!$B$17,Paramètres!$A$1:$I$89,3,0)*VLOOKUP('Données projet'!$B$17,Paramètres!$A$1:$I$89,5,0)</f>
        <v>263.12</v>
      </c>
      <c r="GB61" s="13">
        <f t="shared" si="49"/>
        <v>63.386973458752003</v>
      </c>
      <c r="GC61" s="20">
        <f t="shared" si="25"/>
        <v>568.66631210732646</v>
      </c>
      <c r="GD61" s="59">
        <f t="shared" si="26"/>
        <v>861.99964544065983</v>
      </c>
      <c r="GE61" s="59">
        <f ca="1">AVERAGE(OFFSET($GD$3,0,0,'Données projet'!$E$17+1,1))-AVERAGE(OFFSET($H$3,0,0,'Données projet'!$E$17+1,1))</f>
        <v>405.42845699663462</v>
      </c>
      <c r="GF61" s="59">
        <f t="shared" si="50"/>
        <v>292.26503163353146</v>
      </c>
      <c r="GG61" s="15">
        <f>IF(ISNA(VLOOKUP(A61,'Données projet'!$A$243:$I$263,3,0)),0,VLOOKUP(A61,'Données projet'!$A$243:$I$263,3,0))</f>
        <v>8</v>
      </c>
      <c r="GH61" s="15">
        <f>IF(ISNA(VLOOKUP(A61,'Données projet'!$A$243:$I$263,4,0)),0,VLOOKUP(A61,'Données projet'!$A$243:$I$263,4,0))</f>
        <v>78</v>
      </c>
      <c r="GI61" s="16">
        <f>IF(ISNA(VLOOKUP(A61,'Données projet'!$A$243:$I$263,5,0)),0%,VLOOKUP(A61,'Données projet'!$A$243:$I$263,5,0)*VLOOKUP('Données projet'!$B$17,Paramètres!$A$1:$I$89,7,0))</f>
        <v>0.315</v>
      </c>
      <c r="GJ61" s="16">
        <f>IF(ISNA(VLOOKUP(A61,'Données projet'!$A$243:$I$263,6,0)),0%,VLOOKUP(A61,'Données projet'!$A$243:$I$263,6,0)*VLOOKUP('Données projet'!$B$17,Paramètres!$A$1:$I$89,7,0))</f>
        <v>0.13500000000000001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43.727590051276216</v>
      </c>
      <c r="GM61" s="21">
        <f>EXP(-LN(2)/25)*GM60+(1-EXP(-LN(2)/25))/(LN(2)/25)*Calculateur!GH61*Calculateur!GJ61*VLOOKUP('Données projet'!$B$17,Paramètres!$A$1:$I$89,3,0)*0.475*44/12</f>
        <v>34.093694389990631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77.82128444126684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13.500000000000004</v>
      </c>
      <c r="N62" s="13">
        <f>IF('Données projet'!$A$36&gt;35,N61+M62-V61,IF(A62&lt;'Données projet'!$A$36,$K$205^A62,IF(A62='Données projet'!$A$36,'Données projet'!$B$36,N61+M62-V61)))</f>
        <v>370.9559999999999</v>
      </c>
      <c r="O62" s="13">
        <f>N62*VLOOKUP('Données projet'!$B$9,Paramètres!$A$1:$I$89,3,0)*VLOOKUP('Données projet'!$B$9,Paramètres!$A$1:$I$89,5,0)</f>
        <v>173.60740799999994</v>
      </c>
      <c r="P62" s="13">
        <f t="shared" si="33"/>
        <v>43.896972956045019</v>
      </c>
      <c r="Q62" s="20">
        <f t="shared" si="53"/>
        <v>378.82013016511155</v>
      </c>
      <c r="R62" s="59">
        <f t="shared" si="0"/>
        <v>672.15346349844481</v>
      </c>
      <c r="S62" s="59">
        <f ca="1">AVERAGE(OFFSET($R$3,0,0,'Données projet'!$E$9+1,1))-AVERAGE(OFFSET($H$3,0,0,'Données projet'!$E$9+1,1))</f>
        <v>198.26255998041</v>
      </c>
      <c r="T62" s="59">
        <f t="shared" si="34"/>
        <v>238.62101708181166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18.239055274716737</v>
      </c>
      <c r="AA62" s="21">
        <f>EXP(-LN(2)/25)*AA61+(1-EXP(-LN(2)/25))/(LN(2)/25)*Calculateur!V62*Calculateur!X62*VLOOKUP('Données projet'!$B$9,Paramètres!$A$1:$I$89,3,0)*0.475*44/12</f>
        <v>23.686492696881871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41.925547971598604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16.428571428571427</v>
      </c>
      <c r="AI62" s="13">
        <f>IF('Données projet'!$A$62&gt;35,AI61+AH62-AQ61,IF(A62&lt;'Données projet'!$A$62,$AF$205^A62,IF(A62='Données projet'!$A$62,'Données projet'!$B$62,AI61+AH62-AQ61)))</f>
        <v>500.57142857142884</v>
      </c>
      <c r="AJ62" s="13">
        <f>AI62*VLOOKUP('Données projet'!$B$10,Paramètres!$A$1:$I$89,3,0)*VLOOKUP('Données projet'!$B$10,Paramètres!$A$1:$I$89,5,0)</f>
        <v>279.81942857142872</v>
      </c>
      <c r="AK62" s="13">
        <f t="shared" si="35"/>
        <v>66.928847514833734</v>
      </c>
      <c r="AL62" s="20">
        <f t="shared" si="4"/>
        <v>603.91991418357372</v>
      </c>
      <c r="AM62" s="59">
        <f t="shared" si="5"/>
        <v>897.25324751690709</v>
      </c>
      <c r="AN62" s="59">
        <f ca="1">AVERAGE(OFFSET($AM$3,0,0,'Données projet'!$E$10+1,1))-AVERAGE(OFFSET($H$3,0,0,'Données projet'!$E$10+1,1))</f>
        <v>347.02720636703873</v>
      </c>
      <c r="AO62" s="59">
        <f t="shared" si="36"/>
        <v>394.03759949558702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41.892095470800975</v>
      </c>
      <c r="AV62" s="21">
        <f>EXP(-LN(2)/25)*AV61+(1-EXP(-LN(2)/25))/(LN(2)/25)*Calculateur!AQ62*Calculateur!AS62*VLOOKUP('Données projet'!$B$10,Paramètres!$A$1:$I$89,3,0)*0.475*44/12</f>
        <v>44.831629593335023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86.723725064136005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17</v>
      </c>
      <c r="BD62" s="12">
        <f>IF('Données projet'!$A$88&gt;35,BD61+BC62-BL61,IF(A62&lt;'Données projet'!$A$88,$BA$205^A62,IF(A62='Données projet'!$A$88,'Données projet'!$B$88,BD61+BC62-BL61)))</f>
        <v>483</v>
      </c>
      <c r="BE62" s="13">
        <f>BD62*VLOOKUP('Données projet'!$B$11,Paramètres!$A$1:$I$89,3,0)*VLOOKUP('Données projet'!$B$11,Paramètres!$A$1:$I$89,5,0)</f>
        <v>288.834</v>
      </c>
      <c r="BF62" s="13">
        <f t="shared" si="37"/>
        <v>68.830498636563377</v>
      </c>
      <c r="BG62" s="20">
        <f t="shared" si="7"/>
        <v>622.93233512534789</v>
      </c>
      <c r="BH62" s="59">
        <f t="shared" si="8"/>
        <v>916.26566845868115</v>
      </c>
      <c r="BI62" s="59">
        <f ca="1">AVERAGE(OFFSET($BH$3,0,0,'Données projet'!$E$11+1,1))-AVERAGE(OFFSET($H$3,0,0,'Données projet'!$E$11+1,1))</f>
        <v>378.75660696651238</v>
      </c>
      <c r="BJ62" s="59">
        <f t="shared" si="38"/>
        <v>371.70674704563288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36.684153751620457</v>
      </c>
      <c r="BQ62" s="21">
        <f>EXP(-LN(2)/25)*BQ61+(1-EXP(-LN(2)/25))/(LN(2)/25)*Calculateur!BL62*Calculateur!BN62*VLOOKUP('Données projet'!$B$11,Paramètres!$A$1:$I$89,3,0)*0.475*44/12</f>
        <v>36.551989504882343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73.2361432565028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5.625</v>
      </c>
      <c r="BY62" s="12">
        <f>IF('Données projet'!$A$114&gt;35,BY61+BX62-CG61,IF(A62&lt;'Données projet'!$A$114,$BV$205^A62,IF(A62='Données projet'!$A$114,'Données projet'!$B$114,BY61+BX62-CG61)))</f>
        <v>108.87500000000014</v>
      </c>
      <c r="BZ62" s="13">
        <f>BY62*VLOOKUP('Données projet'!$B$12,Paramètres!$A$1:$I$89,3,0)*VLOOKUP('Données projet'!$B$12,Paramètres!$A$1:$I$89,5,0)</f>
        <v>110.39925000000015</v>
      </c>
      <c r="CA62" s="13">
        <f t="shared" si="39"/>
        <v>29.425031142834751</v>
      </c>
      <c r="CB62" s="20">
        <f t="shared" si="10"/>
        <v>243.52728965710412</v>
      </c>
      <c r="CC62" s="59">
        <f t="shared" si="11"/>
        <v>536.86062299043738</v>
      </c>
      <c r="CD62" s="59">
        <f ca="1">AVERAGE(OFFSET($CC$3,0,0,'Données projet'!$E$12+1,1))-AVERAGE(OFFSET($H$3,0,0,'Données projet'!$E$12+1,1))</f>
        <v>410.75375635525211</v>
      </c>
      <c r="CE62" s="59">
        <f t="shared" si="40"/>
        <v>183.55513001437367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3.9515747576470113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3.9515747576470113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6.875</v>
      </c>
      <c r="CT62" s="12">
        <f>IF('Données projet'!$A$140&gt;35,CT61+CS62-DB61,IF(A62&lt;'Données projet'!$A$140,$CQ$205^A62,IF(A62='Données projet'!$A$140,'Données projet'!$B$140,CT61+CS62-DB61)))</f>
        <v>141.875</v>
      </c>
      <c r="CU62" s="17">
        <f>CT62*VLOOKUP('Données projet'!$B$13,Paramètres!$A$1:$I$89,3,0)*VLOOKUP('Données projet'!$B$13,Paramètres!$A$1:$I$89,5,0)</f>
        <v>128.36849999999998</v>
      </c>
      <c r="CV62" s="13">
        <f t="shared" si="41"/>
        <v>33.619090931219688</v>
      </c>
      <c r="CW62" s="20">
        <f t="shared" si="13"/>
        <v>282.12838753854095</v>
      </c>
      <c r="CX62" s="59">
        <f t="shared" si="14"/>
        <v>575.46172087187426</v>
      </c>
      <c r="CY62" s="59">
        <f ca="1">AVERAGE(OFFSET($CX$3,0,0,'Données projet'!$E$13+1,1))-AVERAGE(OFFSET($H$3,0,0,'Données projet'!$E$13+1,1))</f>
        <v>436.12708882925142</v>
      </c>
      <c r="CZ62" s="59">
        <f t="shared" si="42"/>
        <v>217.65884352525285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12.109108066047259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12.109108066047259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14</v>
      </c>
      <c r="DO62" s="12">
        <f>IF('Données projet'!$A$166&gt;35,DO61+DN62-DW61,IF(A62&lt;'Données projet'!$A$166,$DL$205^A62,IF(A62='Données projet'!$A$166,'Données projet'!$B$166,DO61+DN62-DW61)))</f>
        <v>455.00000000000034</v>
      </c>
      <c r="DP62" s="17">
        <f>DO62*VLOOKUP('Données projet'!$B$14,Paramètres!$A$1:$I$89,3,0)*VLOOKUP('Données projet'!$B$14,Paramètres!$A$1:$I$89,5,0)</f>
        <v>432.97800000000029</v>
      </c>
      <c r="DQ62" s="13">
        <f t="shared" si="43"/>
        <v>98.431311633276067</v>
      </c>
      <c r="DR62" s="20">
        <f t="shared" si="16"/>
        <v>925.53788442795633</v>
      </c>
      <c r="DS62" s="59">
        <f t="shared" si="17"/>
        <v>1218.8712177612897</v>
      </c>
      <c r="DT62" s="59">
        <f ca="1">AVERAGE(OFFSET($DS$3,0,0,'Données projet'!$E$14+1,1))-AVERAGE(OFFSET($H$3,0,0,'Données projet'!$E$14+1,1))</f>
        <v>735.50267870886194</v>
      </c>
      <c r="DU62" s="59">
        <f t="shared" si="44"/>
        <v>525.80345400853275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21.448039954781365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21.448039954781365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5.625</v>
      </c>
      <c r="EJ62" s="12">
        <f>IF('Données projet'!$A$192&gt;35,EJ61+EI62-ER61,IF(A62&lt;'Données projet'!$A$192,$EG$205^A62,IF(A62='Données projet'!$A$192,'Données projet'!$B$192,EJ61+EI62-ER61)))</f>
        <v>108.87500000000014</v>
      </c>
      <c r="EK62" s="17">
        <f>EJ62*VLOOKUP('Données projet'!$B$15,Paramètres!$A$1:$I$89,3,0)*VLOOKUP('Données projet'!$B$15,Paramètres!$A$1:$I$89,5,0)</f>
        <v>69.636450000000096</v>
      </c>
      <c r="EL62" s="13">
        <f t="shared" si="45"/>
        <v>19.583147951129131</v>
      </c>
      <c r="EM62" s="20">
        <f t="shared" si="19"/>
        <v>155.39079976488338</v>
      </c>
      <c r="EN62" s="59">
        <f t="shared" si="20"/>
        <v>448.72413309821673</v>
      </c>
      <c r="EO62" s="59">
        <f ca="1">AVERAGE(OFFSET($EN$3,0,0,'Données projet'!$E$15+1,1))-AVERAGE(OFFSET($H$3,0,0,'Données projet'!$E$15+1,1))</f>
        <v>274.14900959323484</v>
      </c>
      <c r="EP62" s="59">
        <f t="shared" si="46"/>
        <v>130.44590390921582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2.4925317702081147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2.4925317702081147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16.625</v>
      </c>
      <c r="FE62" s="12">
        <f>IF('Données projet'!$A$218&gt;35,FE61+FD62-FM61,IF(A62&lt;'Données projet'!$A$218,$FB$205^A62,IF(A62='Données projet'!$A$218,'Données projet'!$B$218,FE61+FD62-FM61)))</f>
        <v>378.62499999999994</v>
      </c>
      <c r="FF62" s="17">
        <f>FE62*VLOOKUP('Données projet'!$B$16,Paramètres!$A$1:$I$89,3,0)*VLOOKUP('Données projet'!$B$16,Paramètres!$A$1:$I$89,5,0)</f>
        <v>226.41774999999998</v>
      </c>
      <c r="FG62" s="13">
        <f t="shared" si="47"/>
        <v>55.507409107649494</v>
      </c>
      <c r="FH62" s="20">
        <f t="shared" si="22"/>
        <v>491.0196521124895</v>
      </c>
      <c r="FI62" s="59">
        <f t="shared" si="23"/>
        <v>784.35298544582281</v>
      </c>
      <c r="FJ62" s="59">
        <f ca="1">AVERAGE(OFFSET($FI$3,0,0,'Données projet'!$E$16+1,1))-AVERAGE(OFFSET($H$3,0,0,'Données projet'!$E$16+1,1))</f>
        <v>405.42845699663462</v>
      </c>
      <c r="FK62" s="59">
        <f t="shared" si="48"/>
        <v>292.26503163353146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42.870118681567057</v>
      </c>
      <c r="FR62" s="21">
        <f>EXP(-LN(2)/25)*FR61+(1-EXP(-LN(2)/25))/(LN(2)/25)*Calculateur!FM62*Calculateur!FO62*VLOOKUP('Données projet'!$B$16,Paramètres!$A$1:$I$89,3,0)*0.475*44/12</f>
        <v>33.16140052398687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76.031519205553934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16.625</v>
      </c>
      <c r="FZ62" s="12">
        <f>IF('Données projet'!$A$244&gt;35,FZ61+FY62-GH61,IF(A62&lt;'Données projet'!$A$244,$FW$205^A62,IF(A62='Données projet'!$A$244,'Données projet'!$B$244,FZ61+FY62-GH61)))</f>
        <v>378.62499999999994</v>
      </c>
      <c r="GA62" s="17">
        <f>FZ62*VLOOKUP('Données projet'!$B$17,Paramètres!$A$1:$I$89,3,0)*VLOOKUP('Données projet'!$B$17,Paramètres!$A$1:$I$89,5,0)</f>
        <v>226.41774999999998</v>
      </c>
      <c r="GB62" s="13">
        <f t="shared" si="49"/>
        <v>55.507409107649494</v>
      </c>
      <c r="GC62" s="20">
        <f t="shared" si="25"/>
        <v>491.0196521124895</v>
      </c>
      <c r="GD62" s="59">
        <f t="shared" si="26"/>
        <v>784.35298544582281</v>
      </c>
      <c r="GE62" s="59">
        <f ca="1">AVERAGE(OFFSET($GD$3,0,0,'Données projet'!$E$17+1,1))-AVERAGE(OFFSET($H$3,0,0,'Données projet'!$E$17+1,1))</f>
        <v>405.42845699663462</v>
      </c>
      <c r="GF62" s="59">
        <f t="shared" si="50"/>
        <v>292.26503163353146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42.870118681567057</v>
      </c>
      <c r="GM62" s="21">
        <f>EXP(-LN(2)/25)*GM61+(1-EXP(-LN(2)/25))/(LN(2)/25)*Calculateur!GH62*Calculateur!GJ62*VLOOKUP('Données projet'!$B$17,Paramètres!$A$1:$I$89,3,0)*0.475*44/12</f>
        <v>33.16140052398687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76.031519205553934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384.45600000000002</v>
      </c>
      <c r="L63" s="12">
        <f>VLOOKUP(A63,'Données projet'!$A$35:$I$55,9,0)</f>
        <v>13.500000000000004</v>
      </c>
      <c r="M63" s="12">
        <f t="array" ref="M63">INDEX(L:L,MIN(IF(ISNUMBER(L63:L259),ROW(L63:L259),"")))</f>
        <v>13.500000000000004</v>
      </c>
      <c r="N63" s="13">
        <f>IF('Données projet'!$A$36&gt;35,N62+M63-V62,IF(A63&lt;'Données projet'!$A$36,$K$205^A63,IF(A63='Données projet'!$A$36,'Données projet'!$B$36,N62+M63-V62)))</f>
        <v>384.4559999999999</v>
      </c>
      <c r="O63" s="13">
        <f>N63*VLOOKUP('Données projet'!$B$9,Paramètres!$A$1:$I$89,3,0)*VLOOKUP('Données projet'!$B$9,Paramètres!$A$1:$I$89,5,0)</f>
        <v>179.92540799999995</v>
      </c>
      <c r="P63" s="13">
        <f t="shared" si="33"/>
        <v>45.30559042053045</v>
      </c>
      <c r="Q63" s="20">
        <f t="shared" si="53"/>
        <v>392.27732224909045</v>
      </c>
      <c r="R63" s="59">
        <f t="shared" si="0"/>
        <v>685.61065558242376</v>
      </c>
      <c r="S63" s="59">
        <f ca="1">AVERAGE(OFFSET($R$3,0,0,'Données projet'!$E$9+1,1))-AVERAGE(OFFSET($H$3,0,0,'Données projet'!$E$9+1,1))</f>
        <v>198.26255998041</v>
      </c>
      <c r="T63" s="59">
        <f t="shared" si="34"/>
        <v>238.62101708181166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384.45600000000002</v>
      </c>
      <c r="W63" s="16">
        <f>IF(ISNA(VLOOKUP(A63,'Données projet'!$A$35:$I$55,5,0)),0%,VLOOKUP(A63,'Données projet'!$A$35:$I$55,5,0)*VLOOKUP('Données projet'!$B$9,Paramètres!$A$1:$I$89,7,0))</f>
        <v>0.38500000000000001</v>
      </c>
      <c r="X63" s="16">
        <f>IF(ISNA(VLOOKUP(A63,'Données projet'!$A$35:$I$55,6,0)),0%,VLOOKUP(A63,'Données projet'!$A$35:$I$55,6,0)*VLOOKUP('Données projet'!$B$9,Paramètres!$A$1:$I$89,7,0))</f>
        <v>0.16500000000000001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109.77421911555876</v>
      </c>
      <c r="AA63" s="21">
        <f>EXP(-LN(2)/25)*AA62+(1-EXP(-LN(2)/25))/(LN(2)/25)*Calculateur!V63*Calculateur!X63*VLOOKUP('Données projet'!$B$9,Paramètres!$A$1:$I$89,3,0)*0.475*44/12</f>
        <v>62.266357254816228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172.04057637037499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517</v>
      </c>
      <c r="AG63" s="12">
        <f>VLOOKUP(A63,'Données projet'!$A$61:$I$81,9,0)</f>
        <v>16.428571428571427</v>
      </c>
      <c r="AH63" s="12">
        <f t="array" ref="AH63">INDEX(AG:AG,MIN(IF(ISNUMBER(AG63:AG259),ROW(AG63:AG259),"")))</f>
        <v>16.428571428571427</v>
      </c>
      <c r="AI63" s="13">
        <f>IF('Données projet'!$A$62&gt;35,AI62+AH63-AQ62,IF(A63&lt;'Données projet'!$A$62,$AF$205^A63,IF(A63='Données projet'!$A$62,'Données projet'!$B$62,AI62+AH63-AQ62)))</f>
        <v>517.00000000000023</v>
      </c>
      <c r="AJ63" s="13">
        <f>AI63*VLOOKUP('Données projet'!$B$10,Paramètres!$A$1:$I$89,3,0)*VLOOKUP('Données projet'!$B$10,Paramètres!$A$1:$I$89,5,0)</f>
        <v>289.0030000000001</v>
      </c>
      <c r="AK63" s="13">
        <f t="shared" si="35"/>
        <v>68.866083084015429</v>
      </c>
      <c r="AL63" s="20">
        <f t="shared" si="4"/>
        <v>623.28865303799364</v>
      </c>
      <c r="AM63" s="59">
        <f t="shared" si="5"/>
        <v>916.62198637132701</v>
      </c>
      <c r="AN63" s="59">
        <f ca="1">AVERAGE(OFFSET($AM$3,0,0,'Données projet'!$E$10+1,1))-AVERAGE(OFFSET($H$3,0,0,'Données projet'!$E$10+1,1))</f>
        <v>347.02720636703873</v>
      </c>
      <c r="AO63" s="59">
        <f t="shared" si="36"/>
        <v>394.03759949558702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97</v>
      </c>
      <c r="AR63" s="16">
        <f>IF(ISNA(VLOOKUP(A63,'Données projet'!$A$61:$I$81,5,0)),0%,VLOOKUP(A63,'Données projet'!$A$61:$I$81,5,0)*VLOOKUP('Données projet'!$B$10,Paramètres!$A$1:$I$89,7,0))</f>
        <v>0.38500000000000001</v>
      </c>
      <c r="AS63" s="16">
        <f>IF(ISNA(VLOOKUP(A63,'Données projet'!$A$61:$I$81,6,0)),0%,VLOOKUP(A63,'Données projet'!$A$61:$I$81,6,0)*VLOOKUP('Données projet'!$B$10,Paramètres!$A$1:$I$89,7,0))</f>
        <v>0.16500000000000001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68.763784250183591</v>
      </c>
      <c r="AV63" s="21">
        <f>EXP(-LN(2)/25)*AV62+(1-EXP(-LN(2)/25))/(LN(2)/25)*Calculateur!AQ63*Calculateur!AS63*VLOOKUP('Données projet'!$B$10,Paramètres!$A$1:$I$89,3,0)*0.475*44/12</f>
        <v>55.427475753929933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124.19126000411353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500</v>
      </c>
      <c r="BB63" s="12">
        <f>VLOOKUP(A63,'Données projet'!$A$87:$I$107,9,0)</f>
        <v>17</v>
      </c>
      <c r="BC63" s="12">
        <f t="array" ref="BC63">INDEX(BB:BB,MIN(IF(ISNUMBER(BB63:BB259),ROW(BB63:BB259),"")))</f>
        <v>17</v>
      </c>
      <c r="BD63" s="12">
        <f>IF('Données projet'!$A$88&gt;35,BD62+BC63-BL62,IF(A63&lt;'Données projet'!$A$88,$BA$205^A63,IF(A63='Données projet'!$A$88,'Données projet'!$B$88,BD62+BC63-BL62)))</f>
        <v>500</v>
      </c>
      <c r="BE63" s="13">
        <f>BD63*VLOOKUP('Données projet'!$B$11,Paramètres!$A$1:$I$89,3,0)*VLOOKUP('Données projet'!$B$11,Paramètres!$A$1:$I$89,5,0)</f>
        <v>299</v>
      </c>
      <c r="BF63" s="13">
        <f t="shared" si="37"/>
        <v>70.966784344875109</v>
      </c>
      <c r="BG63" s="20">
        <f t="shared" si="7"/>
        <v>644.35881606732414</v>
      </c>
      <c r="BH63" s="59">
        <f t="shared" si="8"/>
        <v>937.6921494006574</v>
      </c>
      <c r="BI63" s="59">
        <f ca="1">AVERAGE(OFFSET($BH$3,0,0,'Données projet'!$E$11+1,1))-AVERAGE(OFFSET($H$3,0,0,'Données projet'!$E$11+1,1))</f>
        <v>378.75660696651238</v>
      </c>
      <c r="BJ63" s="59">
        <f t="shared" si="38"/>
        <v>371.70674704563288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32</v>
      </c>
      <c r="BM63" s="16">
        <f>IF(ISNA(VLOOKUP(A63,'Données projet'!$A$87:$I$107,5,0)),0%,VLOOKUP(A63,'Données projet'!$A$87:$I$107,5,0)*VLOOKUP('Données projet'!$B$11,Paramètres!$A$1:$I$89,7,0))</f>
        <v>0.315</v>
      </c>
      <c r="BN63" s="16">
        <f>IF(ISNA(VLOOKUP(A63,'Données projet'!$A$87:$I$107,6,0)),0%,VLOOKUP(A63,'Données projet'!$A$87:$I$107,6,0)*VLOOKUP('Données projet'!$B$11,Paramètres!$A$1:$I$89,7,0))</f>
        <v>0.13500000000000001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43.961118158752285</v>
      </c>
      <c r="BQ63" s="21">
        <f>EXP(-LN(2)/25)*BQ62+(1-EXP(-LN(2)/25))/(LN(2)/25)*Calculateur!BL63*Calculateur!BN63*VLOOKUP('Données projet'!$B$11,Paramètres!$A$1:$I$89,3,0)*0.475*44/12</f>
        <v>38.965973601890454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82.927091760642739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5.625</v>
      </c>
      <c r="BY63" s="12">
        <f>IF('Données projet'!$A$114&gt;35,BY62+BX63-CG62,IF(A63&lt;'Données projet'!$A$114,$BV$205^A63,IF(A63='Données projet'!$A$114,'Données projet'!$B$114,BY62+BX63-CG62)))</f>
        <v>114.50000000000014</v>
      </c>
      <c r="BZ63" s="13">
        <f>BY63*VLOOKUP('Données projet'!$B$12,Paramètres!$A$1:$I$89,3,0)*VLOOKUP('Données projet'!$B$12,Paramètres!$A$1:$I$89,5,0)</f>
        <v>116.10300000000015</v>
      </c>
      <c r="CA63" s="13">
        <f t="shared" si="39"/>
        <v>30.764349032181585</v>
      </c>
      <c r="CB63" s="20">
        <f t="shared" si="10"/>
        <v>255.79396623104984</v>
      </c>
      <c r="CC63" s="59">
        <f t="shared" si="11"/>
        <v>549.12729956438318</v>
      </c>
      <c r="CD63" s="59">
        <f ca="1">AVERAGE(OFFSET($CC$3,0,0,'Données projet'!$E$12+1,1))-AVERAGE(OFFSET($H$3,0,0,'Données projet'!$E$12+1,1))</f>
        <v>410.75375635525211</v>
      </c>
      <c r="CE63" s="59">
        <f t="shared" si="40"/>
        <v>183.55513001437367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3.8740867868721658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3.8740867868721658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6.875</v>
      </c>
      <c r="CT63" s="12">
        <f>IF('Données projet'!$A$140&gt;35,CT62+CS63-DB62,IF(A63&lt;'Données projet'!$A$140,$CQ$205^A63,IF(A63='Données projet'!$A$140,'Données projet'!$B$140,CT62+CS63-DB62)))</f>
        <v>148.75</v>
      </c>
      <c r="CU63" s="17">
        <f>CT63*VLOOKUP('Données projet'!$B$13,Paramètres!$A$1:$I$89,3,0)*VLOOKUP('Données projet'!$B$13,Paramètres!$A$1:$I$89,5,0)</f>
        <v>134.589</v>
      </c>
      <c r="CV63" s="13">
        <f t="shared" si="41"/>
        <v>35.054592075821937</v>
      </c>
      <c r="CW63" s="20">
        <f t="shared" si="13"/>
        <v>295.46258953205654</v>
      </c>
      <c r="CX63" s="59">
        <f t="shared" si="14"/>
        <v>588.79592286538991</v>
      </c>
      <c r="CY63" s="59">
        <f ca="1">AVERAGE(OFFSET($CX$3,0,0,'Données projet'!$E$13+1,1))-AVERAGE(OFFSET($H$3,0,0,'Données projet'!$E$13+1,1))</f>
        <v>436.12708882925142</v>
      </c>
      <c r="CZ63" s="59">
        <f t="shared" si="42"/>
        <v>217.65884352525285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11.871655842698702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11.871655842698702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469</v>
      </c>
      <c r="DM63" s="12">
        <f>VLOOKUP(A63,'Données projet'!$A$165:$I$185,9,0)</f>
        <v>14</v>
      </c>
      <c r="DN63" s="12">
        <f t="array" ref="DN63">INDEX(DM:DM,MIN(IF(ISNUMBER(DM63:DM259),ROW(DM63:DM259),"")))</f>
        <v>14</v>
      </c>
      <c r="DO63" s="12">
        <f>IF('Données projet'!$A$166&gt;35,DO62+DN63-DW62,IF(A63&lt;'Données projet'!$A$166,$DL$205^A63,IF(A63='Données projet'!$A$166,'Données projet'!$B$166,DO62+DN63-DW62)))</f>
        <v>469.00000000000034</v>
      </c>
      <c r="DP63" s="17">
        <f>DO63*VLOOKUP('Données projet'!$B$14,Paramètres!$A$1:$I$89,3,0)*VLOOKUP('Données projet'!$B$14,Paramètres!$A$1:$I$89,5,0)</f>
        <v>446.30040000000031</v>
      </c>
      <c r="DQ63" s="13">
        <f t="shared" si="43"/>
        <v>101.10269353033053</v>
      </c>
      <c r="DR63" s="20">
        <f t="shared" si="16"/>
        <v>953.3937212319928</v>
      </c>
      <c r="DS63" s="59">
        <f t="shared" si="17"/>
        <v>1246.7270545653262</v>
      </c>
      <c r="DT63" s="59">
        <f ca="1">AVERAGE(OFFSET($DS$3,0,0,'Données projet'!$E$14+1,1))-AVERAGE(OFFSET($H$3,0,0,'Données projet'!$E$14+1,1))</f>
        <v>735.50267870886194</v>
      </c>
      <c r="DU63" s="59">
        <f t="shared" si="44"/>
        <v>525.80345400853275</v>
      </c>
      <c r="DV63" s="15">
        <f>IF(ISNA(VLOOKUP(A63,'Données projet'!$A$165:$I$185,3,0)),0,VLOOKUP(A63,'Données projet'!$A$165:$I$185,3,0))</f>
        <v>10</v>
      </c>
      <c r="DW63" s="15">
        <f>IF(ISNA(VLOOKUP(A63,'Données projet'!$A$165:$I$185,4,0)),0,VLOOKUP(A63,'Données projet'!$A$165:$I$185,4,0))</f>
        <v>53</v>
      </c>
      <c r="DX63" s="16">
        <f>IF(ISNA(VLOOKUP(A63,'Données projet'!$A$165:$I$185,5,0)),0%,VLOOKUP(A63,'Données projet'!$A$165:$I$185,5,0)*VLOOKUP('Données projet'!$B$14,Paramètres!$A$1:$I$89,7,0))</f>
        <v>0.25800000000000001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35.412034767679188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35.412034767679188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5.625</v>
      </c>
      <c r="EJ63" s="12">
        <f>IF('Données projet'!$A$192&gt;35,EJ62+EI63-ER62,IF(A63&lt;'Données projet'!$A$192,$EG$205^A63,IF(A63='Données projet'!$A$192,'Données projet'!$B$192,EJ62+EI63-ER62)))</f>
        <v>114.50000000000014</v>
      </c>
      <c r="EK63" s="17">
        <f>EJ63*VLOOKUP('Données projet'!$B$15,Paramètres!$A$1:$I$89,3,0)*VLOOKUP('Données projet'!$B$15,Paramètres!$A$1:$I$89,5,0)</f>
        <v>73.234200000000087</v>
      </c>
      <c r="EL63" s="13">
        <f t="shared" si="45"/>
        <v>20.474499951857947</v>
      </c>
      <c r="EM63" s="20">
        <f t="shared" si="19"/>
        <v>163.20931908281941</v>
      </c>
      <c r="EN63" s="59">
        <f t="shared" si="20"/>
        <v>456.54265241615269</v>
      </c>
      <c r="EO63" s="59">
        <f ca="1">AVERAGE(OFFSET($EN$3,0,0,'Données projet'!$E$15+1,1))-AVERAGE(OFFSET($H$3,0,0,'Données projet'!$E$15+1,1))</f>
        <v>274.14900959323484</v>
      </c>
      <c r="EP63" s="59">
        <f t="shared" si="46"/>
        <v>130.44590390921582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2.4436547424885968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2.4436547424885968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16.625</v>
      </c>
      <c r="FE63" s="12">
        <f>IF('Données projet'!$A$218&gt;35,FE62+FD63-FM62,IF(A63&lt;'Données projet'!$A$218,$FB$205^A63,IF(A63='Données projet'!$A$218,'Données projet'!$B$218,FE62+FD63-FM62)))</f>
        <v>395.24999999999994</v>
      </c>
      <c r="FF63" s="17">
        <f>FE63*VLOOKUP('Données projet'!$B$16,Paramètres!$A$1:$I$89,3,0)*VLOOKUP('Données projet'!$B$16,Paramètres!$A$1:$I$89,5,0)</f>
        <v>236.35949999999997</v>
      </c>
      <c r="FG63" s="13">
        <f t="shared" si="47"/>
        <v>57.655563749416167</v>
      </c>
      <c r="FH63" s="20">
        <f t="shared" si="22"/>
        <v>512.07623603023308</v>
      </c>
      <c r="FI63" s="59">
        <f t="shared" si="23"/>
        <v>805.40956936356633</v>
      </c>
      <c r="FJ63" s="59">
        <f ca="1">AVERAGE(OFFSET($FI$3,0,0,'Données projet'!$E$16+1,1))-AVERAGE(OFFSET($H$3,0,0,'Données projet'!$E$16+1,1))</f>
        <v>405.42845699663462</v>
      </c>
      <c r="FK63" s="59">
        <f t="shared" si="48"/>
        <v>292.26503163353146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42.029461802412001</v>
      </c>
      <c r="FR63" s="21">
        <f>EXP(-LN(2)/25)*FR62+(1-EXP(-LN(2)/25))/(LN(2)/25)*Calculateur!FM63*Calculateur!FO63*VLOOKUP('Données projet'!$B$16,Paramètres!$A$1:$I$89,3,0)*0.475*44/12</f>
        <v>32.254600282776188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74.284062085188197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16.625</v>
      </c>
      <c r="FZ63" s="12">
        <f>IF('Données projet'!$A$244&gt;35,FZ62+FY63-GH62,IF(A63&lt;'Données projet'!$A$244,$FW$205^A63,IF(A63='Données projet'!$A$244,'Données projet'!$B$244,FZ62+FY63-GH62)))</f>
        <v>395.24999999999994</v>
      </c>
      <c r="GA63" s="17">
        <f>FZ63*VLOOKUP('Données projet'!$B$17,Paramètres!$A$1:$I$89,3,0)*VLOOKUP('Données projet'!$B$17,Paramètres!$A$1:$I$89,5,0)</f>
        <v>236.35949999999997</v>
      </c>
      <c r="GB63" s="13">
        <f t="shared" si="49"/>
        <v>57.655563749416167</v>
      </c>
      <c r="GC63" s="20">
        <f t="shared" si="25"/>
        <v>512.07623603023308</v>
      </c>
      <c r="GD63" s="59">
        <f t="shared" si="26"/>
        <v>805.40956936356633</v>
      </c>
      <c r="GE63" s="59">
        <f ca="1">AVERAGE(OFFSET($GD$3,0,0,'Données projet'!$E$17+1,1))-AVERAGE(OFFSET($H$3,0,0,'Données projet'!$E$17+1,1))</f>
        <v>405.42845699663462</v>
      </c>
      <c r="GF63" s="59">
        <f t="shared" si="50"/>
        <v>292.26503163353146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42.029461802412001</v>
      </c>
      <c r="GM63" s="21">
        <f>EXP(-LN(2)/25)*GM62+(1-EXP(-LN(2)/25))/(LN(2)/25)*Calculateur!GH63*Calculateur!GJ63*VLOOKUP('Données projet'!$B$17,Paramètres!$A$1:$I$89,3,0)*0.475*44/12</f>
        <v>32.254600282776188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74.284062085188197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-1.1368683772161603E-13</v>
      </c>
      <c r="O64" s="13">
        <f>N64*VLOOKUP('Données projet'!$B$9,Paramètres!$A$1:$I$89,3,0)*VLOOKUP('Données projet'!$B$9,Paramètres!$A$1:$I$89,5,0)</f>
        <v>-5.3205440053716299E-14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198.26255998041</v>
      </c>
      <c r="T64" s="59">
        <f t="shared" si="34"/>
        <v>238.62101708181166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107.62161363436499</v>
      </c>
      <c r="AA64" s="21">
        <f>EXP(-LN(2)/25)*AA63+(1-EXP(-LN(2)/25))/(LN(2)/25)*Calculateur!V64*Calculateur!X64*VLOOKUP('Données projet'!$B$9,Paramètres!$A$1:$I$89,3,0)*0.475*44/12</f>
        <v>60.563680441237864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168.18529407560285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14.428571428571429</v>
      </c>
      <c r="AI64" s="13">
        <f>IF('Données projet'!$A$62&gt;35,AI63+AH64-AQ63,IF(A64&lt;'Données projet'!$A$62,$AF$205^A64,IF(A64='Données projet'!$A$62,'Données projet'!$B$62,AI63+AH64-AQ63)))</f>
        <v>434.42857142857167</v>
      </c>
      <c r="AJ64" s="13">
        <f>AI64*VLOOKUP('Données projet'!$B$10,Paramètres!$A$1:$I$89,3,0)*VLOOKUP('Données projet'!$B$10,Paramètres!$A$1:$I$89,5,0)</f>
        <v>242.84557142857156</v>
      </c>
      <c r="AK64" s="13">
        <f t="shared" si="35"/>
        <v>59.051348413541952</v>
      </c>
      <c r="AL64" s="20">
        <f t="shared" si="4"/>
        <v>525.80380205834774</v>
      </c>
      <c r="AM64" s="59">
        <f t="shared" si="5"/>
        <v>819.13713539168111</v>
      </c>
      <c r="AN64" s="59">
        <f ca="1">AVERAGE(OFFSET($AM$3,0,0,'Données projet'!$E$10+1,1))-AVERAGE(OFFSET($H$3,0,0,'Données projet'!$E$10+1,1))</f>
        <v>347.02720636703873</v>
      </c>
      <c r="AO64" s="59">
        <f t="shared" si="36"/>
        <v>394.03759949558702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67.415368382804473</v>
      </c>
      <c r="AV64" s="21">
        <f>EXP(-LN(2)/25)*AV63+(1-EXP(-LN(2)/25))/(LN(2)/25)*Calculateur!AQ64*Calculateur!AS64*VLOOKUP('Données projet'!$B$10,Paramètres!$A$1:$I$89,3,0)*0.475*44/12</f>
        <v>53.911808514634451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121.32717689743893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17.399999999999999</v>
      </c>
      <c r="BD64" s="12">
        <f>IF('Données projet'!$A$88&gt;35,BD63+BC64-BL63,IF(A64&lt;'Données projet'!$A$88,$BA$205^A64,IF(A64='Données projet'!$A$88,'Données projet'!$B$88,BD63+BC64-BL63)))</f>
        <v>485.4</v>
      </c>
      <c r="BE64" s="13">
        <f>BD64*VLOOKUP('Données projet'!$B$11,Paramètres!$A$1:$I$89,3,0)*VLOOKUP('Données projet'!$B$11,Paramètres!$A$1:$I$89,5,0)</f>
        <v>290.26920000000001</v>
      </c>
      <c r="BF64" s="13">
        <f t="shared" si="37"/>
        <v>69.13261576818384</v>
      </c>
      <c r="BG64" s="20">
        <f t="shared" si="7"/>
        <v>625.95816246292009</v>
      </c>
      <c r="BH64" s="59">
        <f t="shared" si="8"/>
        <v>919.29149579625346</v>
      </c>
      <c r="BI64" s="59">
        <f ca="1">AVERAGE(OFFSET($BH$3,0,0,'Données projet'!$E$11+1,1))-AVERAGE(OFFSET($H$3,0,0,'Données projet'!$E$11+1,1))</f>
        <v>378.75660696651238</v>
      </c>
      <c r="BJ64" s="59">
        <f t="shared" si="38"/>
        <v>371.70674704563288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43.099067445293606</v>
      </c>
      <c r="BQ64" s="21">
        <f>EXP(-LN(2)/25)*BQ63+(1-EXP(-LN(2)/25))/(LN(2)/25)*Calculateur!BL64*Calculateur!BN64*VLOOKUP('Données projet'!$B$11,Paramètres!$A$1:$I$89,3,0)*0.475*44/12</f>
        <v>37.900447004615266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80.999514449908872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5.625</v>
      </c>
      <c r="BY64" s="12">
        <f>IF('Données projet'!$A$114&gt;35,BY63+BX64-CG63,IF(A64&lt;'Données projet'!$A$114,$BV$205^A64,IF(A64='Données projet'!$A$114,'Données projet'!$B$114,BY63+BX64-CG63)))</f>
        <v>120.12500000000014</v>
      </c>
      <c r="BZ64" s="13">
        <f>BY64*VLOOKUP('Données projet'!$B$12,Paramètres!$A$1:$I$89,3,0)*VLOOKUP('Données projet'!$B$12,Paramètres!$A$1:$I$89,5,0)</f>
        <v>121.80675000000015</v>
      </c>
      <c r="CA64" s="13">
        <f t="shared" si="39"/>
        <v>32.096026856841362</v>
      </c>
      <c r="CB64" s="20">
        <f t="shared" si="10"/>
        <v>268.04733635899896</v>
      </c>
      <c r="CC64" s="59">
        <f t="shared" si="11"/>
        <v>561.38066969233228</v>
      </c>
      <c r="CD64" s="59">
        <f ca="1">AVERAGE(OFFSET($CC$3,0,0,'Données projet'!$E$12+1,1))-AVERAGE(OFFSET($H$3,0,0,'Données projet'!$E$12+1,1))</f>
        <v>410.75375635525211</v>
      </c>
      <c r="CE64" s="59">
        <f t="shared" si="40"/>
        <v>183.55513001437367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3.7981183079412197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3.7981183079412197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6.875</v>
      </c>
      <c r="CT64" s="12">
        <f>IF('Données projet'!$A$140&gt;35,CT63+CS64-DB63,IF(A64&lt;'Données projet'!$A$140,$CQ$205^A64,IF(A64='Données projet'!$A$140,'Données projet'!$B$140,CT63+CS64-DB63)))</f>
        <v>155.625</v>
      </c>
      <c r="CU64" s="17">
        <f>CT64*VLOOKUP('Données projet'!$B$13,Paramètres!$A$1:$I$89,3,0)*VLOOKUP('Données projet'!$B$13,Paramètres!$A$1:$I$89,5,0)</f>
        <v>140.80949999999999</v>
      </c>
      <c r="CV64" s="13">
        <f t="shared" si="41"/>
        <v>36.482388305395361</v>
      </c>
      <c r="CW64" s="20">
        <f t="shared" si="13"/>
        <v>308.78337213189684</v>
      </c>
      <c r="CX64" s="59">
        <f t="shared" si="14"/>
        <v>602.1167054652301</v>
      </c>
      <c r="CY64" s="59">
        <f ca="1">AVERAGE(OFFSET($CX$3,0,0,'Données projet'!$E$13+1,1))-AVERAGE(OFFSET($H$3,0,0,'Données projet'!$E$13+1,1))</f>
        <v>436.12708882925142</v>
      </c>
      <c r="CZ64" s="59">
        <f t="shared" si="42"/>
        <v>217.65884352525285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11.638859912618456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11.638859912618456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13.6</v>
      </c>
      <c r="DO64" s="12">
        <f>IF('Données projet'!$A$166&gt;35,DO63+DN64-DW63,IF(A64&lt;'Données projet'!$A$166,$DL$205^A64,IF(A64='Données projet'!$A$166,'Données projet'!$B$166,DO63+DN64-DW63)))</f>
        <v>429.60000000000036</v>
      </c>
      <c r="DP64" s="17">
        <f>DO64*VLOOKUP('Données projet'!$B$14,Paramètres!$A$1:$I$89,3,0)*VLOOKUP('Données projet'!$B$14,Paramètres!$A$1:$I$89,5,0)</f>
        <v>408.80736000000036</v>
      </c>
      <c r="DQ64" s="13">
        <f t="shared" si="43"/>
        <v>93.559952692510706</v>
      </c>
      <c r="DR64" s="20">
        <f t="shared" si="16"/>
        <v>874.95640293945678</v>
      </c>
      <c r="DS64" s="59">
        <f t="shared" si="17"/>
        <v>1168.2897362727902</v>
      </c>
      <c r="DT64" s="59">
        <f ca="1">AVERAGE(OFFSET($DS$3,0,0,'Données projet'!$E$14+1,1))-AVERAGE(OFFSET($H$3,0,0,'Données projet'!$E$14+1,1))</f>
        <v>735.50267870886194</v>
      </c>
      <c r="DU64" s="59">
        <f t="shared" si="44"/>
        <v>525.80345400853275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34.717626365093466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34.717626365093466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5.625</v>
      </c>
      <c r="EJ64" s="12">
        <f>IF('Données projet'!$A$192&gt;35,EJ63+EI64-ER63,IF(A64&lt;'Données projet'!$A$192,$EG$205^A64,IF(A64='Données projet'!$A$192,'Données projet'!$B$192,EJ63+EI64-ER63)))</f>
        <v>120.12500000000014</v>
      </c>
      <c r="EK64" s="17">
        <f>EJ64*VLOOKUP('Données projet'!$B$15,Paramètres!$A$1:$I$89,3,0)*VLOOKUP('Données projet'!$B$15,Paramètres!$A$1:$I$89,5,0)</f>
        <v>76.831950000000091</v>
      </c>
      <c r="EL64" s="13">
        <f t="shared" si="45"/>
        <v>21.360767284489132</v>
      </c>
      <c r="EM64" s="20">
        <f t="shared" si="19"/>
        <v>171.0189826038187</v>
      </c>
      <c r="EN64" s="59">
        <f t="shared" si="20"/>
        <v>464.35231593715201</v>
      </c>
      <c r="EO64" s="59">
        <f ca="1">AVERAGE(OFFSET($EN$3,0,0,'Données projet'!$E$15+1,1))-AVERAGE(OFFSET($H$3,0,0,'Données projet'!$E$15+1,1))</f>
        <v>274.14900959323484</v>
      </c>
      <c r="EP64" s="59">
        <f t="shared" si="46"/>
        <v>130.44590390921582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2.3957361634706156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2.3957361634706156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16.625</v>
      </c>
      <c r="FE64" s="12">
        <f>IF('Données projet'!$A$218&gt;35,FE63+FD64-FM63,IF(A64&lt;'Données projet'!$A$218,$FB$205^A64,IF(A64='Données projet'!$A$218,'Données projet'!$B$218,FE63+FD64-FM63)))</f>
        <v>411.87499999999994</v>
      </c>
      <c r="FF64" s="17">
        <f>FE64*VLOOKUP('Données projet'!$B$16,Paramètres!$A$1:$I$89,3,0)*VLOOKUP('Données projet'!$B$16,Paramètres!$A$1:$I$89,5,0)</f>
        <v>246.30124999999998</v>
      </c>
      <c r="FG64" s="13">
        <f t="shared" si="47"/>
        <v>59.793223430016852</v>
      </c>
      <c r="FH64" s="20">
        <f t="shared" si="22"/>
        <v>533.11454122394582</v>
      </c>
      <c r="FI64" s="59">
        <f t="shared" si="23"/>
        <v>826.44787455727919</v>
      </c>
      <c r="FJ64" s="59">
        <f ca="1">AVERAGE(OFFSET($FI$3,0,0,'Données projet'!$E$16+1,1))-AVERAGE(OFFSET($H$3,0,0,'Données projet'!$E$16+1,1))</f>
        <v>405.42845699663462</v>
      </c>
      <c r="FK64" s="59">
        <f t="shared" si="48"/>
        <v>292.26503163353146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41.205289691907112</v>
      </c>
      <c r="FR64" s="21">
        <f>EXP(-LN(2)/25)*FR63+(1-EXP(-LN(2)/25))/(LN(2)/25)*Calculateur!FM64*Calculateur!FO64*VLOOKUP('Données projet'!$B$16,Paramètres!$A$1:$I$89,3,0)*0.475*44/12</f>
        <v>31.372596541847962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72.577886233755066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16.625</v>
      </c>
      <c r="FZ64" s="12">
        <f>IF('Données projet'!$A$244&gt;35,FZ63+FY64-GH63,IF(A64&lt;'Données projet'!$A$244,$FW$205^A64,IF(A64='Données projet'!$A$244,'Données projet'!$B$244,FZ63+FY64-GH63)))</f>
        <v>411.87499999999994</v>
      </c>
      <c r="GA64" s="17">
        <f>FZ64*VLOOKUP('Données projet'!$B$17,Paramètres!$A$1:$I$89,3,0)*VLOOKUP('Données projet'!$B$17,Paramètres!$A$1:$I$89,5,0)</f>
        <v>246.30124999999998</v>
      </c>
      <c r="GB64" s="13">
        <f t="shared" si="49"/>
        <v>59.793223430016852</v>
      </c>
      <c r="GC64" s="20">
        <f t="shared" si="25"/>
        <v>533.11454122394582</v>
      </c>
      <c r="GD64" s="59">
        <f t="shared" si="26"/>
        <v>826.44787455727919</v>
      </c>
      <c r="GE64" s="59">
        <f ca="1">AVERAGE(OFFSET($GD$3,0,0,'Données projet'!$E$17+1,1))-AVERAGE(OFFSET($H$3,0,0,'Données projet'!$E$17+1,1))</f>
        <v>405.42845699663462</v>
      </c>
      <c r="GF64" s="59">
        <f t="shared" si="50"/>
        <v>292.26503163353146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41.205289691907112</v>
      </c>
      <c r="GM64" s="21">
        <f>EXP(-LN(2)/25)*GM63+(1-EXP(-LN(2)/25))/(LN(2)/25)*Calculateur!GH64*Calculateur!GJ64*VLOOKUP('Données projet'!$B$17,Paramètres!$A$1:$I$89,3,0)*0.475*44/12</f>
        <v>31.372596541847962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72.577886233755066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-1.1368683772161603E-13</v>
      </c>
      <c r="O65" s="13">
        <f>N65*VLOOKUP('Données projet'!$B$9,Paramètres!$A$1:$I$89,3,0)*VLOOKUP('Données projet'!$B$9,Paramètres!$A$1:$I$89,5,0)</f>
        <v>-5.3205440053716299E-14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198.26255998041</v>
      </c>
      <c r="T65" s="59">
        <f t="shared" si="34"/>
        <v>238.62101708181166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105.51121943369773</v>
      </c>
      <c r="AA65" s="21">
        <f>EXP(-LN(2)/25)*AA64+(1-EXP(-LN(2)/25))/(LN(2)/25)*Calculateur!V65*Calculateur!X65*VLOOKUP('Données projet'!$B$9,Paramètres!$A$1:$I$89,3,0)*0.475*44/12</f>
        <v>58.907563414666683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164.4187828483644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14.428571428571429</v>
      </c>
      <c r="AI65" s="13">
        <f>IF('Données projet'!$A$62&gt;35,AI64+AH65-AQ64,IF(A65&lt;'Données projet'!$A$62,$AF$205^A65,IF(A65='Données projet'!$A$62,'Données projet'!$B$62,AI64+AH65-AQ64)))</f>
        <v>448.85714285714312</v>
      </c>
      <c r="AJ65" s="13">
        <f>AI65*VLOOKUP('Données projet'!$B$10,Paramètres!$A$1:$I$89,3,0)*VLOOKUP('Données projet'!$B$10,Paramètres!$A$1:$I$89,5,0)</f>
        <v>250.91114285714301</v>
      </c>
      <c r="AK65" s="13">
        <f t="shared" si="35"/>
        <v>60.781007052879815</v>
      </c>
      <c r="AL65" s="20">
        <f t="shared" si="4"/>
        <v>542.86382775995639</v>
      </c>
      <c r="AM65" s="59">
        <f t="shared" si="5"/>
        <v>836.19716109328965</v>
      </c>
      <c r="AN65" s="59">
        <f ca="1">AVERAGE(OFFSET($AM$3,0,0,'Données projet'!$E$10+1,1))-AVERAGE(OFFSET($H$3,0,0,'Données projet'!$E$10+1,1))</f>
        <v>347.02720636703873</v>
      </c>
      <c r="AO65" s="59">
        <f t="shared" si="36"/>
        <v>394.03759949558702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66.093394128132189</v>
      </c>
      <c r="AV65" s="21">
        <f>EXP(-LN(2)/25)*AV64+(1-EXP(-LN(2)/25))/(LN(2)/25)*Calculateur!AQ65*Calculateur!AS65*VLOOKUP('Données projet'!$B$10,Paramètres!$A$1:$I$89,3,0)*0.475*44/12</f>
        <v>52.437587275702981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118.53098140383517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17.399999999999999</v>
      </c>
      <c r="BD65" s="12">
        <f>IF('Données projet'!$A$88&gt;35,BD64+BC65-BL64,IF(A65&lt;'Données projet'!$A$88,$BA$205^A65,IF(A65='Données projet'!$A$88,'Données projet'!$B$88,BD64+BC65-BL64)))</f>
        <v>502.79999999999995</v>
      </c>
      <c r="BE65" s="13">
        <f>BD65*VLOOKUP('Données projet'!$B$11,Paramètres!$A$1:$I$89,3,0)*VLOOKUP('Données projet'!$B$11,Paramètres!$A$1:$I$89,5,0)</f>
        <v>300.67439999999999</v>
      </c>
      <c r="BF65" s="13">
        <f t="shared" si="37"/>
        <v>71.317825137860439</v>
      </c>
      <c r="BG65" s="20">
        <f t="shared" si="7"/>
        <v>647.88645878177363</v>
      </c>
      <c r="BH65" s="59">
        <f t="shared" si="8"/>
        <v>941.21979211510688</v>
      </c>
      <c r="BI65" s="59">
        <f ca="1">AVERAGE(OFFSET($BH$3,0,0,'Données projet'!$E$11+1,1))-AVERAGE(OFFSET($H$3,0,0,'Données projet'!$E$11+1,1))</f>
        <v>378.75660696651238</v>
      </c>
      <c r="BJ65" s="59">
        <f t="shared" si="38"/>
        <v>371.70674704563288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42.253921020526832</v>
      </c>
      <c r="BQ65" s="21">
        <f>EXP(-LN(2)/25)*BQ64+(1-EXP(-LN(2)/25))/(LN(2)/25)*Calculateur!BL65*Calculateur!BN65*VLOOKUP('Données projet'!$B$11,Paramètres!$A$1:$I$89,3,0)*0.475*44/12</f>
        <v>36.864057288176177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79.117978308703016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5.625</v>
      </c>
      <c r="BY65" s="12">
        <f>IF('Données projet'!$A$114&gt;35,BY64+BX65-CG64,IF(A65&lt;'Données projet'!$A$114,$BV$205^A65,IF(A65='Données projet'!$A$114,'Données projet'!$B$114,BY64+BX65-CG64)))</f>
        <v>125.75000000000014</v>
      </c>
      <c r="BZ65" s="13">
        <f>BY65*VLOOKUP('Données projet'!$B$12,Paramètres!$A$1:$I$89,3,0)*VLOOKUP('Données projet'!$B$12,Paramètres!$A$1:$I$89,5,0)</f>
        <v>127.51050000000015</v>
      </c>
      <c r="CA65" s="13">
        <f t="shared" si="39"/>
        <v>33.420463226289328</v>
      </c>
      <c r="CB65" s="20">
        <f t="shared" si="10"/>
        <v>280.28809428578745</v>
      </c>
      <c r="CC65" s="59">
        <f t="shared" si="11"/>
        <v>573.62142761912082</v>
      </c>
      <c r="CD65" s="59">
        <f ca="1">AVERAGE(OFFSET($CC$3,0,0,'Données projet'!$E$12+1,1))-AVERAGE(OFFSET($H$3,0,0,'Données projet'!$E$12+1,1))</f>
        <v>410.75375635525211</v>
      </c>
      <c r="CE65" s="59">
        <f t="shared" si="40"/>
        <v>183.55513001437367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3.7236395245459128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3.7236395245459128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6.875</v>
      </c>
      <c r="CT65" s="12">
        <f>IF('Données projet'!$A$140&gt;35,CT64+CS65-DB64,IF(A65&lt;'Données projet'!$A$140,$CQ$205^A65,IF(A65='Données projet'!$A$140,'Données projet'!$B$140,CT64+CS65-DB64)))</f>
        <v>162.5</v>
      </c>
      <c r="CU65" s="17">
        <f>CT65*VLOOKUP('Données projet'!$B$13,Paramètres!$A$1:$I$89,3,0)*VLOOKUP('Données projet'!$B$13,Paramètres!$A$1:$I$89,5,0)</f>
        <v>147.03</v>
      </c>
      <c r="CV65" s="13">
        <f t="shared" si="41"/>
        <v>37.90285889427615</v>
      </c>
      <c r="CW65" s="20">
        <f t="shared" si="13"/>
        <v>322.09139590753097</v>
      </c>
      <c r="CX65" s="59">
        <f t="shared" si="14"/>
        <v>615.42472924086428</v>
      </c>
      <c r="CY65" s="59">
        <f ca="1">AVERAGE(OFFSET($CX$3,0,0,'Données projet'!$E$13+1,1))-AVERAGE(OFFSET($H$3,0,0,'Données projet'!$E$13+1,1))</f>
        <v>436.12708882925142</v>
      </c>
      <c r="CZ65" s="59">
        <f t="shared" si="42"/>
        <v>217.65884352525285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11.410628968735585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11.410628968735585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13.6</v>
      </c>
      <c r="DO65" s="12">
        <f>IF('Données projet'!$A$166&gt;35,DO64+DN65-DW64,IF(A65&lt;'Données projet'!$A$166,$DL$205^A65,IF(A65='Données projet'!$A$166,'Données projet'!$B$166,DO64+DN65-DW64)))</f>
        <v>443.20000000000039</v>
      </c>
      <c r="DP65" s="17">
        <f>DO65*VLOOKUP('Données projet'!$B$14,Paramètres!$A$1:$I$89,3,0)*VLOOKUP('Données projet'!$B$14,Paramètres!$A$1:$I$89,5,0)</f>
        <v>421.74912000000035</v>
      </c>
      <c r="DQ65" s="13">
        <f t="shared" si="43"/>
        <v>96.172286782004605</v>
      </c>
      <c r="DR65" s="20">
        <f t="shared" si="16"/>
        <v>902.04645014532525</v>
      </c>
      <c r="DS65" s="59">
        <f t="shared" si="17"/>
        <v>1195.3797834786585</v>
      </c>
      <c r="DT65" s="59">
        <f ca="1">AVERAGE(OFFSET($DS$3,0,0,'Données projet'!$E$14+1,1))-AVERAGE(OFFSET($H$3,0,0,'Données projet'!$E$14+1,1))</f>
        <v>735.50267870886194</v>
      </c>
      <c r="DU65" s="59">
        <f t="shared" si="44"/>
        <v>525.80345400853275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34.036834887735139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34.036834887735139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5.625</v>
      </c>
      <c r="EJ65" s="12">
        <f>IF('Données projet'!$A$192&gt;35,EJ64+EI65-ER64,IF(A65&lt;'Données projet'!$A$192,$EG$205^A65,IF(A65='Données projet'!$A$192,'Données projet'!$B$192,EJ64+EI65-ER64)))</f>
        <v>125.75000000000014</v>
      </c>
      <c r="EK65" s="17">
        <f>EJ65*VLOOKUP('Données projet'!$B$15,Paramètres!$A$1:$I$89,3,0)*VLOOKUP('Données projet'!$B$15,Paramètres!$A$1:$I$89,5,0)</f>
        <v>80.429700000000082</v>
      </c>
      <c r="EL65" s="13">
        <f t="shared" si="45"/>
        <v>22.242215234326629</v>
      </c>
      <c r="EM65" s="20">
        <f t="shared" si="19"/>
        <v>178.82025236645237</v>
      </c>
      <c r="EN65" s="59">
        <f t="shared" si="20"/>
        <v>472.15358569978571</v>
      </c>
      <c r="EO65" s="59">
        <f ca="1">AVERAGE(OFFSET($EN$3,0,0,'Données projet'!$E$15+1,1))-AVERAGE(OFFSET($H$3,0,0,'Données projet'!$E$15+1,1))</f>
        <v>274.14900959323484</v>
      </c>
      <c r="EP65" s="59">
        <f t="shared" si="46"/>
        <v>130.44590390921582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2.3487572385597297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2.3487572385597297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16.625</v>
      </c>
      <c r="FE65" s="12">
        <f>IF('Données projet'!$A$218&gt;35,FE64+FD65-FM64,IF(A65&lt;'Données projet'!$A$218,$FB$205^A65,IF(A65='Données projet'!$A$218,'Données projet'!$B$218,FE64+FD65-FM64)))</f>
        <v>428.49999999999994</v>
      </c>
      <c r="FF65" s="17">
        <f>FE65*VLOOKUP('Données projet'!$B$16,Paramètres!$A$1:$I$89,3,0)*VLOOKUP('Données projet'!$B$16,Paramètres!$A$1:$I$89,5,0)</f>
        <v>256.24299999999999</v>
      </c>
      <c r="FG65" s="13">
        <f t="shared" si="47"/>
        <v>61.920860231490025</v>
      </c>
      <c r="FH65" s="20">
        <f t="shared" si="22"/>
        <v>554.13538990317852</v>
      </c>
      <c r="FI65" s="59">
        <f t="shared" si="23"/>
        <v>847.46872323651178</v>
      </c>
      <c r="FJ65" s="59">
        <f ca="1">AVERAGE(OFFSET($FI$3,0,0,'Données projet'!$E$16+1,1))-AVERAGE(OFFSET($H$3,0,0,'Données projet'!$E$16+1,1))</f>
        <v>405.42845699663462</v>
      </c>
      <c r="FK65" s="59">
        <f t="shared" si="48"/>
        <v>292.26503163353146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40.39727909379387</v>
      </c>
      <c r="FR65" s="21">
        <f>EXP(-LN(2)/25)*FR64+(1-EXP(-LN(2)/25))/(LN(2)/25)*Calculateur!FM65*Calculateur!FO65*VLOOKUP('Données projet'!$B$16,Paramètres!$A$1:$I$89,3,0)*0.475*44/12</f>
        <v>30.514711239597979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70.911990333391856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16.625</v>
      </c>
      <c r="FZ65" s="12">
        <f>IF('Données projet'!$A$244&gt;35,FZ64+FY65-GH64,IF(A65&lt;'Données projet'!$A$244,$FW$205^A65,IF(A65='Données projet'!$A$244,'Données projet'!$B$244,FZ64+FY65-GH64)))</f>
        <v>428.49999999999994</v>
      </c>
      <c r="GA65" s="17">
        <f>FZ65*VLOOKUP('Données projet'!$B$17,Paramètres!$A$1:$I$89,3,0)*VLOOKUP('Données projet'!$B$17,Paramètres!$A$1:$I$89,5,0)</f>
        <v>256.24299999999999</v>
      </c>
      <c r="GB65" s="13">
        <f t="shared" si="49"/>
        <v>61.920860231490025</v>
      </c>
      <c r="GC65" s="20">
        <f t="shared" si="25"/>
        <v>554.13538990317852</v>
      </c>
      <c r="GD65" s="59">
        <f t="shared" si="26"/>
        <v>847.46872323651178</v>
      </c>
      <c r="GE65" s="59">
        <f ca="1">AVERAGE(OFFSET($GD$3,0,0,'Données projet'!$E$17+1,1))-AVERAGE(OFFSET($H$3,0,0,'Données projet'!$E$17+1,1))</f>
        <v>405.42845699663462</v>
      </c>
      <c r="GF65" s="59">
        <f t="shared" si="50"/>
        <v>292.26503163353146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40.39727909379387</v>
      </c>
      <c r="GM65" s="21">
        <f>EXP(-LN(2)/25)*GM64+(1-EXP(-LN(2)/25))/(LN(2)/25)*Calculateur!GH65*Calculateur!GJ65*VLOOKUP('Données projet'!$B$17,Paramètres!$A$1:$I$89,3,0)*0.475*44/12</f>
        <v>30.514711239597979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70.911990333391856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-1.1368683772161603E-13</v>
      </c>
      <c r="O66" s="13">
        <f>N66*VLOOKUP('Données projet'!$B$9,Paramètres!$A$1:$I$89,3,0)*VLOOKUP('Données projet'!$B$9,Paramètres!$A$1:$I$89,5,0)</f>
        <v>-5.3205440053716299E-14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198.26255998041</v>
      </c>
      <c r="T66" s="59">
        <f t="shared" si="34"/>
        <v>238.62101708181166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103.4422087760922</v>
      </c>
      <c r="AA66" s="21">
        <f>EXP(-LN(2)/25)*AA65+(1-EXP(-LN(2)/25))/(LN(2)/25)*Calculateur!V66*Calculateur!X66*VLOOKUP('Données projet'!$B$9,Paramètres!$A$1:$I$89,3,0)*0.475*44/12</f>
        <v>57.296732995278497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160.73894177137069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14.428571428571429</v>
      </c>
      <c r="AI66" s="13">
        <f>IF('Données projet'!$A$62&gt;35,AI65+AH66-AQ65,IF(A66&lt;'Données projet'!$A$62,$AF$205^A66,IF(A66='Données projet'!$A$62,'Données projet'!$B$62,AI65+AH66-AQ65)))</f>
        <v>463.28571428571456</v>
      </c>
      <c r="AJ66" s="13">
        <f>AI66*VLOOKUP('Données projet'!$B$10,Paramètres!$A$1:$I$89,3,0)*VLOOKUP('Données projet'!$B$10,Paramètres!$A$1:$I$89,5,0)</f>
        <v>258.97671428571442</v>
      </c>
      <c r="AK66" s="13">
        <f t="shared" si="35"/>
        <v>62.504204757480117</v>
      </c>
      <c r="AL66" s="20">
        <f t="shared" si="4"/>
        <v>559.91260066689722</v>
      </c>
      <c r="AM66" s="59">
        <f t="shared" si="5"/>
        <v>853.24593400023059</v>
      </c>
      <c r="AN66" s="59">
        <f ca="1">AVERAGE(OFFSET($AM$3,0,0,'Données projet'!$E$10+1,1))-AVERAGE(OFFSET($H$3,0,0,'Données projet'!$E$10+1,1))</f>
        <v>347.02720636703873</v>
      </c>
      <c r="AO66" s="59">
        <f t="shared" si="36"/>
        <v>394.03759949558702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64.797342982269356</v>
      </c>
      <c r="AV66" s="21">
        <f>EXP(-LN(2)/25)*AV65+(1-EXP(-LN(2)/25))/(LN(2)/25)*Calculateur!AQ66*Calculateur!AS66*VLOOKUP('Données projet'!$B$10,Paramètres!$A$1:$I$89,3,0)*0.475*44/12</f>
        <v>51.003678694076015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115.80102167634537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17.399999999999999</v>
      </c>
      <c r="BD66" s="12">
        <f>IF('Données projet'!$A$88&gt;35,BD65+BC66-BL65,IF(A66&lt;'Données projet'!$A$88,$BA$205^A66,IF(A66='Données projet'!$A$88,'Données projet'!$B$88,BD65+BC66-BL65)))</f>
        <v>520.19999999999993</v>
      </c>
      <c r="BE66" s="13">
        <f>BD66*VLOOKUP('Données projet'!$B$11,Paramètres!$A$1:$I$89,3,0)*VLOOKUP('Données projet'!$B$11,Paramètres!$A$1:$I$89,5,0)</f>
        <v>311.07959999999997</v>
      </c>
      <c r="BF66" s="13">
        <f t="shared" si="37"/>
        <v>73.49424798183118</v>
      </c>
      <c r="BG66" s="20">
        <f t="shared" si="7"/>
        <v>669.79945190168917</v>
      </c>
      <c r="BH66" s="59">
        <f t="shared" si="8"/>
        <v>963.13278523502254</v>
      </c>
      <c r="BI66" s="59">
        <f ca="1">AVERAGE(OFFSET($BH$3,0,0,'Données projet'!$E$11+1,1))-AVERAGE(OFFSET($H$3,0,0,'Données projet'!$E$11+1,1))</f>
        <v>378.75660696651238</v>
      </c>
      <c r="BJ66" s="59">
        <f t="shared" si="38"/>
        <v>371.70674704563288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41.425347401661313</v>
      </c>
      <c r="BQ66" s="21">
        <f>EXP(-LN(2)/25)*BQ65+(1-EXP(-LN(2)/25))/(LN(2)/25)*Calculateur!BL66*Calculateur!BN66*VLOOKUP('Données projet'!$B$11,Paramètres!$A$1:$I$89,3,0)*0.475*44/12</f>
        <v>35.856007703034479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77.281355104695791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5.625</v>
      </c>
      <c r="BY66" s="12">
        <f>IF('Données projet'!$A$114&gt;35,BY65+BX66-CG65,IF(A66&lt;'Données projet'!$A$114,$BV$205^A66,IF(A66='Données projet'!$A$114,'Données projet'!$B$114,BY65+BX66-CG65)))</f>
        <v>131.37500000000014</v>
      </c>
      <c r="BZ66" s="13">
        <f>BY66*VLOOKUP('Données projet'!$B$12,Paramètres!$A$1:$I$89,3,0)*VLOOKUP('Données projet'!$B$12,Paramètres!$A$1:$I$89,5,0)</f>
        <v>133.21425000000016</v>
      </c>
      <c r="CA66" s="13">
        <f t="shared" si="39"/>
        <v>34.738019073045614</v>
      </c>
      <c r="CB66" s="20">
        <f t="shared" si="10"/>
        <v>292.51686863555472</v>
      </c>
      <c r="CC66" s="59">
        <f t="shared" si="11"/>
        <v>585.85020196888809</v>
      </c>
      <c r="CD66" s="59">
        <f ca="1">AVERAGE(OFFSET($CC$3,0,0,'Données projet'!$E$12+1,1))-AVERAGE(OFFSET($H$3,0,0,'Données projet'!$E$12+1,1))</f>
        <v>410.75375635525211</v>
      </c>
      <c r="CE66" s="59">
        <f t="shared" si="40"/>
        <v>183.55513001437367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3.6506212246654157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3.6506212246654157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6.875</v>
      </c>
      <c r="CT66" s="12">
        <f>IF('Données projet'!$A$140&gt;35,CT65+CS66-DB65,IF(A66&lt;'Données projet'!$A$140,$CQ$205^A66,IF(A66='Données projet'!$A$140,'Données projet'!$B$140,CT65+CS66-DB65)))</f>
        <v>169.375</v>
      </c>
      <c r="CU66" s="17">
        <f>CT66*VLOOKUP('Données projet'!$B$13,Paramètres!$A$1:$I$89,3,0)*VLOOKUP('Données projet'!$B$13,Paramètres!$A$1:$I$89,5,0)</f>
        <v>153.25049999999999</v>
      </c>
      <c r="CV66" s="13">
        <f t="shared" si="41"/>
        <v>39.316349209004791</v>
      </c>
      <c r="CW66" s="20">
        <f t="shared" si="13"/>
        <v>335.38726237234994</v>
      </c>
      <c r="CX66" s="59">
        <f t="shared" si="14"/>
        <v>628.72059570568331</v>
      </c>
      <c r="CY66" s="59">
        <f ca="1">AVERAGE(OFFSET($CX$3,0,0,'Données projet'!$E$13+1,1))-AVERAGE(OFFSET($H$3,0,0,'Données projet'!$E$13+1,1))</f>
        <v>436.12708882925142</v>
      </c>
      <c r="CZ66" s="59">
        <f t="shared" si="42"/>
        <v>217.65884352525285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11.186873494455128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11.186873494455128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13.6</v>
      </c>
      <c r="DO66" s="12">
        <f>IF('Données projet'!$A$166&gt;35,DO65+DN66-DW65,IF(A66&lt;'Données projet'!$A$166,$DL$205^A66,IF(A66='Données projet'!$A$166,'Données projet'!$B$166,DO65+DN66-DW65)))</f>
        <v>456.80000000000041</v>
      </c>
      <c r="DP66" s="17">
        <f>DO66*VLOOKUP('Données projet'!$B$14,Paramètres!$A$1:$I$89,3,0)*VLOOKUP('Données projet'!$B$14,Paramètres!$A$1:$I$89,5,0)</f>
        <v>434.69088000000039</v>
      </c>
      <c r="DQ66" s="13">
        <f t="shared" si="43"/>
        <v>98.775305128737344</v>
      </c>
      <c r="DR66" s="20">
        <f t="shared" si="16"/>
        <v>929.12027243255136</v>
      </c>
      <c r="DS66" s="59">
        <f t="shared" si="17"/>
        <v>1222.4536057658847</v>
      </c>
      <c r="DT66" s="59">
        <f ca="1">AVERAGE(OFFSET($DS$3,0,0,'Données projet'!$E$14+1,1))-AVERAGE(OFFSET($H$3,0,0,'Données projet'!$E$14+1,1))</f>
        <v>735.50267870886194</v>
      </c>
      <c r="DU66" s="59">
        <f t="shared" si="44"/>
        <v>525.80345400853275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33.369393316006011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33.369393316006011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5.625</v>
      </c>
      <c r="EJ66" s="12">
        <f>IF('Données projet'!$A$192&gt;35,EJ65+EI66-ER65,IF(A66&lt;'Données projet'!$A$192,$EG$205^A66,IF(A66='Données projet'!$A$192,'Données projet'!$B$192,EJ65+EI66-ER65)))</f>
        <v>131.37500000000014</v>
      </c>
      <c r="EK66" s="17">
        <f>EJ66*VLOOKUP('Données projet'!$B$15,Paramètres!$A$1:$I$89,3,0)*VLOOKUP('Données projet'!$B$15,Paramètres!$A$1:$I$89,5,0)</f>
        <v>84.027450000000087</v>
      </c>
      <c r="EL66" s="13">
        <f t="shared" si="45"/>
        <v>23.119084011649445</v>
      </c>
      <c r="EM66" s="20">
        <f t="shared" si="19"/>
        <v>186.61354673695629</v>
      </c>
      <c r="EN66" s="59">
        <f t="shared" si="20"/>
        <v>479.94688007028958</v>
      </c>
      <c r="EO66" s="59">
        <f ca="1">AVERAGE(OFFSET($EN$3,0,0,'Données projet'!$E$15+1,1))-AVERAGE(OFFSET($H$3,0,0,'Données projet'!$E$15+1,1))</f>
        <v>274.14900959323484</v>
      </c>
      <c r="EP66" s="59">
        <f t="shared" si="46"/>
        <v>130.44590390921582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2.3026995417120313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2.3026995417120313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16.625</v>
      </c>
      <c r="FE66" s="12">
        <f>IF('Données projet'!$A$218&gt;35,FE65+FD66-FM65,IF(A66&lt;'Données projet'!$A$218,$FB$205^A66,IF(A66='Données projet'!$A$218,'Données projet'!$B$218,FE65+FD66-FM65)))</f>
        <v>445.12499999999994</v>
      </c>
      <c r="FF66" s="17">
        <f>FE66*VLOOKUP('Données projet'!$B$16,Paramètres!$A$1:$I$89,3,0)*VLOOKUP('Données projet'!$B$16,Paramètres!$A$1:$I$89,5,0)</f>
        <v>266.18475000000001</v>
      </c>
      <c r="FG66" s="13">
        <f t="shared" si="47"/>
        <v>64.038907529798962</v>
      </c>
      <c r="FH66" s="20">
        <f t="shared" si="22"/>
        <v>575.13953686439993</v>
      </c>
      <c r="FI66" s="59">
        <f t="shared" si="23"/>
        <v>868.4728701977333</v>
      </c>
      <c r="FJ66" s="59">
        <f ca="1">AVERAGE(OFFSET($FI$3,0,0,'Données projet'!$E$16+1,1))-AVERAGE(OFFSET($H$3,0,0,'Données projet'!$E$16+1,1))</f>
        <v>405.42845699663462</v>
      </c>
      <c r="FK66" s="59">
        <f t="shared" si="48"/>
        <v>292.26503163353146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39.605113090671829</v>
      </c>
      <c r="FR66" s="21">
        <f>EXP(-LN(2)/25)*FR65+(1-EXP(-LN(2)/25))/(LN(2)/25)*Calculateur!FM66*Calculateur!FO66*VLOOKUP('Données projet'!$B$16,Paramètres!$A$1:$I$89,3,0)*0.475*44/12</f>
        <v>29.68028485605225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69.285397946724075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16.625</v>
      </c>
      <c r="FZ66" s="12">
        <f>IF('Données projet'!$A$244&gt;35,FZ65+FY66-GH65,IF(A66&lt;'Données projet'!$A$244,$FW$205^A66,IF(A66='Données projet'!$A$244,'Données projet'!$B$244,FZ65+FY66-GH65)))</f>
        <v>445.12499999999994</v>
      </c>
      <c r="GA66" s="17">
        <f>FZ66*VLOOKUP('Données projet'!$B$17,Paramètres!$A$1:$I$89,3,0)*VLOOKUP('Données projet'!$B$17,Paramètres!$A$1:$I$89,5,0)</f>
        <v>266.18475000000001</v>
      </c>
      <c r="GB66" s="13">
        <f t="shared" si="49"/>
        <v>64.038907529798962</v>
      </c>
      <c r="GC66" s="20">
        <f t="shared" si="25"/>
        <v>575.13953686439993</v>
      </c>
      <c r="GD66" s="59">
        <f t="shared" si="26"/>
        <v>868.4728701977333</v>
      </c>
      <c r="GE66" s="59">
        <f ca="1">AVERAGE(OFFSET($GD$3,0,0,'Données projet'!$E$17+1,1))-AVERAGE(OFFSET($H$3,0,0,'Données projet'!$E$17+1,1))</f>
        <v>405.42845699663462</v>
      </c>
      <c r="GF66" s="59">
        <f t="shared" si="50"/>
        <v>292.26503163353146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39.605113090671829</v>
      </c>
      <c r="GM66" s="21">
        <f>EXP(-LN(2)/25)*GM65+(1-EXP(-LN(2)/25))/(LN(2)/25)*Calculateur!GH66*Calculateur!GJ66*VLOOKUP('Données projet'!$B$17,Paramètres!$A$1:$I$89,3,0)*0.475*44/12</f>
        <v>29.68028485605225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69.285397946724075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-1.1368683772161603E-13</v>
      </c>
      <c r="O67" s="13">
        <f>N67*VLOOKUP('Données projet'!$B$9,Paramètres!$A$1:$I$89,3,0)*VLOOKUP('Données projet'!$B$9,Paramètres!$A$1:$I$89,5,0)</f>
        <v>-5.3205440053716299E-14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198.26255998041</v>
      </c>
      <c r="T67" s="59">
        <f t="shared" si="34"/>
        <v>238.62101708181166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101.41377015551042</v>
      </c>
      <c r="AA67" s="21">
        <f>EXP(-LN(2)/25)*AA66+(1-EXP(-LN(2)/25))/(LN(2)/25)*Calculateur!V67*Calculateur!X67*VLOOKUP('Données projet'!$B$9,Paramètres!$A$1:$I$89,3,0)*0.475*44/12</f>
        <v>55.729950818418374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157.14372097392879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14.428571428571429</v>
      </c>
      <c r="AI67" s="13">
        <f>IF('Données projet'!$A$62&gt;35,AI66+AH67-AQ66,IF(A67&lt;'Données projet'!$A$62,$AF$205^A67,IF(A67='Données projet'!$A$62,'Données projet'!$B$62,AI66+AH67-AQ66)))</f>
        <v>477.71428571428601</v>
      </c>
      <c r="AJ67" s="13">
        <f>AI67*VLOOKUP('Données projet'!$B$10,Paramètres!$A$1:$I$89,3,0)*VLOOKUP('Données projet'!$B$10,Paramètres!$A$1:$I$89,5,0)</f>
        <v>267.04228571428587</v>
      </c>
      <c r="AK67" s="13">
        <f t="shared" si="35"/>
        <v>64.221165835529547</v>
      </c>
      <c r="AL67" s="20">
        <f t="shared" si="4"/>
        <v>576.95051144926185</v>
      </c>
      <c r="AM67" s="59">
        <f t="shared" si="5"/>
        <v>870.28384478259522</v>
      </c>
      <c r="AN67" s="59">
        <f ca="1">AVERAGE(OFFSET($AM$3,0,0,'Données projet'!$E$10+1,1))-AVERAGE(OFFSET($H$3,0,0,'Données projet'!$E$10+1,1))</f>
        <v>347.02720636703873</v>
      </c>
      <c r="AO67" s="59">
        <f t="shared" si="36"/>
        <v>394.03759949558702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63.526706608863755</v>
      </c>
      <c r="AV67" s="21">
        <f>EXP(-LN(2)/25)*AV66+(1-EXP(-LN(2)/25))/(LN(2)/25)*Calculateur!AQ67*Calculateur!AS67*VLOOKUP('Données projet'!$B$10,Paramètres!$A$1:$I$89,3,0)*0.475*44/12</f>
        <v>49.608980418019613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113.13568702688337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17.399999999999999</v>
      </c>
      <c r="BD67" s="12">
        <f>IF('Données projet'!$A$88&gt;35,BD66+BC67-BL66,IF(A67&lt;'Données projet'!$A$88,$BA$205^A67,IF(A67='Données projet'!$A$88,'Données projet'!$B$88,BD66+BC67-BL66)))</f>
        <v>537.59999999999991</v>
      </c>
      <c r="BE67" s="13">
        <f>BD67*VLOOKUP('Données projet'!$B$11,Paramètres!$A$1:$I$89,3,0)*VLOOKUP('Données projet'!$B$11,Paramètres!$A$1:$I$89,5,0)</f>
        <v>321.48479999999995</v>
      </c>
      <c r="BF67" s="13">
        <f t="shared" si="37"/>
        <v>75.662211893590367</v>
      </c>
      <c r="BG67" s="20">
        <f t="shared" si="7"/>
        <v>691.69771238133637</v>
      </c>
      <c r="BH67" s="59">
        <f t="shared" si="8"/>
        <v>985.03104571466974</v>
      </c>
      <c r="BI67" s="59">
        <f ca="1">AVERAGE(OFFSET($BH$3,0,0,'Données projet'!$E$11+1,1))-AVERAGE(OFFSET($H$3,0,0,'Données projet'!$E$11+1,1))</f>
        <v>378.75660696651238</v>
      </c>
      <c r="BJ67" s="59">
        <f t="shared" si="38"/>
        <v>371.70674704563288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40.613021606081745</v>
      </c>
      <c r="BQ67" s="21">
        <f>EXP(-LN(2)/25)*BQ66+(1-EXP(-LN(2)/25))/(LN(2)/25)*Calculateur!BL67*Calculateur!BN67*VLOOKUP('Données projet'!$B$11,Paramètres!$A$1:$I$89,3,0)*0.475*44/12</f>
        <v>34.875523286809504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75.488544892891241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>
        <f>VLOOKUP(A67,'Données projet'!$A$113:$I$133,2,0)</f>
        <v>137</v>
      </c>
      <c r="BW67" s="12">
        <f>VLOOKUP(A67,'Données projet'!$A$113:$I$133,9,0)</f>
        <v>5.625</v>
      </c>
      <c r="BX67" s="12">
        <f t="array" ref="BX67">INDEX(BW:BW,MIN(IF(ISNUMBER(BW67:BW263),ROW(BW67:BW263),"")))</f>
        <v>5.625</v>
      </c>
      <c r="BY67" s="12">
        <f>IF('Données projet'!$A$114&gt;35,BY66+BX67-CG66,IF(A67&lt;'Données projet'!$A$114,$BV$205^A67,IF(A67='Données projet'!$A$114,'Données projet'!$B$114,BY66+BX67-CG66)))</f>
        <v>137.00000000000014</v>
      </c>
      <c r="BZ67" s="13">
        <f>BY67*VLOOKUP('Données projet'!$B$12,Paramètres!$A$1:$I$89,3,0)*VLOOKUP('Données projet'!$B$12,Paramètres!$A$1:$I$89,5,0)</f>
        <v>138.91800000000015</v>
      </c>
      <c r="CA67" s="13">
        <f t="shared" si="39"/>
        <v>36.049022673886341</v>
      </c>
      <c r="CB67" s="20">
        <f t="shared" si="10"/>
        <v>304.734231157019</v>
      </c>
      <c r="CC67" s="59">
        <f t="shared" si="11"/>
        <v>598.06756449035231</v>
      </c>
      <c r="CD67" s="59">
        <f ca="1">AVERAGE(OFFSET($CC$3,0,0,'Données projet'!$E$12+1,1))-AVERAGE(OFFSET($H$3,0,0,'Données projet'!$E$12+1,1))</f>
        <v>410.75375635525211</v>
      </c>
      <c r="CE67" s="59">
        <f t="shared" si="40"/>
        <v>183.55513001437367</v>
      </c>
      <c r="CF67" s="15">
        <f>IF(ISNA(VLOOKUP(A67,'Données projet'!$A$113:$I$133,3,0)),0,VLOOKUP(A67,'Données projet'!$A$113:$I$133,3,0))</f>
        <v>2</v>
      </c>
      <c r="CG67" s="15">
        <f>IF(ISNA(VLOOKUP(A67,'Données projet'!$A$113:$I$133,4,0)),0,VLOOKUP(A67,'Données projet'!$A$113:$I$133,4,0))</f>
        <v>32</v>
      </c>
      <c r="CH67" s="16">
        <f>IF(ISNA(VLOOKUP(A67,'Données projet'!$A$113:$I$133,5,0)),0%,VLOOKUP(A67,'Données projet'!$A$113:$I$133,5,0)*VLOOKUP('Données projet'!$B$12,Paramètres!$A$1:$I$89,7,0))</f>
        <v>0.25800000000000001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12.833572910880783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12.833572910880783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6.875</v>
      </c>
      <c r="CT67" s="12">
        <f>IF('Données projet'!$A$140&gt;35,CT66+CS67-DB66,IF(A67&lt;'Données projet'!$A$140,$CQ$205^A67,IF(A67='Données projet'!$A$140,'Données projet'!$B$140,CT66+CS67-DB66)))</f>
        <v>176.25</v>
      </c>
      <c r="CU67" s="17">
        <f>CT67*VLOOKUP('Données projet'!$B$13,Paramètres!$A$1:$I$89,3,0)*VLOOKUP('Données projet'!$B$13,Paramètres!$A$1:$I$89,5,0)</f>
        <v>159.471</v>
      </c>
      <c r="CV67" s="13">
        <f t="shared" si="41"/>
        <v>40.723174992275638</v>
      </c>
      <c r="CW67" s="20">
        <f t="shared" si="13"/>
        <v>348.67152144488006</v>
      </c>
      <c r="CX67" s="59">
        <f t="shared" si="14"/>
        <v>642.00485477821337</v>
      </c>
      <c r="CY67" s="59">
        <f ca="1">AVERAGE(OFFSET($CX$3,0,0,'Données projet'!$E$13+1,1))-AVERAGE(OFFSET($H$3,0,0,'Données projet'!$E$13+1,1))</f>
        <v>436.12708882925142</v>
      </c>
      <c r="CZ67" s="59">
        <f t="shared" si="42"/>
        <v>217.65884352525285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10.967505728547948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10.967505728547948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13.6</v>
      </c>
      <c r="DO67" s="12">
        <f>IF('Données projet'!$A$166&gt;35,DO66+DN67-DW66,IF(A67&lt;'Données projet'!$A$166,$DL$205^A67,IF(A67='Données projet'!$A$166,'Données projet'!$B$166,DO66+DN67-DW66)))</f>
        <v>470.40000000000043</v>
      </c>
      <c r="DP67" s="17">
        <f>DO67*VLOOKUP('Données projet'!$B$14,Paramètres!$A$1:$I$89,3,0)*VLOOKUP('Données projet'!$B$14,Paramètres!$A$1:$I$89,5,0)</f>
        <v>447.63264000000038</v>
      </c>
      <c r="DQ67" s="13">
        <f t="shared" si="43"/>
        <v>101.36931692448528</v>
      </c>
      <c r="DR67" s="20">
        <f t="shared" si="16"/>
        <v>956.17840831014576</v>
      </c>
      <c r="DS67" s="59">
        <f t="shared" si="17"/>
        <v>1249.5117416434791</v>
      </c>
      <c r="DT67" s="59">
        <f ca="1">AVERAGE(OFFSET($DS$3,0,0,'Données projet'!$E$14+1,1))-AVERAGE(OFFSET($H$3,0,0,'Données projet'!$E$14+1,1))</f>
        <v>735.50267870886194</v>
      </c>
      <c r="DU67" s="59">
        <f t="shared" si="44"/>
        <v>525.80345400853275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32.71503986639933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32.71503986639933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>
        <f>VLOOKUP(A67,'Données projet'!$A$191:$I$211,2,0)</f>
        <v>137</v>
      </c>
      <c r="EH67" s="12">
        <f>VLOOKUP(A67,'Données projet'!$A$191:$I$211,9,0)</f>
        <v>5.625</v>
      </c>
      <c r="EI67" s="12">
        <f t="array" ref="EI67">INDEX(EH:EH,MIN(IF(ISNUMBER(EH67:EH263),ROW(EH67:EH263),"")))</f>
        <v>5.625</v>
      </c>
      <c r="EJ67" s="12">
        <f>IF('Données projet'!$A$192&gt;35,EJ66+EI67-ER66,IF(A67&lt;'Données projet'!$A$192,$EG$205^A67,IF(A67='Données projet'!$A$192,'Données projet'!$B$192,EJ66+EI67-ER66)))</f>
        <v>137.00000000000014</v>
      </c>
      <c r="EK67" s="17">
        <f>EJ67*VLOOKUP('Données projet'!$B$15,Paramètres!$A$1:$I$89,3,0)*VLOOKUP('Données projet'!$B$15,Paramètres!$A$1:$I$89,5,0)</f>
        <v>87.625200000000078</v>
      </c>
      <c r="EL67" s="13">
        <f t="shared" si="45"/>
        <v>23.991592093462625</v>
      </c>
      <c r="EM67" s="20">
        <f t="shared" si="19"/>
        <v>194.39924622944753</v>
      </c>
      <c r="EN67" s="59">
        <f t="shared" si="20"/>
        <v>487.73257956278087</v>
      </c>
      <c r="EO67" s="59">
        <f ca="1">AVERAGE(OFFSET($EN$3,0,0,'Données projet'!$E$15+1,1))-AVERAGE(OFFSET($H$3,0,0,'Données projet'!$E$15+1,1))</f>
        <v>274.14900959323484</v>
      </c>
      <c r="EP67" s="59">
        <f t="shared" si="46"/>
        <v>130.44590390921582</v>
      </c>
      <c r="EQ67" s="15">
        <f>IF(ISNA(VLOOKUP(A67,'Données projet'!$A$191:$I$211,3,0)),0,VLOOKUP(A67,'Données projet'!$A$191:$I$211,3,0))</f>
        <v>2</v>
      </c>
      <c r="ER67" s="15">
        <f>IF(ISNA(VLOOKUP(A67,'Données projet'!$A$191:$I$211,4,0)),0,VLOOKUP(A67,'Données projet'!$A$191:$I$211,4,0))</f>
        <v>32</v>
      </c>
      <c r="ES67" s="16">
        <f>IF(ISNA(VLOOKUP(A67,'Données projet'!$A$191:$I$211,5,0)),0%,VLOOKUP(A67,'Données projet'!$A$191:$I$211,5,0)*VLOOKUP('Données projet'!$B$15,Paramètres!$A$1:$I$89,7,0))</f>
        <v>0.25800000000000001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8.0950229130171092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8.0950229130171092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16.625</v>
      </c>
      <c r="FE67" s="12">
        <f>IF('Données projet'!$A$218&gt;35,FE66+FD67-FM66,IF(A67&lt;'Données projet'!$A$218,$FB$205^A67,IF(A67='Données projet'!$A$218,'Données projet'!$B$218,FE66+FD67-FM66)))</f>
        <v>461.74999999999994</v>
      </c>
      <c r="FF67" s="17">
        <f>FE67*VLOOKUP('Données projet'!$B$16,Paramètres!$A$1:$I$89,3,0)*VLOOKUP('Données projet'!$B$16,Paramètres!$A$1:$I$89,5,0)</f>
        <v>276.12649999999996</v>
      </c>
      <c r="FG67" s="13">
        <f t="shared" si="47"/>
        <v>66.147764494536574</v>
      </c>
      <c r="FH67" s="20">
        <f t="shared" si="22"/>
        <v>596.12767732798443</v>
      </c>
      <c r="FI67" s="59">
        <f t="shared" si="23"/>
        <v>889.46101066131769</v>
      </c>
      <c r="FJ67" s="59">
        <f ca="1">AVERAGE(OFFSET($FI$3,0,0,'Données projet'!$E$16+1,1))-AVERAGE(OFFSET($H$3,0,0,'Données projet'!$E$16+1,1))</f>
        <v>405.42845699663462</v>
      </c>
      <c r="FK67" s="59">
        <f t="shared" si="48"/>
        <v>292.26503163353146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38.82848097969746</v>
      </c>
      <c r="FR67" s="21">
        <f>EXP(-LN(2)/25)*FR66+(1-EXP(-LN(2)/25))/(LN(2)/25)*Calculateur!FM67*Calculateur!FO67*VLOOKUP('Données projet'!$B$16,Paramètres!$A$1:$I$89,3,0)*0.475*44/12</f>
        <v>28.868675905845155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67.697156885542611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16.625</v>
      </c>
      <c r="FZ67" s="12">
        <f>IF('Données projet'!$A$244&gt;35,FZ66+FY67-GH66,IF(A67&lt;'Données projet'!$A$244,$FW$205^A67,IF(A67='Données projet'!$A$244,'Données projet'!$B$244,FZ66+FY67-GH66)))</f>
        <v>461.74999999999994</v>
      </c>
      <c r="GA67" s="17">
        <f>FZ67*VLOOKUP('Données projet'!$B$17,Paramètres!$A$1:$I$89,3,0)*VLOOKUP('Données projet'!$B$17,Paramètres!$A$1:$I$89,5,0)</f>
        <v>276.12649999999996</v>
      </c>
      <c r="GB67" s="13">
        <f t="shared" si="49"/>
        <v>66.147764494536574</v>
      </c>
      <c r="GC67" s="20">
        <f t="shared" si="25"/>
        <v>596.12767732798443</v>
      </c>
      <c r="GD67" s="59">
        <f t="shared" si="26"/>
        <v>889.46101066131769</v>
      </c>
      <c r="GE67" s="59">
        <f ca="1">AVERAGE(OFFSET($GD$3,0,0,'Données projet'!$E$17+1,1))-AVERAGE(OFFSET($H$3,0,0,'Données projet'!$E$17+1,1))</f>
        <v>405.42845699663462</v>
      </c>
      <c r="GF67" s="59">
        <f t="shared" si="50"/>
        <v>292.26503163353146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38.82848097969746</v>
      </c>
      <c r="GM67" s="21">
        <f>EXP(-LN(2)/25)*GM66+(1-EXP(-LN(2)/25))/(LN(2)/25)*Calculateur!GH67*Calculateur!GJ67*VLOOKUP('Données projet'!$B$17,Paramètres!$A$1:$I$89,3,0)*0.475*44/12</f>
        <v>28.868675905845155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67.697156885542611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-1.1368683772161603E-13</v>
      </c>
      <c r="O68" s="13">
        <f>N68*VLOOKUP('Données projet'!$B$9,Paramètres!$A$1:$I$89,3,0)*VLOOKUP('Données projet'!$B$9,Paramètres!$A$1:$I$89,5,0)</f>
        <v>-5.3205440053716299E-14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198.26255998041</v>
      </c>
      <c r="T68" s="59">
        <f t="shared" si="34"/>
        <v>238.62101708181166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99.425107979052854</v>
      </c>
      <c r="AA68" s="21">
        <f>EXP(-LN(2)/25)*AA67+(1-EXP(-LN(2)/25))/(LN(2)/25)*Calculateur!V68*Calculateur!X68*VLOOKUP('Données projet'!$B$9,Paramètres!$A$1:$I$89,3,0)*0.475*44/12</f>
        <v>54.206012382577981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153.63112036163085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14.428571428571429</v>
      </c>
      <c r="AI68" s="13">
        <f>IF('Données projet'!$A$62&gt;35,AI67+AH68-AQ67,IF(A68&lt;'Données projet'!$A$62,$AF$205^A68,IF(A68='Données projet'!$A$62,'Données projet'!$B$62,AI67+AH68-AQ67)))</f>
        <v>492.14285714285745</v>
      </c>
      <c r="AJ68" s="13">
        <f>AI68*VLOOKUP('Données projet'!$B$10,Paramètres!$A$1:$I$89,3,0)*VLOOKUP('Données projet'!$B$10,Paramètres!$A$1:$I$89,5,0)</f>
        <v>275.10785714285731</v>
      </c>
      <c r="AK68" s="13">
        <f t="shared" si="35"/>
        <v>65.932100275480451</v>
      </c>
      <c r="AL68" s="20">
        <f t="shared" ref="AL68:AL131" si="58">(AJ68+AK68)*0.475*44/12</f>
        <v>593.9779258369382</v>
      </c>
      <c r="AM68" s="59">
        <f t="shared" ref="AM68:AM131" si="59">AL68+(AD68+AE68)*44/12</f>
        <v>887.31125917027157</v>
      </c>
      <c r="AN68" s="59">
        <f ca="1">AVERAGE(OFFSET($AM$3,0,0,'Données projet'!$E$10+1,1))-AVERAGE(OFFSET($H$3,0,0,'Données projet'!$E$10+1,1))</f>
        <v>347.02720636703873</v>
      </c>
      <c r="AO68" s="59">
        <f t="shared" si="36"/>
        <v>394.03759949558702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62.280986639728972</v>
      </c>
      <c r="AV68" s="21">
        <f>EXP(-LN(2)/25)*AV67+(1-EXP(-LN(2)/25))/(LN(2)/25)*Calculateur!AQ68*Calculateur!AS68*VLOOKUP('Données projet'!$B$10,Paramètres!$A$1:$I$89,3,0)*0.475*44/12</f>
        <v>48.252420239665966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110.53340687939493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555</v>
      </c>
      <c r="BB68" s="12">
        <f>VLOOKUP(A68,'Données projet'!$A$87:$I$107,9,0)</f>
        <v>17.399999999999999</v>
      </c>
      <c r="BC68" s="12">
        <f t="array" ref="BC68">INDEX(BB:BB,MIN(IF(ISNUMBER(BB68:BB264),ROW(BB68:BB264),"")))</f>
        <v>17.399999999999999</v>
      </c>
      <c r="BD68" s="12">
        <f>IF('Données projet'!$A$88&gt;35,BD67+BC68-BL67,IF(A68&lt;'Données projet'!$A$88,$BA$205^A68,IF(A68='Données projet'!$A$88,'Données projet'!$B$88,BD67+BC68-BL67)))</f>
        <v>554.99999999999989</v>
      </c>
      <c r="BE68" s="13">
        <f>BD68*VLOOKUP('Données projet'!$B$11,Paramètres!$A$1:$I$89,3,0)*VLOOKUP('Données projet'!$B$11,Paramètres!$A$1:$I$89,5,0)</f>
        <v>331.88999999999993</v>
      </c>
      <c r="BF68" s="13">
        <f t="shared" si="37"/>
        <v>77.822022056956186</v>
      </c>
      <c r="BG68" s="20">
        <f t="shared" ref="BG68:BG131" si="61">(BE68+BF68)*0.475*44/12</f>
        <v>713.58177174919854</v>
      </c>
      <c r="BH68" s="59">
        <f t="shared" ref="BH68:BH131" si="62">BG68+(AY68+AZ68)*44/12</f>
        <v>1006.9151050825319</v>
      </c>
      <c r="BI68" s="59">
        <f ca="1">AVERAGE(OFFSET($BH$3,0,0,'Données projet'!$E$11+1,1))-AVERAGE(OFFSET($H$3,0,0,'Données projet'!$E$11+1,1))</f>
        <v>378.75660696651238</v>
      </c>
      <c r="BJ68" s="59">
        <f t="shared" si="38"/>
        <v>371.70674704563288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28</v>
      </c>
      <c r="BM68" s="16">
        <f>IF(ISNA(VLOOKUP(A68,'Données projet'!$A$87:$I$107,5,0)),0%,VLOOKUP(A68,'Données projet'!$A$87:$I$107,5,0)*VLOOKUP('Données projet'!$B$11,Paramètres!$A$1:$I$89,7,0))</f>
        <v>0.315</v>
      </c>
      <c r="BN68" s="16">
        <f>IF(ISNA(VLOOKUP(A68,'Données projet'!$A$87:$I$107,6,0)),0%,VLOOKUP(A68,'Données projet'!$A$87:$I$107,6,0)*VLOOKUP('Données projet'!$B$11,Paramètres!$A$1:$I$89,7,0))</f>
        <v>0.13500000000000001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46.813403525075771</v>
      </c>
      <c r="BQ68" s="21">
        <f>EXP(-LN(2)/25)*BQ67+(1-EXP(-LN(2)/25))/(LN(2)/25)*Calculateur!BL68*Calculateur!BN68*VLOOKUP('Données projet'!$B$11,Paramètres!$A$1:$I$89,3,0)*0.475*44/12</f>
        <v>36.90866291918676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83.722066444262538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4.875</v>
      </c>
      <c r="BY68" s="12">
        <f>IF('Données projet'!$A$114&gt;35,BY67+BX68-CG67,IF(A68&lt;'Données projet'!$A$114,$BV$205^A68,IF(A68='Données projet'!$A$114,'Données projet'!$B$114,BY67+BX68-CG67)))</f>
        <v>109.87500000000014</v>
      </c>
      <c r="BZ68" s="13">
        <f>BY68*VLOOKUP('Données projet'!$B$12,Paramètres!$A$1:$I$89,3,0)*VLOOKUP('Données projet'!$B$12,Paramètres!$A$1:$I$89,5,0)</f>
        <v>111.41325000000015</v>
      </c>
      <c r="CA68" s="13">
        <f t="shared" si="39"/>
        <v>29.663709501579618</v>
      </c>
      <c r="CB68" s="20">
        <f t="shared" ref="CB68:CB131" si="64">(BZ68+CA68)*0.475*44/12</f>
        <v>245.70903779858475</v>
      </c>
      <c r="CC68" s="59">
        <f t="shared" ref="CC68:CC131" si="65">CB68+(BT68+BU68)*44/12</f>
        <v>539.04237113191812</v>
      </c>
      <c r="CD68" s="59">
        <f ca="1">AVERAGE(OFFSET($CC$3,0,0,'Données projet'!$E$12+1,1))-AVERAGE(OFFSET($H$3,0,0,'Données projet'!$E$12+1,1))</f>
        <v>410.75375635525211</v>
      </c>
      <c r="CE68" s="59">
        <f t="shared" si="40"/>
        <v>183.55513001437367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12.581914373804965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12.581914373804965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6.875</v>
      </c>
      <c r="CT68" s="12">
        <f>IF('Données projet'!$A$140&gt;35,CT67+CS68-DB67,IF(A68&lt;'Données projet'!$A$140,$CQ$205^A68,IF(A68='Données projet'!$A$140,'Données projet'!$B$140,CT67+CS68-DB67)))</f>
        <v>183.125</v>
      </c>
      <c r="CU68" s="17">
        <f>CT68*VLOOKUP('Données projet'!$B$13,Paramètres!$A$1:$I$89,3,0)*VLOOKUP('Données projet'!$B$13,Paramètres!$A$1:$I$89,5,0)</f>
        <v>165.69149999999999</v>
      </c>
      <c r="CV68" s="13">
        <f t="shared" si="41"/>
        <v>42.123625959662853</v>
      </c>
      <c r="CW68" s="20">
        <f t="shared" ref="CW68:CW131" si="67">(CU68+CV68)*0.475*44/12</f>
        <v>361.94467771307944</v>
      </c>
      <c r="CX68" s="59">
        <f t="shared" ref="CX68:CX131" si="68">CW68+(CO68+CP68)*44/12</f>
        <v>655.27801104641276</v>
      </c>
      <c r="CY68" s="59">
        <f ca="1">AVERAGE(OFFSET($CX$3,0,0,'Données projet'!$E$13+1,1))-AVERAGE(OFFSET($H$3,0,0,'Données projet'!$E$13+1,1))</f>
        <v>436.12708882925142</v>
      </c>
      <c r="CZ68" s="59">
        <f t="shared" si="42"/>
        <v>217.65884352525285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10.752439630729082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10.752439630729082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484</v>
      </c>
      <c r="DM68" s="12">
        <f>VLOOKUP(A68,'Données projet'!$A$165:$I$185,9,0)</f>
        <v>13.6</v>
      </c>
      <c r="DN68" s="12">
        <f t="array" ref="DN68">INDEX(DM:DM,MIN(IF(ISNUMBER(DM68:DM264),ROW(DM68:DM264),"")))</f>
        <v>13.6</v>
      </c>
      <c r="DO68" s="12">
        <f>IF('Données projet'!$A$166&gt;35,DO67+DN68-DW67,IF(A68&lt;'Données projet'!$A$166,$DL$205^A68,IF(A68='Données projet'!$A$166,'Données projet'!$B$166,DO67+DN68-DW67)))</f>
        <v>484.00000000000045</v>
      </c>
      <c r="DP68" s="17">
        <f>DO68*VLOOKUP('Données projet'!$B$14,Paramètres!$A$1:$I$89,3,0)*VLOOKUP('Données projet'!$B$14,Paramètres!$A$1:$I$89,5,0)</f>
        <v>460.57440000000048</v>
      </c>
      <c r="DQ68" s="13">
        <f t="shared" si="43"/>
        <v>103.95461246589437</v>
      </c>
      <c r="DR68" s="20">
        <f t="shared" ref="DR68:DR131" si="70">(DP68+DQ68)*0.475*44/12</f>
        <v>983.22136337810014</v>
      </c>
      <c r="DS68" s="59">
        <f t="shared" ref="DS68:DS131" si="71">DR68+(DJ68+DK68)*44/12</f>
        <v>1276.5546967114335</v>
      </c>
      <c r="DT68" s="59">
        <f ca="1">AVERAGE(OFFSET($DS$3,0,0,'Données projet'!$E$14+1,1))-AVERAGE(OFFSET($H$3,0,0,'Données projet'!$E$14+1,1))</f>
        <v>735.50267870886194</v>
      </c>
      <c r="DU68" s="59">
        <f t="shared" si="44"/>
        <v>525.80345400853275</v>
      </c>
      <c r="DV68" s="15">
        <f>IF(ISNA(VLOOKUP(A68,'Données projet'!$A$165:$I$185,3,0)),0,VLOOKUP(A68,'Données projet'!$A$165:$I$185,3,0))</f>
        <v>11</v>
      </c>
      <c r="DW68" s="15">
        <f>IF(ISNA(VLOOKUP(A68,'Données projet'!$A$165:$I$185,4,0)),0,VLOOKUP(A68,'Données projet'!$A$165:$I$185,4,0))</f>
        <v>54</v>
      </c>
      <c r="DX68" s="16">
        <f>IF(ISNA(VLOOKUP(A68,'Données projet'!$A$165:$I$185,5,0)),0%,VLOOKUP(A68,'Données projet'!$A$165:$I$185,5,0)*VLOOKUP('Données projet'!$B$14,Paramètres!$A$1:$I$89,7,0))</f>
        <v>0.25800000000000001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46.729502811417902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46.729502811417902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4.875</v>
      </c>
      <c r="EJ68" s="12">
        <f>IF('Données projet'!$A$192&gt;35,EJ67+EI68-ER67,IF(A68&lt;'Données projet'!$A$192,$EG$205^A68,IF(A68='Données projet'!$A$192,'Données projet'!$B$192,EJ67+EI68-ER67)))</f>
        <v>109.87500000000014</v>
      </c>
      <c r="EK68" s="17">
        <f>EJ68*VLOOKUP('Données projet'!$B$15,Paramètres!$A$1:$I$89,3,0)*VLOOKUP('Données projet'!$B$15,Paramètres!$A$1:$I$89,5,0)</f>
        <v>70.276050000000083</v>
      </c>
      <c r="EL68" s="13">
        <f t="shared" si="45"/>
        <v>19.741994804658191</v>
      </c>
      <c r="EM68" s="20">
        <f t="shared" ref="EM68:EM131" si="73">(EK68+EL68)*0.475*44/12</f>
        <v>156.78142803477982</v>
      </c>
      <c r="EN68" s="59">
        <f t="shared" ref="EN68:EN131" si="74">EM68+(EE68+EF68)*44/12</f>
        <v>450.11476136811314</v>
      </c>
      <c r="EO68" s="59">
        <f ca="1">AVERAGE(OFFSET($EN$3,0,0,'Données projet'!$E$15+1,1))-AVERAGE(OFFSET($H$3,0,0,'Données projet'!$E$15+1,1))</f>
        <v>274.14900959323484</v>
      </c>
      <c r="EP68" s="59">
        <f t="shared" si="46"/>
        <v>130.44590390921582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7.9362844511692856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7.9362844511692856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16.625</v>
      </c>
      <c r="FE68" s="12">
        <f>IF('Données projet'!$A$218&gt;35,FE67+FD68-FM67,IF(A68&lt;'Données projet'!$A$218,$FB$205^A68,IF(A68='Données projet'!$A$218,'Données projet'!$B$218,FE67+FD68-FM67)))</f>
        <v>478.37499999999994</v>
      </c>
      <c r="FF68" s="17">
        <f>FE68*VLOOKUP('Données projet'!$B$16,Paramètres!$A$1:$I$89,3,0)*VLOOKUP('Données projet'!$B$16,Paramètres!$A$1:$I$89,5,0)</f>
        <v>286.06824999999998</v>
      </c>
      <c r="FG68" s="13">
        <f t="shared" si="47"/>
        <v>68.247799922382825</v>
      </c>
      <c r="FH68" s="20">
        <f t="shared" ref="FH68:FH131" si="76">(FF68+FG68)*0.475*44/12</f>
        <v>617.10045361481673</v>
      </c>
      <c r="FI68" s="59">
        <f t="shared" ref="FI68:FI131" si="77">FH68+(EZ68+FA68)*44/12</f>
        <v>910.4337869481501</v>
      </c>
      <c r="FJ68" s="59">
        <f ca="1">AVERAGE(OFFSET($FI$3,0,0,'Données projet'!$E$16+1,1))-AVERAGE(OFFSET($H$3,0,0,'Données projet'!$E$16+1,1))</f>
        <v>405.42845699663462</v>
      </c>
      <c r="FK68" s="59">
        <f t="shared" si="48"/>
        <v>292.26503163353146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38.067078150720484</v>
      </c>
      <c r="FR68" s="21">
        <f>EXP(-LN(2)/25)*FR67+(1-EXP(-LN(2)/25))/(LN(2)/25)*Calculateur!FM68*Calculateur!FO68*VLOOKUP('Données projet'!$B$16,Paramètres!$A$1:$I$89,3,0)*0.475*44/12</f>
        <v>28.079260445062133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66.146338595782623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16.625</v>
      </c>
      <c r="FZ68" s="12">
        <f>IF('Données projet'!$A$244&gt;35,FZ67+FY68-GH67,IF(A68&lt;'Données projet'!$A$244,$FW$205^A68,IF(A68='Données projet'!$A$244,'Données projet'!$B$244,FZ67+FY68-GH67)))</f>
        <v>478.37499999999994</v>
      </c>
      <c r="GA68" s="17">
        <f>FZ68*VLOOKUP('Données projet'!$B$17,Paramètres!$A$1:$I$89,3,0)*VLOOKUP('Données projet'!$B$17,Paramètres!$A$1:$I$89,5,0)</f>
        <v>286.06824999999998</v>
      </c>
      <c r="GB68" s="13">
        <f t="shared" si="49"/>
        <v>68.247799922382825</v>
      </c>
      <c r="GC68" s="20">
        <f t="shared" ref="GC68:GC131" si="79">(GA68+GB68)*0.475*44/12</f>
        <v>617.10045361481673</v>
      </c>
      <c r="GD68" s="59">
        <f t="shared" ref="GD68:GD131" si="80">GC68+(FU68+FV68)*44/12</f>
        <v>910.4337869481501</v>
      </c>
      <c r="GE68" s="59">
        <f ca="1">AVERAGE(OFFSET($GD$3,0,0,'Données projet'!$E$17+1,1))-AVERAGE(OFFSET($H$3,0,0,'Données projet'!$E$17+1,1))</f>
        <v>405.42845699663462</v>
      </c>
      <c r="GF68" s="59">
        <f t="shared" si="50"/>
        <v>292.26503163353146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38.067078150720484</v>
      </c>
      <c r="GM68" s="21">
        <f>EXP(-LN(2)/25)*GM67+(1-EXP(-LN(2)/25))/(LN(2)/25)*Calculateur!GH68*Calculateur!GJ68*VLOOKUP('Données projet'!$B$17,Paramètres!$A$1:$I$89,3,0)*0.475*44/12</f>
        <v>28.079260445062133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66.146338595782623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-1.1368683772161603E-13</v>
      </c>
      <c r="O69" s="13">
        <f>N69*VLOOKUP('Données projet'!$B$9,Paramètres!$A$1:$I$89,3,0)*VLOOKUP('Données projet'!$B$9,Paramètres!$A$1:$I$89,5,0)</f>
        <v>-5.3205440053716299E-14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198.26255998041</v>
      </c>
      <c r="T69" s="59">
        <f t="shared" ref="T69:T132" si="88">$T$3</f>
        <v>238.62101708181166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97.475442254911457</v>
      </c>
      <c r="AA69" s="21">
        <f>EXP(-LN(2)/25)*AA68+(1-EXP(-LN(2)/25))/(LN(2)/25)*Calculateur!V69*Calculateur!X69*VLOOKUP('Données projet'!$B$9,Paramètres!$A$1:$I$89,3,0)*0.475*44/12</f>
        <v>52.723746123406087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150.19918837831756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14.428571428571429</v>
      </c>
      <c r="AI69" s="13">
        <f>IF('Données projet'!$A$62&gt;35,AI68+AH69-AQ68,IF(A69&lt;'Données projet'!$A$62,$AF$205^A69,IF(A69='Données projet'!$A$62,'Données projet'!$B$62,AI68+AH69-AQ68)))</f>
        <v>506.5714285714289</v>
      </c>
      <c r="AJ69" s="13">
        <f>AI69*VLOOKUP('Données projet'!$B$10,Paramètres!$A$1:$I$89,3,0)*VLOOKUP('Données projet'!$B$10,Paramètres!$A$1:$I$89,5,0)</f>
        <v>283.17342857142876</v>
      </c>
      <c r="AK69" s="13">
        <f t="shared" ref="AK69:AK132" si="89">EXP(-1.0587+0.8836*LN(AJ69)+0.284)</f>
        <v>67.637205052920223</v>
      </c>
      <c r="AL69" s="20">
        <f t="shared" si="58"/>
        <v>610.99518689574109</v>
      </c>
      <c r="AM69" s="59">
        <f t="shared" si="59"/>
        <v>904.32852022907446</v>
      </c>
      <c r="AN69" s="59">
        <f ca="1">AVERAGE(OFFSET($AM$3,0,0,'Données projet'!$E$10+1,1))-AVERAGE(OFFSET($H$3,0,0,'Données projet'!$E$10+1,1))</f>
        <v>347.02720636703873</v>
      </c>
      <c r="AO69" s="59">
        <f t="shared" ref="AO69:AO132" si="90">$AO$3</f>
        <v>394.03759949558702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61.05969447937477</v>
      </c>
      <c r="AV69" s="21">
        <f>EXP(-LN(2)/25)*AV68+(1-EXP(-LN(2)/25))/(LN(2)/25)*Calculateur!AQ69*Calculateur!AS69*VLOOKUP('Données projet'!$B$10,Paramètres!$A$1:$I$89,3,0)*0.475*44/12</f>
        <v>46.932955270727803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107.99264975010257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16.3</v>
      </c>
      <c r="BD69" s="12">
        <f>IF('Données projet'!$A$88&gt;35,BD68+BC69-BL68,IF(A69&lt;'Données projet'!$A$88,$BA$205^A69,IF(A69='Données projet'!$A$88,'Données projet'!$B$88,BD68+BC69-BL68)))</f>
        <v>543.29999999999984</v>
      </c>
      <c r="BE69" s="13">
        <f>BD69*VLOOKUP('Données projet'!$B$11,Paramètres!$A$1:$I$89,3,0)*VLOOKUP('Données projet'!$B$11,Paramètres!$A$1:$I$89,5,0)</f>
        <v>324.89339999999993</v>
      </c>
      <c r="BF69" s="13">
        <f t="shared" ref="BF69:BF132" si="91">EXP(-1.0587+0.8836*LN(BE69)+0.284)</f>
        <v>76.370619658403484</v>
      </c>
      <c r="BG69" s="20">
        <f t="shared" si="61"/>
        <v>698.86816757171925</v>
      </c>
      <c r="BH69" s="59">
        <f t="shared" si="62"/>
        <v>992.20150090505263</v>
      </c>
      <c r="BI69" s="59">
        <f ca="1">AVERAGE(OFFSET($BH$3,0,0,'Données projet'!$E$11+1,1))-AVERAGE(OFFSET($H$3,0,0,'Données projet'!$E$11+1,1))</f>
        <v>378.75660696651238</v>
      </c>
      <c r="BJ69" s="59">
        <f t="shared" ref="BJ69:BJ132" si="92">$BJ$3</f>
        <v>371.70674704563288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45.895421235305776</v>
      </c>
      <c r="BQ69" s="21">
        <f>EXP(-LN(2)/25)*BQ68+(1-EXP(-LN(2)/25))/(LN(2)/25)*Calculateur!BL69*Calculateur!BN69*VLOOKUP('Données projet'!$B$11,Paramètres!$A$1:$I$89,3,0)*0.475*44/12</f>
        <v>35.89939359071937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81.794814826025146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4.875</v>
      </c>
      <c r="BY69" s="12">
        <f>IF('Données projet'!$A$114&gt;35,BY68+BX69-CG68,IF(A69&lt;'Données projet'!$A$114,$BV$205^A69,IF(A69='Données projet'!$A$114,'Données projet'!$B$114,BY68+BX69-CG68)))</f>
        <v>114.75000000000014</v>
      </c>
      <c r="BZ69" s="13">
        <f>BY69*VLOOKUP('Données projet'!$B$12,Paramètres!$A$1:$I$89,3,0)*VLOOKUP('Données projet'!$B$12,Paramètres!$A$1:$I$89,5,0)</f>
        <v>116.35650000000014</v>
      </c>
      <c r="CA69" s="13">
        <f t="shared" ref="CA69:CA132" si="93">EXP(-1.0587+0.8836*LN(BZ69)+0.284)</f>
        <v>30.823693851616529</v>
      </c>
      <c r="CB69" s="20">
        <f t="shared" si="64"/>
        <v>256.33883762489904</v>
      </c>
      <c r="CC69" s="59">
        <f t="shared" si="65"/>
        <v>549.6721709582323</v>
      </c>
      <c r="CD69" s="59">
        <f ca="1">AVERAGE(OFFSET($CC$3,0,0,'Données projet'!$E$12+1,1))-AVERAGE(OFFSET($H$3,0,0,'Données projet'!$E$12+1,1))</f>
        <v>410.75375635525211</v>
      </c>
      <c r="CE69" s="59">
        <f t="shared" ref="CE69:CE132" si="94">$CE$3</f>
        <v>183.55513001437367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12.335190707144653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12.335190707144653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>
        <f>VLOOKUP(A69,'Données projet'!$A$139:$I$159,2,0)</f>
        <v>190</v>
      </c>
      <c r="CR69" s="12">
        <f>VLOOKUP(A69,'Données projet'!$A$139:$I$159,9,0)</f>
        <v>6.875</v>
      </c>
      <c r="CS69" s="12">
        <f t="array" ref="CS69">INDEX(CR:CR,MIN(IF(ISNUMBER(CR69:CR265),ROW(CR69:CR265),"")))</f>
        <v>6.875</v>
      </c>
      <c r="CT69" s="12">
        <f>IF('Données projet'!$A$140&gt;35,CT68+CS69-DB68,IF(A69&lt;'Données projet'!$A$140,$CQ$205^A69,IF(A69='Données projet'!$A$140,'Données projet'!$B$140,CT68+CS69-DB68)))</f>
        <v>190</v>
      </c>
      <c r="CU69" s="17">
        <f>CT69*VLOOKUP('Données projet'!$B$13,Paramètres!$A$1:$I$89,3,0)*VLOOKUP('Données projet'!$B$13,Paramètres!$A$1:$I$89,5,0)</f>
        <v>171.91199999999998</v>
      </c>
      <c r="CV69" s="13">
        <f t="shared" ref="CV69:CV132" si="95">EXP(-1.0587+0.8836*LN(CU69)+0.284)</f>
        <v>43.517968841037288</v>
      </c>
      <c r="CW69" s="20">
        <f t="shared" si="67"/>
        <v>375.20719573147318</v>
      </c>
      <c r="CX69" s="59">
        <f t="shared" si="68"/>
        <v>668.54052906480649</v>
      </c>
      <c r="CY69" s="59">
        <f ca="1">AVERAGE(OFFSET($CX$3,0,0,'Données projet'!$E$13+1,1))-AVERAGE(OFFSET($H$3,0,0,'Données projet'!$E$13+1,1))</f>
        <v>436.12708882925142</v>
      </c>
      <c r="CZ69" s="59">
        <f t="shared" ref="CZ69:CZ132" si="96">$CZ$3</f>
        <v>217.65884352525285</v>
      </c>
      <c r="DA69" s="15">
        <f>IF(ISNA(VLOOKUP(A69,'Données projet'!$A$139:$I$159,3,0)),0,VLOOKUP(A69,'Données projet'!$A$139:$I$159,3,0))</f>
        <v>4</v>
      </c>
      <c r="DB69" s="15">
        <f>IF(ISNA(VLOOKUP(A69,'Données projet'!$A$139:$I$159,4,0)),0,VLOOKUP(A69,'Données projet'!$A$139:$I$159,4,0))</f>
        <v>38</v>
      </c>
      <c r="DC69" s="16">
        <f>IF(ISNA(VLOOKUP(A69,'Données projet'!$A$139:$I$159,5,0)),0%,VLOOKUP(A69,'Données projet'!$A$139:$I$159,5,0)*VLOOKUP('Données projet'!$B$13,Paramètres!$A$1:$I$89,7,0))</f>
        <v>0.25800000000000001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20.347841840442534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20.347841840442534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13</v>
      </c>
      <c r="DO69" s="12">
        <f>IF('Données projet'!$A$166&gt;35,DO68+DN69-DW68,IF(A69&lt;'Données projet'!$A$166,$DL$205^A69,IF(A69='Données projet'!$A$166,'Données projet'!$B$166,DO68+DN69-DW68)))</f>
        <v>443.00000000000045</v>
      </c>
      <c r="DP69" s="17">
        <f>DO69*VLOOKUP('Données projet'!$B$14,Paramètres!$A$1:$I$89,3,0)*VLOOKUP('Données projet'!$B$14,Paramètres!$A$1:$I$89,5,0)</f>
        <v>421.55880000000042</v>
      </c>
      <c r="DQ69" s="13">
        <f t="shared" ref="DQ69:DQ132" si="97">EXP(-1.0587+0.8836*LN(DP69)+0.284)</f>
        <v>96.133938377314152</v>
      </c>
      <c r="DR69" s="20">
        <f t="shared" si="70"/>
        <v>901.64818600715614</v>
      </c>
      <c r="DS69" s="59">
        <f t="shared" si="71"/>
        <v>1194.9815193404895</v>
      </c>
      <c r="DT69" s="59">
        <f ca="1">AVERAGE(OFFSET($DS$3,0,0,'Données projet'!$E$14+1,1))-AVERAGE(OFFSET($H$3,0,0,'Données projet'!$E$14+1,1))</f>
        <v>735.50267870886194</v>
      </c>
      <c r="DU69" s="59">
        <f t="shared" ref="DU69:DU132" si="98">$DU$3</f>
        <v>525.80345400853275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45.813165763468355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45.813165763468355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4.875</v>
      </c>
      <c r="EJ69" s="12">
        <f>IF('Données projet'!$A$192&gt;35,EJ68+EI69-ER68,IF(A69&lt;'Données projet'!$A$192,$EG$205^A69,IF(A69='Données projet'!$A$192,'Données projet'!$B$192,EJ68+EI69-ER68)))</f>
        <v>114.75000000000014</v>
      </c>
      <c r="EK69" s="17">
        <f>EJ69*VLOOKUP('Données projet'!$B$15,Paramètres!$A$1:$I$89,3,0)*VLOOKUP('Données projet'!$B$15,Paramètres!$A$1:$I$89,5,0)</f>
        <v>73.394100000000094</v>
      </c>
      <c r="EL69" s="13">
        <f t="shared" ref="EL69:EL132" si="99">EXP(-1.0587+0.8836*LN(EK69)+0.284)</f>
        <v>20.513995521921604</v>
      </c>
      <c r="EM69" s="20">
        <f t="shared" si="73"/>
        <v>163.55659970068029</v>
      </c>
      <c r="EN69" s="59">
        <f t="shared" si="74"/>
        <v>456.88993303401361</v>
      </c>
      <c r="EO69" s="59">
        <f ca="1">AVERAGE(OFFSET($EN$3,0,0,'Données projet'!$E$15+1,1))-AVERAGE(OFFSET($H$3,0,0,'Données projet'!$E$15+1,1))</f>
        <v>274.14900959323484</v>
      </c>
      <c r="EP69" s="59">
        <f t="shared" ref="EP69:EP132" si="100">$EP$3</f>
        <v>130.44590390921582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7.7806587537373959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7.7806587537373959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>
        <f>VLOOKUP(A69,'Données projet'!$A$217:$I$237,2,0)</f>
        <v>495</v>
      </c>
      <c r="FC69" s="12">
        <f>VLOOKUP(A69,'Données projet'!$A$217:$I$237,9,0)</f>
        <v>16.625</v>
      </c>
      <c r="FD69" s="12">
        <f t="array" ref="FD69">INDEX(FC:FC,MIN(IF(ISNUMBER(FC69:FC265),ROW(FC69:FC265),"")))</f>
        <v>16.625</v>
      </c>
      <c r="FE69" s="12">
        <f>IF('Données projet'!$A$218&gt;35,FE68+FD69-FM68,IF(A69&lt;'Données projet'!$A$218,$FB$205^A69,IF(A69='Données projet'!$A$218,'Données projet'!$B$218,FE68+FD69-FM68)))</f>
        <v>494.99999999999994</v>
      </c>
      <c r="FF69" s="17">
        <f>FE69*VLOOKUP('Données projet'!$B$16,Paramètres!$A$1:$I$89,3,0)*VLOOKUP('Données projet'!$B$16,Paramètres!$A$1:$I$89,5,0)</f>
        <v>296.01</v>
      </c>
      <c r="FG69" s="13">
        <f t="shared" ref="FG69:FG132" si="101">EXP(-1.0587+0.8836*LN(FF69)+0.284)</f>
        <v>70.339355522692159</v>
      </c>
      <c r="FH69" s="20">
        <f t="shared" si="76"/>
        <v>638.05846086868871</v>
      </c>
      <c r="FI69" s="59">
        <f t="shared" si="77"/>
        <v>931.39179420202208</v>
      </c>
      <c r="FJ69" s="59">
        <f ca="1">AVERAGE(OFFSET($FI$3,0,0,'Données projet'!$E$16+1,1))-AVERAGE(OFFSET($H$3,0,0,'Données projet'!$E$16+1,1))</f>
        <v>405.42845699663462</v>
      </c>
      <c r="FK69" s="59">
        <f t="shared" ref="FK69:FK132" si="102">$FK$3</f>
        <v>292.26503163353146</v>
      </c>
      <c r="FL69" s="15">
        <f>IF(ISNA(VLOOKUP(A69,'Données projet'!$A$217:$I$237,3,0)),0,VLOOKUP(A69,'Données projet'!$A$217:$I$237,3,0))</f>
        <v>9</v>
      </c>
      <c r="FM69" s="15">
        <f>IF(ISNA(VLOOKUP(A69,'Données projet'!$A$217:$I$237,4,0)),0,VLOOKUP(A69,'Données projet'!$A$217:$I$237,4,0))</f>
        <v>65</v>
      </c>
      <c r="FN69" s="16">
        <f>IF(ISNA(VLOOKUP(A69,'Données projet'!$A$217:$I$237,5,0)),0%,VLOOKUP(A69,'Données projet'!$A$217:$I$237,5,0)*VLOOKUP('Données projet'!$B$16,Paramètres!$A$1:$I$89,7,0))</f>
        <v>0.315</v>
      </c>
      <c r="FO69" s="16">
        <f>IF(ISNA(VLOOKUP(A69,'Données projet'!$A$217:$I$237,6,0)),0%,VLOOKUP(A69,'Données projet'!$A$217:$I$237,6,0)*VLOOKUP('Données projet'!$B$16,Paramètres!$A$1:$I$89,7,0))</f>
        <v>0.13500000000000001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53.563127487434386</v>
      </c>
      <c r="FR69" s="21">
        <f>EXP(-LN(2)/25)*FR68+(1-EXP(-LN(2)/25))/(LN(2)/25)*Calculateur!FM69*Calculateur!FO69*VLOOKUP('Données projet'!$B$16,Paramètres!$A$1:$I$89,3,0)*0.475*44/12</f>
        <v>34.245103816358593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87.808231303792979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>
        <f>VLOOKUP(A69,'Données projet'!$A$243:$I$263,2,0)</f>
        <v>495</v>
      </c>
      <c r="FX69" s="12">
        <f>VLOOKUP(A69,'Données projet'!$A$243:$I$263,9,0)</f>
        <v>16.625</v>
      </c>
      <c r="FY69" s="12">
        <f t="array" ref="FY69">INDEX(FX:FX,MIN(IF(ISNUMBER(FX69:FX265),ROW(FX69:FX265),"")))</f>
        <v>16.625</v>
      </c>
      <c r="FZ69" s="12">
        <f>IF('Données projet'!$A$244&gt;35,FZ68+FY69-GH68,IF(A69&lt;'Données projet'!$A$244,$FW$205^A69,IF(A69='Données projet'!$A$244,'Données projet'!$B$244,FZ68+FY69-GH68)))</f>
        <v>494.99999999999994</v>
      </c>
      <c r="GA69" s="17">
        <f>FZ69*VLOOKUP('Données projet'!$B$17,Paramètres!$A$1:$I$89,3,0)*VLOOKUP('Données projet'!$B$17,Paramètres!$A$1:$I$89,5,0)</f>
        <v>296.01</v>
      </c>
      <c r="GB69" s="13">
        <f t="shared" ref="GB69:GB132" si="103">EXP(-1.0587+0.8836*LN(GA69)+0.284)</f>
        <v>70.339355522692159</v>
      </c>
      <c r="GC69" s="20">
        <f t="shared" si="79"/>
        <v>638.05846086868871</v>
      </c>
      <c r="GD69" s="59">
        <f t="shared" si="80"/>
        <v>931.39179420202208</v>
      </c>
      <c r="GE69" s="59">
        <f ca="1">AVERAGE(OFFSET($GD$3,0,0,'Données projet'!$E$17+1,1))-AVERAGE(OFFSET($H$3,0,0,'Données projet'!$E$17+1,1))</f>
        <v>405.42845699663462</v>
      </c>
      <c r="GF69" s="59">
        <f t="shared" ref="GF69:GF132" si="104">$GF$3</f>
        <v>292.26503163353146</v>
      </c>
      <c r="GG69" s="15">
        <f>IF(ISNA(VLOOKUP(A69,'Données projet'!$A$243:$I$263,3,0)),0,VLOOKUP(A69,'Données projet'!$A$243:$I$263,3,0))</f>
        <v>9</v>
      </c>
      <c r="GH69" s="15">
        <f>IF(ISNA(VLOOKUP(A69,'Données projet'!$A$243:$I$263,4,0)),0,VLOOKUP(A69,'Données projet'!$A$243:$I$263,4,0))</f>
        <v>65</v>
      </c>
      <c r="GI69" s="16">
        <f>IF(ISNA(VLOOKUP(A69,'Données projet'!$A$243:$I$263,5,0)),0%,VLOOKUP(A69,'Données projet'!$A$243:$I$263,5,0)*VLOOKUP('Données projet'!$B$17,Paramètres!$A$1:$I$89,7,0))</f>
        <v>0.315</v>
      </c>
      <c r="GJ69" s="16">
        <f>IF(ISNA(VLOOKUP(A69,'Données projet'!$A$243:$I$263,6,0)),0%,VLOOKUP(A69,'Données projet'!$A$243:$I$263,6,0)*VLOOKUP('Données projet'!$B$17,Paramètres!$A$1:$I$89,7,0))</f>
        <v>0.13500000000000001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53.563127487434386</v>
      </c>
      <c r="GM69" s="21">
        <f>EXP(-LN(2)/25)*GM68+(1-EXP(-LN(2)/25))/(LN(2)/25)*Calculateur!GH69*Calculateur!GJ69*VLOOKUP('Données projet'!$B$17,Paramètres!$A$1:$I$89,3,0)*0.475*44/12</f>
        <v>34.245103816358593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87.808231303792979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-1.1368683772161603E-13</v>
      </c>
      <c r="O70" s="13">
        <f>N70*VLOOKUP('Données projet'!$B$9,Paramètres!$A$1:$I$89,3,0)*VLOOKUP('Données projet'!$B$9,Paramètres!$A$1:$I$89,5,0)</f>
        <v>-5.3205440053716299E-14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198.26255998041</v>
      </c>
      <c r="T70" s="59">
        <f t="shared" si="88"/>
        <v>238.62101708181166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95.564008286441805</v>
      </c>
      <c r="AA70" s="21">
        <f>EXP(-LN(2)/25)*AA69+(1-EXP(-LN(2)/25))/(LN(2)/25)*Calculateur!V70*Calculateur!X70*VLOOKUP('Données projet'!$B$9,Paramètres!$A$1:$I$89,3,0)*0.475*44/12</f>
        <v>51.282012513040243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146.84602079948206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>
        <f>VLOOKUP(A70,'Données projet'!$A$61:$I$81,2,0)</f>
        <v>521</v>
      </c>
      <c r="AG70" s="12">
        <f>VLOOKUP(A70,'Données projet'!$A$61:$I$81,9,0)</f>
        <v>14.428571428571429</v>
      </c>
      <c r="AH70" s="12">
        <f t="array" ref="AH70">INDEX(AG:AG,MIN(IF(ISNUMBER(AG70:AG266),ROW(AG70:AG266),"")))</f>
        <v>14.428571428571429</v>
      </c>
      <c r="AI70" s="13">
        <f>IF('Données projet'!$A$62&gt;35,AI69+AH70-AQ69,IF(A70&lt;'Données projet'!$A$62,$AF$205^A70,IF(A70='Données projet'!$A$62,'Données projet'!$B$62,AI69+AH70-AQ69)))</f>
        <v>521.00000000000034</v>
      </c>
      <c r="AJ70" s="13">
        <f>AI70*VLOOKUP('Données projet'!$B$10,Paramètres!$A$1:$I$89,3,0)*VLOOKUP('Données projet'!$B$10,Paramètres!$A$1:$I$89,5,0)</f>
        <v>291.2390000000002</v>
      </c>
      <c r="AK70" s="13">
        <f t="shared" si="89"/>
        <v>69.336665284362454</v>
      </c>
      <c r="AL70" s="20">
        <f t="shared" si="58"/>
        <v>628.00261703693161</v>
      </c>
      <c r="AM70" s="59">
        <f t="shared" si="59"/>
        <v>921.33595037026498</v>
      </c>
      <c r="AN70" s="59">
        <f ca="1">AVERAGE(OFFSET($AM$3,0,0,'Données projet'!$E$10+1,1))-AVERAGE(OFFSET($H$3,0,0,'Données projet'!$E$10+1,1))</f>
        <v>347.02720636703873</v>
      </c>
      <c r="AO70" s="59">
        <f t="shared" si="90"/>
        <v>394.03759949558702</v>
      </c>
      <c r="AP70" s="15">
        <f>IF(ISNA(VLOOKUP(A70,'Données projet'!$A$61:$I$81,3,0)),0,VLOOKUP(A70,'Données projet'!$A$61:$I$81,3,0))</f>
        <v>7</v>
      </c>
      <c r="AQ70" s="15">
        <f>IF(ISNA(VLOOKUP(A70,'Données projet'!$A$61:$I$81,4,0)),0,VLOOKUP(A70,'Données projet'!$A$61:$I$81,4,0))</f>
        <v>521</v>
      </c>
      <c r="AR70" s="16">
        <f>IF(ISNA(VLOOKUP(A70,'Données projet'!$A$61:$I$81,5,0)),0%,VLOOKUP(A70,'Données projet'!$A$61:$I$81,5,0)*VLOOKUP('Données projet'!$B$10,Paramètres!$A$1:$I$89,7,0))</f>
        <v>0.38500000000000001</v>
      </c>
      <c r="AS70" s="16">
        <f>IF(ISNA(VLOOKUP(A70,'Données projet'!$A$61:$I$81,6,0)),0%,VLOOKUP(A70,'Données projet'!$A$61:$I$81,6,0)*VLOOKUP('Données projet'!$B$10,Paramètres!$A$1:$I$89,7,0))</f>
        <v>0.16500000000000001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208.60606370690664</v>
      </c>
      <c r="AV70" s="21">
        <f>EXP(-LN(2)/25)*AV69+(1-EXP(-LN(2)/25))/(LN(2)/25)*Calculateur!AQ70*Calculateur!AS70*VLOOKUP('Données projet'!$B$10,Paramètres!$A$1:$I$89,3,0)*0.475*44/12</f>
        <v>109.14587910700615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317.75194281391282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16.3</v>
      </c>
      <c r="BD70" s="12">
        <f>IF('Données projet'!$A$88&gt;35,BD69+BC70-BL69,IF(A70&lt;'Données projet'!$A$88,$BA$205^A70,IF(A70='Données projet'!$A$88,'Données projet'!$B$88,BD69+BC70-BL69)))</f>
        <v>559.5999999999998</v>
      </c>
      <c r="BE70" s="13">
        <f>BD70*VLOOKUP('Données projet'!$B$11,Paramètres!$A$1:$I$89,3,0)*VLOOKUP('Données projet'!$B$11,Paramètres!$A$1:$I$89,5,0)</f>
        <v>334.64079999999996</v>
      </c>
      <c r="BF70" s="13">
        <f t="shared" si="91"/>
        <v>78.391680010706835</v>
      </c>
      <c r="BG70" s="20">
        <f t="shared" si="61"/>
        <v>719.36490268531418</v>
      </c>
      <c r="BH70" s="59">
        <f t="shared" si="62"/>
        <v>1012.6982360186475</v>
      </c>
      <c r="BI70" s="59">
        <f ca="1">AVERAGE(OFFSET($BH$3,0,0,'Données projet'!$E$11+1,1))-AVERAGE(OFFSET($H$3,0,0,'Données projet'!$E$11+1,1))</f>
        <v>378.75660696651238</v>
      </c>
      <c r="BJ70" s="59">
        <f t="shared" si="92"/>
        <v>371.70674704563288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44.99544001832426</v>
      </c>
      <c r="BQ70" s="21">
        <f>EXP(-LN(2)/25)*BQ69+(1-EXP(-LN(2)/25))/(LN(2)/25)*Calculateur!BL70*Calculateur!BN70*VLOOKUP('Données projet'!$B$11,Paramètres!$A$1:$I$89,3,0)*0.475*44/12</f>
        <v>34.917722785114087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79.913162803438354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4.875</v>
      </c>
      <c r="BY70" s="12">
        <f>IF('Données projet'!$A$114&gt;35,BY69+BX70-CG69,IF(A70&lt;'Données projet'!$A$114,$BV$205^A70,IF(A70='Données projet'!$A$114,'Données projet'!$B$114,BY69+BX70-CG69)))</f>
        <v>119.62500000000014</v>
      </c>
      <c r="BZ70" s="13">
        <f>BY70*VLOOKUP('Données projet'!$B$12,Paramètres!$A$1:$I$89,3,0)*VLOOKUP('Données projet'!$B$12,Paramètres!$A$1:$I$89,5,0)</f>
        <v>121.29975000000015</v>
      </c>
      <c r="CA70" s="13">
        <f t="shared" si="93"/>
        <v>31.977954306784234</v>
      </c>
      <c r="CB70" s="20">
        <f t="shared" si="64"/>
        <v>266.95866833431609</v>
      </c>
      <c r="CC70" s="59">
        <f t="shared" si="65"/>
        <v>560.2920016676494</v>
      </c>
      <c r="CD70" s="59">
        <f ca="1">AVERAGE(OFFSET($CC$3,0,0,'Données projet'!$E$12+1,1))-AVERAGE(OFFSET($H$3,0,0,'Données projet'!$E$12+1,1))</f>
        <v>410.75375635525211</v>
      </c>
      <c r="CE70" s="59">
        <f t="shared" si="94"/>
        <v>183.55513001437367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12.093305141100972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12.093305141100972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6.2222222222222223</v>
      </c>
      <c r="CT70" s="12">
        <f>IF('Données projet'!$A$140&gt;35,CT69+CS70-DB69,IF(A70&lt;'Données projet'!$A$140,$CQ$205^A70,IF(A70='Données projet'!$A$140,'Données projet'!$B$140,CT69+CS70-DB69)))</f>
        <v>158.22222222222223</v>
      </c>
      <c r="CU70" s="17">
        <f>CT70*VLOOKUP('Données projet'!$B$13,Paramètres!$A$1:$I$89,3,0)*VLOOKUP('Données projet'!$B$13,Paramètres!$A$1:$I$89,5,0)</f>
        <v>143.15946666666665</v>
      </c>
      <c r="CV70" s="13">
        <f t="shared" si="95"/>
        <v>37.019852180660742</v>
      </c>
      <c r="CW70" s="20">
        <f t="shared" si="67"/>
        <v>313.81231365909514</v>
      </c>
      <c r="CX70" s="59">
        <f t="shared" si="68"/>
        <v>607.14564699242851</v>
      </c>
      <c r="CY70" s="59">
        <f ca="1">AVERAGE(OFFSET($CX$3,0,0,'Données projet'!$E$13+1,1))-AVERAGE(OFFSET($H$3,0,0,'Données projet'!$E$13+1,1))</f>
        <v>436.12708882925142</v>
      </c>
      <c r="CZ70" s="59">
        <f t="shared" si="96"/>
        <v>217.65884352525285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19.948833072909498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19.948833072909498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13</v>
      </c>
      <c r="DO70" s="12">
        <f>IF('Données projet'!$A$166&gt;35,DO69+DN70-DW69,IF(A70&lt;'Données projet'!$A$166,$DL$205^A70,IF(A70='Données projet'!$A$166,'Données projet'!$B$166,DO69+DN70-DW69)))</f>
        <v>456.00000000000045</v>
      </c>
      <c r="DP70" s="17">
        <f>DO70*VLOOKUP('Données projet'!$B$14,Paramètres!$A$1:$I$89,3,0)*VLOOKUP('Données projet'!$B$14,Paramètres!$A$1:$I$89,5,0)</f>
        <v>433.92960000000039</v>
      </c>
      <c r="DQ70" s="13">
        <f t="shared" si="97"/>
        <v>98.622438646536395</v>
      </c>
      <c r="DR70" s="20">
        <f t="shared" si="70"/>
        <v>927.52813397605144</v>
      </c>
      <c r="DS70" s="59">
        <f t="shared" si="71"/>
        <v>1220.8614673093848</v>
      </c>
      <c r="DT70" s="59">
        <f ca="1">AVERAGE(OFFSET($DS$3,0,0,'Données projet'!$E$14+1,1))-AVERAGE(OFFSET($H$3,0,0,'Données projet'!$E$14+1,1))</f>
        <v>735.50267870886194</v>
      </c>
      <c r="DU70" s="59">
        <f t="shared" si="98"/>
        <v>525.80345400853275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44.91479752611869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44.91479752611869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4.875</v>
      </c>
      <c r="EJ70" s="12">
        <f>IF('Données projet'!$A$192&gt;35,EJ69+EI70-ER69,IF(A70&lt;'Données projet'!$A$192,$EG$205^A70,IF(A70='Données projet'!$A$192,'Données projet'!$B$192,EJ69+EI70-ER69)))</f>
        <v>119.62500000000014</v>
      </c>
      <c r="EK70" s="17">
        <f>EJ70*VLOOKUP('Données projet'!$B$15,Paramètres!$A$1:$I$89,3,0)*VLOOKUP('Données projet'!$B$15,Paramètres!$A$1:$I$89,5,0)</f>
        <v>76.512150000000091</v>
      </c>
      <c r="EL70" s="13">
        <f t="shared" si="99"/>
        <v>21.282186833528467</v>
      </c>
      <c r="EM70" s="20">
        <f t="shared" si="73"/>
        <v>170.32513665172891</v>
      </c>
      <c r="EN70" s="59">
        <f t="shared" si="74"/>
        <v>463.6584699850622</v>
      </c>
      <c r="EO70" s="59">
        <f ca="1">AVERAGE(OFFSET($EN$3,0,0,'Données projet'!$E$15+1,1))-AVERAGE(OFFSET($H$3,0,0,'Données projet'!$E$15+1,1))</f>
        <v>274.14900959323484</v>
      </c>
      <c r="EP70" s="59">
        <f t="shared" si="100"/>
        <v>130.44590390921582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7.6280847813098429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7.6280847813098429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12.875</v>
      </c>
      <c r="FE70" s="12">
        <f>IF('Données projet'!$A$218&gt;35,FE69+FD70-FM69,IF(A70&lt;'Données projet'!$A$218,$FB$205^A70,IF(A70='Données projet'!$A$218,'Données projet'!$B$218,FE69+FD70-FM69)))</f>
        <v>442.87499999999994</v>
      </c>
      <c r="FF70" s="17">
        <f>FE70*VLOOKUP('Données projet'!$B$16,Paramètres!$A$1:$I$89,3,0)*VLOOKUP('Données projet'!$B$16,Paramètres!$A$1:$I$89,5,0)</f>
        <v>264.83924999999999</v>
      </c>
      <c r="FG70" s="13">
        <f t="shared" si="101"/>
        <v>63.752800756768096</v>
      </c>
      <c r="FH70" s="20">
        <f t="shared" si="76"/>
        <v>572.29782173470437</v>
      </c>
      <c r="FI70" s="59">
        <f t="shared" si="77"/>
        <v>865.63115506803774</v>
      </c>
      <c r="FJ70" s="59">
        <f ca="1">AVERAGE(OFFSET($FI$3,0,0,'Données projet'!$E$16+1,1))-AVERAGE(OFFSET($H$3,0,0,'Données projet'!$E$16+1,1))</f>
        <v>405.42845699663462</v>
      </c>
      <c r="FK70" s="59">
        <f t="shared" si="102"/>
        <v>292.26503163353146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52.512787227687646</v>
      </c>
      <c r="FR70" s="21">
        <f>EXP(-LN(2)/25)*FR69+(1-EXP(-LN(2)/25))/(LN(2)/25)*Calculateur!FM70*Calculateur!FO70*VLOOKUP('Données projet'!$B$16,Paramètres!$A$1:$I$89,3,0)*0.475*44/12</f>
        <v>33.308669651628527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85.821456879316173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12.875</v>
      </c>
      <c r="FZ70" s="12">
        <f>IF('Données projet'!$A$244&gt;35,FZ69+FY70-GH69,IF(A70&lt;'Données projet'!$A$244,$FW$205^A70,IF(A70='Données projet'!$A$244,'Données projet'!$B$244,FZ69+FY70-GH69)))</f>
        <v>442.87499999999994</v>
      </c>
      <c r="GA70" s="17">
        <f>FZ70*VLOOKUP('Données projet'!$B$17,Paramètres!$A$1:$I$89,3,0)*VLOOKUP('Données projet'!$B$17,Paramètres!$A$1:$I$89,5,0)</f>
        <v>264.83924999999999</v>
      </c>
      <c r="GB70" s="13">
        <f t="shared" si="103"/>
        <v>63.752800756768096</v>
      </c>
      <c r="GC70" s="20">
        <f t="shared" si="79"/>
        <v>572.29782173470437</v>
      </c>
      <c r="GD70" s="59">
        <f t="shared" si="80"/>
        <v>865.63115506803774</v>
      </c>
      <c r="GE70" s="59">
        <f ca="1">AVERAGE(OFFSET($GD$3,0,0,'Données projet'!$E$17+1,1))-AVERAGE(OFFSET($H$3,0,0,'Données projet'!$E$17+1,1))</f>
        <v>405.42845699663462</v>
      </c>
      <c r="GF70" s="59">
        <f t="shared" si="104"/>
        <v>292.26503163353146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52.512787227687646</v>
      </c>
      <c r="GM70" s="21">
        <f>EXP(-LN(2)/25)*GM69+(1-EXP(-LN(2)/25))/(LN(2)/25)*Calculateur!GH70*Calculateur!GJ70*VLOOKUP('Données projet'!$B$17,Paramètres!$A$1:$I$89,3,0)*0.475*44/12</f>
        <v>33.308669651628527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85.821456879316173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-1.1368683772161603E-13</v>
      </c>
      <c r="O71" s="13">
        <f>N71*VLOOKUP('Données projet'!$B$9,Paramètres!$A$1:$I$89,3,0)*VLOOKUP('Données projet'!$B$9,Paramètres!$A$1:$I$89,5,0)</f>
        <v>-5.3205440053716299E-14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198.26255998041</v>
      </c>
      <c r="T71" s="59">
        <f t="shared" si="88"/>
        <v>238.62101708181166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93.690056372234238</v>
      </c>
      <c r="AA71" s="21">
        <f>EXP(-LN(2)/25)*AA70+(1-EXP(-LN(2)/25))/(LN(2)/25)*Calculateur!V71*Calculateur!X71*VLOOKUP('Données projet'!$B$9,Paramètres!$A$1:$I$89,3,0)*0.475*44/12</f>
        <v>49.879703184067324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143.56975955630156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3.4106051316484809E-13</v>
      </c>
      <c r="AJ71" s="13">
        <f>AI71*VLOOKUP('Données projet'!$B$10,Paramètres!$A$1:$I$89,3,0)*VLOOKUP('Données projet'!$B$10,Paramètres!$A$1:$I$89,5,0)</f>
        <v>1.9065282685915009E-13</v>
      </c>
      <c r="AK71" s="13">
        <f t="shared" si="89"/>
        <v>2.6568987209435707E-12</v>
      </c>
      <c r="AL71" s="20">
        <f t="shared" si="58"/>
        <v>4.959485612423072E-12</v>
      </c>
      <c r="AM71" s="59">
        <f t="shared" si="59"/>
        <v>293.33333333333826</v>
      </c>
      <c r="AN71" s="59">
        <f ca="1">AVERAGE(OFFSET($AM$3,0,0,'Données projet'!$E$10+1,1))-AVERAGE(OFFSET($H$3,0,0,'Données projet'!$E$10+1,1))</f>
        <v>347.02720636703873</v>
      </c>
      <c r="AO71" s="59">
        <f t="shared" si="90"/>
        <v>394.03759949558702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204.51542603474942</v>
      </c>
      <c r="AV71" s="21">
        <f>EXP(-LN(2)/25)*AV70+(1-EXP(-LN(2)/25))/(LN(2)/25)*Calculateur!AQ71*Calculateur!AS71*VLOOKUP('Données projet'!$B$10,Paramètres!$A$1:$I$89,3,0)*0.475*44/12</f>
        <v>106.16127930309274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310.67670533784218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16.3</v>
      </c>
      <c r="BD71" s="12">
        <f>IF('Données projet'!$A$88&gt;35,BD70+BC71-BL70,IF(A71&lt;'Données projet'!$A$88,$BA$205^A71,IF(A71='Données projet'!$A$88,'Données projet'!$B$88,BD70+BC71-BL70)))</f>
        <v>575.89999999999975</v>
      </c>
      <c r="BE71" s="13">
        <f>BD71*VLOOKUP('Données projet'!$B$11,Paramètres!$A$1:$I$89,3,0)*VLOOKUP('Données projet'!$B$11,Paramètres!$A$1:$I$89,5,0)</f>
        <v>344.38819999999987</v>
      </c>
      <c r="BF71" s="13">
        <f t="shared" si="91"/>
        <v>80.405898552728132</v>
      </c>
      <c r="BG71" s="20">
        <f t="shared" si="61"/>
        <v>739.84972164600129</v>
      </c>
      <c r="BH71" s="59">
        <f t="shared" si="62"/>
        <v>1033.1830549793347</v>
      </c>
      <c r="BI71" s="59">
        <f ca="1">AVERAGE(OFFSET($BH$3,0,0,'Données projet'!$E$11+1,1))-AVERAGE(OFFSET($H$3,0,0,'Données projet'!$E$11+1,1))</f>
        <v>378.75660696651238</v>
      </c>
      <c r="BJ71" s="59">
        <f t="shared" si="92"/>
        <v>371.70674704563288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44.11310688407341</v>
      </c>
      <c r="BQ71" s="21">
        <f>EXP(-LN(2)/25)*BQ70+(1-EXP(-LN(2)/25))/(LN(2)/25)*Calculateur!BL71*Calculateur!BN71*VLOOKUP('Données projet'!$B$11,Paramètres!$A$1:$I$89,3,0)*0.475*44/12</f>
        <v>33.962895819311903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78.076002703385313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4.875</v>
      </c>
      <c r="BY71" s="12">
        <f>IF('Données projet'!$A$114&gt;35,BY70+BX71-CG70,IF(A71&lt;'Données projet'!$A$114,$BV$205^A71,IF(A71='Données projet'!$A$114,'Données projet'!$B$114,BY70+BX71-CG70)))</f>
        <v>124.50000000000014</v>
      </c>
      <c r="BZ71" s="13">
        <f>BY71*VLOOKUP('Données projet'!$B$12,Paramètres!$A$1:$I$89,3,0)*VLOOKUP('Données projet'!$B$12,Paramètres!$A$1:$I$89,5,0)</f>
        <v>126.24300000000015</v>
      </c>
      <c r="CA71" s="13">
        <f t="shared" si="93"/>
        <v>33.126750810981584</v>
      </c>
      <c r="CB71" s="20">
        <f t="shared" si="64"/>
        <v>277.56898266245986</v>
      </c>
      <c r="CC71" s="59">
        <f t="shared" si="65"/>
        <v>570.90231599579317</v>
      </c>
      <c r="CD71" s="59">
        <f ca="1">AVERAGE(OFFSET($CC$3,0,0,'Données projet'!$E$12+1,1))-AVERAGE(OFFSET($H$3,0,0,'Données projet'!$E$12+1,1))</f>
        <v>410.75375635525211</v>
      </c>
      <c r="CE71" s="59">
        <f t="shared" si="94"/>
        <v>183.55513001437367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11.856162803471779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11.856162803471779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6.2222222222222223</v>
      </c>
      <c r="CT71" s="12">
        <f>IF('Données projet'!$A$140&gt;35,CT70+CS71-DB70,IF(A71&lt;'Données projet'!$A$140,$CQ$205^A71,IF(A71='Données projet'!$A$140,'Données projet'!$B$140,CT70+CS71-DB70)))</f>
        <v>164.44444444444446</v>
      </c>
      <c r="CU71" s="17">
        <f>CT71*VLOOKUP('Données projet'!$B$13,Paramètres!$A$1:$I$89,3,0)*VLOOKUP('Données projet'!$B$13,Paramètres!$A$1:$I$89,5,0)</f>
        <v>148.78933333333333</v>
      </c>
      <c r="CV71" s="13">
        <f t="shared" si="95"/>
        <v>38.303327648282028</v>
      </c>
      <c r="CW71" s="20">
        <f t="shared" si="67"/>
        <v>325.85305120964671</v>
      </c>
      <c r="CX71" s="59">
        <f t="shared" si="68"/>
        <v>619.18638454298002</v>
      </c>
      <c r="CY71" s="59">
        <f ca="1">AVERAGE(OFFSET($CX$3,0,0,'Données projet'!$E$13+1,1))-AVERAGE(OFFSET($H$3,0,0,'Données projet'!$E$13+1,1))</f>
        <v>436.12708882925142</v>
      </c>
      <c r="CZ71" s="59">
        <f t="shared" si="96"/>
        <v>217.65884352525285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19.557648623936469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19.557648623936469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13</v>
      </c>
      <c r="DO71" s="12">
        <f>IF('Données projet'!$A$166&gt;35,DO70+DN71-DW70,IF(A71&lt;'Données projet'!$A$166,$DL$205^A71,IF(A71='Données projet'!$A$166,'Données projet'!$B$166,DO70+DN71-DW70)))</f>
        <v>469.00000000000045</v>
      </c>
      <c r="DP71" s="17">
        <f>DO71*VLOOKUP('Données projet'!$B$14,Paramètres!$A$1:$I$89,3,0)*VLOOKUP('Données projet'!$B$14,Paramètres!$A$1:$I$89,5,0)</f>
        <v>446.30040000000042</v>
      </c>
      <c r="DQ71" s="13">
        <f t="shared" si="97"/>
        <v>101.10269353033053</v>
      </c>
      <c r="DR71" s="20">
        <f t="shared" si="70"/>
        <v>953.39372123199303</v>
      </c>
      <c r="DS71" s="59">
        <f t="shared" si="71"/>
        <v>1246.7270545653264</v>
      </c>
      <c r="DT71" s="59">
        <f ca="1">AVERAGE(OFFSET($DS$3,0,0,'Données projet'!$E$14+1,1))-AVERAGE(OFFSET($H$3,0,0,'Données projet'!$E$14+1,1))</f>
        <v>735.50267870886194</v>
      </c>
      <c r="DU71" s="59">
        <f t="shared" si="98"/>
        <v>525.80345400853275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44.03404574195293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44.03404574195293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4.875</v>
      </c>
      <c r="EJ71" s="12">
        <f>IF('Données projet'!$A$192&gt;35,EJ70+EI71-ER70,IF(A71&lt;'Données projet'!$A$192,$EG$205^A71,IF(A71='Données projet'!$A$192,'Données projet'!$B$192,EJ70+EI71-ER70)))</f>
        <v>124.50000000000014</v>
      </c>
      <c r="EK71" s="17">
        <f>EJ71*VLOOKUP('Données projet'!$B$15,Paramètres!$A$1:$I$89,3,0)*VLOOKUP('Données projet'!$B$15,Paramètres!$A$1:$I$89,5,0)</f>
        <v>79.630200000000087</v>
      </c>
      <c r="EL71" s="13">
        <f t="shared" si="99"/>
        <v>22.046741739119959</v>
      </c>
      <c r="EM71" s="20">
        <f t="shared" si="73"/>
        <v>177.08734019563408</v>
      </c>
      <c r="EN71" s="59">
        <f t="shared" si="74"/>
        <v>470.42067352896743</v>
      </c>
      <c r="EO71" s="59">
        <f ca="1">AVERAGE(OFFSET($EN$3,0,0,'Données projet'!$E$15+1,1))-AVERAGE(OFFSET($H$3,0,0,'Données projet'!$E$15+1,1))</f>
        <v>274.14900959323484</v>
      </c>
      <c r="EP71" s="59">
        <f t="shared" si="100"/>
        <v>130.44590390921582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7.47850269142066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7.47850269142066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12.875</v>
      </c>
      <c r="FE71" s="12">
        <f>IF('Données projet'!$A$218&gt;35,FE70+FD71-FM70,IF(A71&lt;'Données projet'!$A$218,$FB$205^A71,IF(A71='Données projet'!$A$218,'Données projet'!$B$218,FE70+FD71-FM70)))</f>
        <v>455.74999999999994</v>
      </c>
      <c r="FF71" s="17">
        <f>FE71*VLOOKUP('Données projet'!$B$16,Paramètres!$A$1:$I$89,3,0)*VLOOKUP('Données projet'!$B$16,Paramètres!$A$1:$I$89,5,0)</f>
        <v>272.5385</v>
      </c>
      <c r="FG71" s="13">
        <f t="shared" si="101"/>
        <v>65.387709293034902</v>
      </c>
      <c r="FH71" s="20">
        <f t="shared" si="76"/>
        <v>588.55481451870241</v>
      </c>
      <c r="FI71" s="59">
        <f t="shared" si="77"/>
        <v>881.88814785203567</v>
      </c>
      <c r="FJ71" s="59">
        <f ca="1">AVERAGE(OFFSET($FI$3,0,0,'Données projet'!$E$16+1,1))-AVERAGE(OFFSET($H$3,0,0,'Données projet'!$E$16+1,1))</f>
        <v>405.42845699663462</v>
      </c>
      <c r="FK71" s="59">
        <f t="shared" si="102"/>
        <v>292.26503163353146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51.483043499790234</v>
      </c>
      <c r="FR71" s="21">
        <f>EXP(-LN(2)/25)*FR70+(1-EXP(-LN(2)/25))/(LN(2)/25)*Calculateur!FM71*Calculateur!FO71*VLOOKUP('Données projet'!$B$16,Paramètres!$A$1:$I$89,3,0)*0.475*44/12</f>
        <v>32.397842328377934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83.880885828168175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12.875</v>
      </c>
      <c r="FZ71" s="12">
        <f>IF('Données projet'!$A$244&gt;35,FZ70+FY71-GH70,IF(A71&lt;'Données projet'!$A$244,$FW$205^A71,IF(A71='Données projet'!$A$244,'Données projet'!$B$244,FZ70+FY71-GH70)))</f>
        <v>455.74999999999994</v>
      </c>
      <c r="GA71" s="17">
        <f>FZ71*VLOOKUP('Données projet'!$B$17,Paramètres!$A$1:$I$89,3,0)*VLOOKUP('Données projet'!$B$17,Paramètres!$A$1:$I$89,5,0)</f>
        <v>272.5385</v>
      </c>
      <c r="GB71" s="13">
        <f t="shared" si="103"/>
        <v>65.387709293034902</v>
      </c>
      <c r="GC71" s="20">
        <f t="shared" si="79"/>
        <v>588.55481451870241</v>
      </c>
      <c r="GD71" s="59">
        <f t="shared" si="80"/>
        <v>881.88814785203567</v>
      </c>
      <c r="GE71" s="59">
        <f ca="1">AVERAGE(OFFSET($GD$3,0,0,'Données projet'!$E$17+1,1))-AVERAGE(OFFSET($H$3,0,0,'Données projet'!$E$17+1,1))</f>
        <v>405.42845699663462</v>
      </c>
      <c r="GF71" s="59">
        <f t="shared" si="104"/>
        <v>292.26503163353146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51.483043499790234</v>
      </c>
      <c r="GM71" s="21">
        <f>EXP(-LN(2)/25)*GM70+(1-EXP(-LN(2)/25))/(LN(2)/25)*Calculateur!GH71*Calculateur!GJ71*VLOOKUP('Données projet'!$B$17,Paramètres!$A$1:$I$89,3,0)*0.475*44/12</f>
        <v>32.397842328377934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83.880885828168175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-1.1368683772161603E-13</v>
      </c>
      <c r="O72" s="13">
        <f>N72*VLOOKUP('Données projet'!$B$9,Paramètres!$A$1:$I$89,3,0)*VLOOKUP('Données projet'!$B$9,Paramètres!$A$1:$I$89,5,0)</f>
        <v>-5.3205440053716299E-14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198.26255998041</v>
      </c>
      <c r="T72" s="59">
        <f t="shared" si="88"/>
        <v>238.62101708181166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91.852851512066479</v>
      </c>
      <c r="AA72" s="21">
        <f>EXP(-LN(2)/25)*AA71+(1-EXP(-LN(2)/25))/(LN(2)/25)*Calculateur!V72*Calculateur!X72*VLOOKUP('Données projet'!$B$9,Paramètres!$A$1:$I$89,3,0)*0.475*44/12</f>
        <v>48.515740077439418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140.36859158950591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3.4106051316484809E-13</v>
      </c>
      <c r="AJ72" s="13">
        <f>AI72*VLOOKUP('Données projet'!$B$10,Paramètres!$A$1:$I$89,3,0)*VLOOKUP('Données projet'!$B$10,Paramètres!$A$1:$I$89,5,0)</f>
        <v>1.9065282685915009E-13</v>
      </c>
      <c r="AK72" s="13">
        <f t="shared" si="89"/>
        <v>2.6568987209435707E-12</v>
      </c>
      <c r="AL72" s="20">
        <f t="shared" si="58"/>
        <v>4.959485612423072E-12</v>
      </c>
      <c r="AM72" s="59">
        <f t="shared" si="59"/>
        <v>293.33333333333826</v>
      </c>
      <c r="AN72" s="59">
        <f ca="1">AVERAGE(OFFSET($AM$3,0,0,'Données projet'!$E$10+1,1))-AVERAGE(OFFSET($H$3,0,0,'Données projet'!$E$10+1,1))</f>
        <v>347.02720636703873</v>
      </c>
      <c r="AO72" s="59">
        <f t="shared" si="90"/>
        <v>394.03759949558702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200.5050032723006</v>
      </c>
      <c r="AV72" s="21">
        <f>EXP(-LN(2)/25)*AV71+(1-EXP(-LN(2)/25))/(LN(2)/25)*Calculateur!AQ72*Calculateur!AS72*VLOOKUP('Données projet'!$B$10,Paramètres!$A$1:$I$89,3,0)*0.475*44/12</f>
        <v>103.25829353777063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303.76329681007121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16.3</v>
      </c>
      <c r="BD72" s="12">
        <f>IF('Données projet'!$A$88&gt;35,BD71+BC72-BL71,IF(A72&lt;'Données projet'!$A$88,$BA$205^A72,IF(A72='Données projet'!$A$88,'Données projet'!$B$88,BD71+BC72-BL71)))</f>
        <v>592.1999999999997</v>
      </c>
      <c r="BE72" s="13">
        <f>BD72*VLOOKUP('Données projet'!$B$11,Paramètres!$A$1:$I$89,3,0)*VLOOKUP('Données projet'!$B$11,Paramètres!$A$1:$I$89,5,0)</f>
        <v>354.13559999999984</v>
      </c>
      <c r="BF72" s="13">
        <f t="shared" si="91"/>
        <v>82.413491175043745</v>
      </c>
      <c r="BG72" s="20">
        <f t="shared" si="61"/>
        <v>760.32300046320086</v>
      </c>
      <c r="BH72" s="59">
        <f t="shared" si="62"/>
        <v>1053.6563337965342</v>
      </c>
      <c r="BI72" s="59">
        <f ca="1">AVERAGE(OFFSET($BH$3,0,0,'Données projet'!$E$11+1,1))-AVERAGE(OFFSET($H$3,0,0,'Données projet'!$E$11+1,1))</f>
        <v>378.75660696651238</v>
      </c>
      <c r="BJ72" s="59">
        <f t="shared" si="92"/>
        <v>371.70674704563288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43.248075764415148</v>
      </c>
      <c r="BQ72" s="21">
        <f>EXP(-LN(2)/25)*BQ71+(1-EXP(-LN(2)/25))/(LN(2)/25)*Calculateur!BL72*Calculateur!BN72*VLOOKUP('Données projet'!$B$11,Paramètres!$A$1:$I$89,3,0)*0.475*44/12</f>
        <v>33.034178647101754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76.282254411516902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4.875</v>
      </c>
      <c r="BY72" s="12">
        <f>IF('Données projet'!$A$114&gt;35,BY71+BX72-CG71,IF(A72&lt;'Données projet'!$A$114,$BV$205^A72,IF(A72='Données projet'!$A$114,'Données projet'!$B$114,BY71+BX72-CG71)))</f>
        <v>129.37500000000014</v>
      </c>
      <c r="BZ72" s="13">
        <f>BY72*VLOOKUP('Données projet'!$B$12,Paramètres!$A$1:$I$89,3,0)*VLOOKUP('Données projet'!$B$12,Paramètres!$A$1:$I$89,5,0)</f>
        <v>131.18625000000017</v>
      </c>
      <c r="CA72" s="13">
        <f t="shared" si="93"/>
        <v>34.270321798474747</v>
      </c>
      <c r="CB72" s="20">
        <f t="shared" si="64"/>
        <v>288.17019588234376</v>
      </c>
      <c r="CC72" s="59">
        <f t="shared" si="65"/>
        <v>581.50352921567708</v>
      </c>
      <c r="CD72" s="59">
        <f ca="1">AVERAGE(OFFSET($CC$3,0,0,'Données projet'!$E$12+1,1))-AVERAGE(OFFSET($H$3,0,0,'Données projet'!$E$12+1,1))</f>
        <v>410.75375635525211</v>
      </c>
      <c r="CE72" s="59">
        <f t="shared" si="94"/>
        <v>183.55513001437367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11.623670682440952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11.623670682440952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6.2222222222222223</v>
      </c>
      <c r="CT72" s="12">
        <f>IF('Données projet'!$A$140&gt;35,CT71+CS72-DB71,IF(A72&lt;'Données projet'!$A$140,$CQ$205^A72,IF(A72='Données projet'!$A$140,'Données projet'!$B$140,CT71+CS72-DB71)))</f>
        <v>170.66666666666669</v>
      </c>
      <c r="CU72" s="17">
        <f>CT72*VLOOKUP('Données projet'!$B$13,Paramètres!$A$1:$I$89,3,0)*VLOOKUP('Données projet'!$B$13,Paramètres!$A$1:$I$89,5,0)</f>
        <v>154.41919999999999</v>
      </c>
      <c r="CV72" s="13">
        <f t="shared" si="95"/>
        <v>39.581161281954074</v>
      </c>
      <c r="CW72" s="20">
        <f t="shared" si="67"/>
        <v>337.88396256607001</v>
      </c>
      <c r="CX72" s="59">
        <f t="shared" si="68"/>
        <v>631.21729589940333</v>
      </c>
      <c r="CY72" s="59">
        <f ca="1">AVERAGE(OFFSET($CX$3,0,0,'Données projet'!$E$13+1,1))-AVERAGE(OFFSET($H$3,0,0,'Données projet'!$E$13+1,1))</f>
        <v>436.12708882925142</v>
      </c>
      <c r="CZ72" s="59">
        <f t="shared" si="96"/>
        <v>217.65884352525285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19.174135063408844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19.174135063408844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13</v>
      </c>
      <c r="DO72" s="12">
        <f>IF('Données projet'!$A$166&gt;35,DO71+DN72-DW71,IF(A72&lt;'Données projet'!$A$166,$DL$205^A72,IF(A72='Données projet'!$A$166,'Données projet'!$B$166,DO71+DN72-DW71)))</f>
        <v>482.00000000000045</v>
      </c>
      <c r="DP72" s="17">
        <f>DO72*VLOOKUP('Données projet'!$B$14,Paramètres!$A$1:$I$89,3,0)*VLOOKUP('Données projet'!$B$14,Paramètres!$A$1:$I$89,5,0)</f>
        <v>458.67120000000045</v>
      </c>
      <c r="DQ72" s="13">
        <f t="shared" si="97"/>
        <v>103.57495783697929</v>
      </c>
      <c r="DR72" s="20">
        <f t="shared" si="70"/>
        <v>979.24539156607295</v>
      </c>
      <c r="DS72" s="59">
        <f t="shared" si="71"/>
        <v>1272.5787248994063</v>
      </c>
      <c r="DT72" s="59">
        <f ca="1">AVERAGE(OFFSET($DS$3,0,0,'Données projet'!$E$14+1,1))-AVERAGE(OFFSET($H$3,0,0,'Données projet'!$E$14+1,1))</f>
        <v>735.50267870886194</v>
      </c>
      <c r="DU72" s="59">
        <f t="shared" si="98"/>
        <v>525.80345400853275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43.170564963069118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43.170564963069118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4.875</v>
      </c>
      <c r="EJ72" s="12">
        <f>IF('Données projet'!$A$192&gt;35,EJ71+EI72-ER71,IF(A72&lt;'Données projet'!$A$192,$EG$205^A72,IF(A72='Données projet'!$A$192,'Données projet'!$B$192,EJ71+EI72-ER71)))</f>
        <v>129.37500000000014</v>
      </c>
      <c r="EK72" s="17">
        <f>EJ72*VLOOKUP('Données projet'!$B$15,Paramètres!$A$1:$I$89,3,0)*VLOOKUP('Données projet'!$B$15,Paramètres!$A$1:$I$89,5,0)</f>
        <v>82.748250000000084</v>
      </c>
      <c r="EL72" s="13">
        <f t="shared" si="99"/>
        <v>22.807818923099447</v>
      </c>
      <c r="EM72" s="20">
        <f t="shared" si="73"/>
        <v>183.8434867077317</v>
      </c>
      <c r="EN72" s="59">
        <f t="shared" si="74"/>
        <v>477.17682004106501</v>
      </c>
      <c r="EO72" s="59">
        <f ca="1">AVERAGE(OFFSET($EN$3,0,0,'Données projet'!$E$15+1,1))-AVERAGE(OFFSET($H$3,0,0,'Données projet'!$E$15+1,1))</f>
        <v>274.14900959323484</v>
      </c>
      <c r="EP72" s="59">
        <f t="shared" si="100"/>
        <v>130.44590390921582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7.331853815078138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7.331853815078138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12.875</v>
      </c>
      <c r="FE72" s="12">
        <f>IF('Données projet'!$A$218&gt;35,FE71+FD72-FM71,IF(A72&lt;'Données projet'!$A$218,$FB$205^A72,IF(A72='Données projet'!$A$218,'Données projet'!$B$218,FE71+FD72-FM71)))</f>
        <v>468.62499999999994</v>
      </c>
      <c r="FF72" s="17">
        <f>FE72*VLOOKUP('Données projet'!$B$16,Paramètres!$A$1:$I$89,3,0)*VLOOKUP('Données projet'!$B$16,Paramètres!$A$1:$I$89,5,0)</f>
        <v>280.23775000000001</v>
      </c>
      <c r="FG72" s="13">
        <f t="shared" si="101"/>
        <v>67.017249808465152</v>
      </c>
      <c r="FH72" s="20">
        <f t="shared" si="76"/>
        <v>604.80245799974352</v>
      </c>
      <c r="FI72" s="59">
        <f t="shared" si="77"/>
        <v>898.1357913330769</v>
      </c>
      <c r="FJ72" s="59">
        <f ca="1">AVERAGE(OFFSET($FI$3,0,0,'Données projet'!$E$16+1,1))-AVERAGE(OFFSET($H$3,0,0,'Données projet'!$E$16+1,1))</f>
        <v>405.42845699663462</v>
      </c>
      <c r="FK72" s="59">
        <f t="shared" si="102"/>
        <v>292.26503163353146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50.473492418315239</v>
      </c>
      <c r="FR72" s="21">
        <f>EXP(-LN(2)/25)*FR71+(1-EXP(-LN(2)/25))/(LN(2)/25)*Calculateur!FM72*Calculateur!FO72*VLOOKUP('Données projet'!$B$16,Paramètres!$A$1:$I$89,3,0)*0.475*44/12</f>
        <v>31.511921626179959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81.985414044495201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12.875</v>
      </c>
      <c r="FZ72" s="12">
        <f>IF('Données projet'!$A$244&gt;35,FZ71+FY72-GH71,IF(A72&lt;'Données projet'!$A$244,$FW$205^A72,IF(A72='Données projet'!$A$244,'Données projet'!$B$244,FZ71+FY72-GH71)))</f>
        <v>468.62499999999994</v>
      </c>
      <c r="GA72" s="17">
        <f>FZ72*VLOOKUP('Données projet'!$B$17,Paramètres!$A$1:$I$89,3,0)*VLOOKUP('Données projet'!$B$17,Paramètres!$A$1:$I$89,5,0)</f>
        <v>280.23775000000001</v>
      </c>
      <c r="GB72" s="13">
        <f t="shared" si="103"/>
        <v>67.017249808465152</v>
      </c>
      <c r="GC72" s="20">
        <f t="shared" si="79"/>
        <v>604.80245799974352</v>
      </c>
      <c r="GD72" s="59">
        <f t="shared" si="80"/>
        <v>898.1357913330769</v>
      </c>
      <c r="GE72" s="59">
        <f ca="1">AVERAGE(OFFSET($GD$3,0,0,'Données projet'!$E$17+1,1))-AVERAGE(OFFSET($H$3,0,0,'Données projet'!$E$17+1,1))</f>
        <v>405.42845699663462</v>
      </c>
      <c r="GF72" s="59">
        <f t="shared" si="104"/>
        <v>292.26503163353146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50.473492418315239</v>
      </c>
      <c r="GM72" s="21">
        <f>EXP(-LN(2)/25)*GM71+(1-EXP(-LN(2)/25))/(LN(2)/25)*Calculateur!GH72*Calculateur!GJ72*VLOOKUP('Données projet'!$B$17,Paramètres!$A$1:$I$89,3,0)*0.475*44/12</f>
        <v>31.511921626179959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81.985414044495201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-1.1368683772161603E-13</v>
      </c>
      <c r="O73" s="13">
        <f>N73*VLOOKUP('Données projet'!$B$9,Paramètres!$A$1:$I$89,3,0)*VLOOKUP('Données projet'!$B$9,Paramètres!$A$1:$I$89,5,0)</f>
        <v>-5.3205440053716299E-14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198.26255998041</v>
      </c>
      <c r="T73" s="59">
        <f t="shared" si="88"/>
        <v>238.62101708181166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90.051673118622304</v>
      </c>
      <c r="AA73" s="21">
        <f>EXP(-LN(2)/25)*AA72+(1-EXP(-LN(2)/25))/(LN(2)/25)*Calculateur!V73*Calculateur!X73*VLOOKUP('Données projet'!$B$9,Paramètres!$A$1:$I$89,3,0)*0.475*44/12</f>
        <v>47.189074613689954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137.24074773231226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3.4106051316484809E-13</v>
      </c>
      <c r="AJ73" s="13">
        <f>AI73*VLOOKUP('Données projet'!$B$10,Paramètres!$A$1:$I$89,3,0)*VLOOKUP('Données projet'!$B$10,Paramètres!$A$1:$I$89,5,0)</f>
        <v>1.9065282685915009E-13</v>
      </c>
      <c r="AK73" s="13">
        <f t="shared" si="89"/>
        <v>2.6568987209435707E-12</v>
      </c>
      <c r="AL73" s="20">
        <f t="shared" si="58"/>
        <v>4.959485612423072E-12</v>
      </c>
      <c r="AM73" s="59">
        <f t="shared" si="59"/>
        <v>293.33333333333826</v>
      </c>
      <c r="AN73" s="59">
        <f ca="1">AVERAGE(OFFSET($AM$3,0,0,'Données projet'!$E$10+1,1))-AVERAGE(OFFSET($H$3,0,0,'Données projet'!$E$10+1,1))</f>
        <v>347.02720636703873</v>
      </c>
      <c r="AO73" s="59">
        <f t="shared" si="90"/>
        <v>394.03759949558702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196.57322245410705</v>
      </c>
      <c r="AV73" s="21">
        <f>EXP(-LN(2)/25)*AV72+(1-EXP(-LN(2)/25))/(LN(2)/25)*Calculateur!AQ73*Calculateur!AS73*VLOOKUP('Données projet'!$B$10,Paramètres!$A$1:$I$89,3,0)*0.475*44/12</f>
        <v>100.43469007086263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297.0079125249697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608.5</v>
      </c>
      <c r="BB73" s="12">
        <f>VLOOKUP(A73,'Données projet'!$A$87:$I$107,9,0)</f>
        <v>16.3</v>
      </c>
      <c r="BC73" s="12">
        <f t="array" ref="BC73">INDEX(BB:BB,MIN(IF(ISNUMBER(BB73:BB269),ROW(BB73:BB269),"")))</f>
        <v>16.3</v>
      </c>
      <c r="BD73" s="12">
        <f>IF('Données projet'!$A$88&gt;35,BD72+BC73-BL72,IF(A73&lt;'Données projet'!$A$88,$BA$205^A73,IF(A73='Données projet'!$A$88,'Données projet'!$B$88,BD72+BC73-BL72)))</f>
        <v>608.49999999999966</v>
      </c>
      <c r="BE73" s="13">
        <f>BD73*VLOOKUP('Données projet'!$B$11,Paramètres!$A$1:$I$89,3,0)*VLOOKUP('Données projet'!$B$11,Paramètres!$A$1:$I$89,5,0)</f>
        <v>363.88299999999981</v>
      </c>
      <c r="BF73" s="13">
        <f t="shared" si="91"/>
        <v>84.414661207325409</v>
      </c>
      <c r="BG73" s="20">
        <f t="shared" si="61"/>
        <v>780.78509326942469</v>
      </c>
      <c r="BH73" s="59">
        <f t="shared" si="62"/>
        <v>1074.1184266027581</v>
      </c>
      <c r="BI73" s="59">
        <f ca="1">AVERAGE(OFFSET($BH$3,0,0,'Données projet'!$E$11+1,1))-AVERAGE(OFFSET($H$3,0,0,'Données projet'!$E$11+1,1))</f>
        <v>378.75660696651238</v>
      </c>
      <c r="BJ73" s="59">
        <f t="shared" si="92"/>
        <v>371.70674704563288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608.5</v>
      </c>
      <c r="BM73" s="16">
        <f>IF(ISNA(VLOOKUP(A73,'Données projet'!$A$87:$I$107,5,0)),0%,VLOOKUP(A73,'Données projet'!$A$87:$I$107,5,0)*VLOOKUP('Données projet'!$B$11,Paramètres!$A$1:$I$89,7,0))</f>
        <v>0.315</v>
      </c>
      <c r="BN73" s="16">
        <f>IF(ISNA(VLOOKUP(A73,'Données projet'!$A$87:$I$107,6,0)),0%,VLOOKUP(A73,'Données projet'!$A$87:$I$107,6,0)*VLOOKUP('Données projet'!$B$11,Paramètres!$A$1:$I$89,7,0))</f>
        <v>0.13500000000000001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194.45499730508894</v>
      </c>
      <c r="BQ73" s="21">
        <f>EXP(-LN(2)/25)*BQ72+(1-EXP(-LN(2)/25))/(LN(2)/25)*Calculateur!BL73*Calculateur!BN73*VLOOKUP('Données projet'!$B$11,Paramètres!$A$1:$I$89,3,0)*0.475*44/12</f>
        <v>97.040696506884984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291.49569381197392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4.875</v>
      </c>
      <c r="BY73" s="12">
        <f>IF('Données projet'!$A$114&gt;35,BY72+BX73-CG72,IF(A73&lt;'Données projet'!$A$114,$BV$205^A73,IF(A73='Données projet'!$A$114,'Données projet'!$B$114,BY72+BX73-CG72)))</f>
        <v>134.25000000000014</v>
      </c>
      <c r="BZ73" s="13">
        <f>BY73*VLOOKUP('Données projet'!$B$12,Paramètres!$A$1:$I$89,3,0)*VLOOKUP('Données projet'!$B$12,Paramètres!$A$1:$I$89,5,0)</f>
        <v>136.12950000000018</v>
      </c>
      <c r="CA73" s="13">
        <f t="shared" si="93"/>
        <v>35.408886716690795</v>
      </c>
      <c r="CB73" s="20">
        <f t="shared" si="64"/>
        <v>298.76269019823678</v>
      </c>
      <c r="CC73" s="59">
        <f t="shared" si="65"/>
        <v>592.09602353157015</v>
      </c>
      <c r="CD73" s="59">
        <f ca="1">AVERAGE(OFFSET($CC$3,0,0,'Données projet'!$E$12+1,1))-AVERAGE(OFFSET($H$3,0,0,'Données projet'!$E$12+1,1))</f>
        <v>410.75375635525211</v>
      </c>
      <c r="CE73" s="59">
        <f t="shared" si="94"/>
        <v>183.55513001437367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11.395737590097347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11.395737590097347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6.2222222222222223</v>
      </c>
      <c r="CT73" s="12">
        <f>IF('Données projet'!$A$140&gt;35,CT72+CS73-DB72,IF(A73&lt;'Données projet'!$A$140,$CQ$205^A73,IF(A73='Données projet'!$A$140,'Données projet'!$B$140,CT72+CS73-DB72)))</f>
        <v>176.88888888888891</v>
      </c>
      <c r="CU73" s="17">
        <f>CT73*VLOOKUP('Données projet'!$B$13,Paramètres!$A$1:$I$89,3,0)*VLOOKUP('Données projet'!$B$13,Paramètres!$A$1:$I$89,5,0)</f>
        <v>160.04906666666668</v>
      </c>
      <c r="CV73" s="13">
        <f t="shared" si="95"/>
        <v>40.853582332820466</v>
      </c>
      <c r="CW73" s="20">
        <f t="shared" si="67"/>
        <v>349.90544700744005</v>
      </c>
      <c r="CX73" s="59">
        <f t="shared" si="68"/>
        <v>643.23878034077336</v>
      </c>
      <c r="CY73" s="59">
        <f ca="1">AVERAGE(OFFSET($CX$3,0,0,'Données projet'!$E$13+1,1))-AVERAGE(OFFSET($H$3,0,0,'Données projet'!$E$13+1,1))</f>
        <v>436.12708882925142</v>
      </c>
      <c r="CZ73" s="59">
        <f t="shared" si="96"/>
        <v>217.65884352525285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18.798141969882995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18.798141969882995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495</v>
      </c>
      <c r="DM73" s="12">
        <f>VLOOKUP(A73,'Données projet'!$A$165:$I$185,9,0)</f>
        <v>13</v>
      </c>
      <c r="DN73" s="12">
        <f t="array" ref="DN73">INDEX(DM:DM,MIN(IF(ISNUMBER(DM73:DM269),ROW(DM73:DM269),"")))</f>
        <v>13</v>
      </c>
      <c r="DO73" s="12">
        <f>IF('Données projet'!$A$166&gt;35,DO72+DN73-DW72,IF(A73&lt;'Données projet'!$A$166,$DL$205^A73,IF(A73='Données projet'!$A$166,'Données projet'!$B$166,DO72+DN73-DW72)))</f>
        <v>495.00000000000045</v>
      </c>
      <c r="DP73" s="17">
        <f>DO73*VLOOKUP('Données projet'!$B$14,Paramètres!$A$1:$I$89,3,0)*VLOOKUP('Données projet'!$B$14,Paramètres!$A$1:$I$89,5,0)</f>
        <v>471.04200000000043</v>
      </c>
      <c r="DQ73" s="13">
        <f t="shared" si="97"/>
        <v>106.03947184745731</v>
      </c>
      <c r="DR73" s="20">
        <f t="shared" si="70"/>
        <v>1005.0835634676555</v>
      </c>
      <c r="DS73" s="59">
        <f t="shared" si="71"/>
        <v>1298.4168968009888</v>
      </c>
      <c r="DT73" s="59">
        <f ca="1">AVERAGE(OFFSET($DS$3,0,0,'Données projet'!$E$14+1,1))-AVERAGE(OFFSET($H$3,0,0,'Données projet'!$E$14+1,1))</f>
        <v>735.50267870886194</v>
      </c>
      <c r="DU73" s="59">
        <f t="shared" si="98"/>
        <v>525.80345400853275</v>
      </c>
      <c r="DV73" s="15">
        <f>IF(ISNA(VLOOKUP(A73,'Données projet'!$A$165:$I$185,3,0)),0,VLOOKUP(A73,'Données projet'!$A$165:$I$185,3,0))</f>
        <v>12</v>
      </c>
      <c r="DW73" s="15">
        <f>IF(ISNA(VLOOKUP(A73,'Données projet'!$A$165:$I$185,4,0)),0,VLOOKUP(A73,'Données projet'!$A$165:$I$185,4,0))</f>
        <v>53</v>
      </c>
      <c r="DX73" s="16">
        <f>IF(ISNA(VLOOKUP(A73,'Données projet'!$A$165:$I$185,5,0)),0%,VLOOKUP(A73,'Données projet'!$A$165:$I$185,5,0)*VLOOKUP('Données projet'!$B$14,Paramètres!$A$1:$I$89,7,0))</f>
        <v>0.25800000000000001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56.708594309986402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56.708594309986402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4.875</v>
      </c>
      <c r="EJ73" s="12">
        <f>IF('Données projet'!$A$192&gt;35,EJ72+EI73-ER72,IF(A73&lt;'Données projet'!$A$192,$EG$205^A73,IF(A73='Données projet'!$A$192,'Données projet'!$B$192,EJ72+EI73-ER72)))</f>
        <v>134.25000000000014</v>
      </c>
      <c r="EK73" s="17">
        <f>EJ73*VLOOKUP('Données projet'!$B$15,Paramètres!$A$1:$I$89,3,0)*VLOOKUP('Données projet'!$B$15,Paramètres!$A$1:$I$89,5,0)</f>
        <v>85.866300000000081</v>
      </c>
      <c r="EL73" s="13">
        <f t="shared" si="99"/>
        <v>23.565564433619297</v>
      </c>
      <c r="EM73" s="20">
        <f t="shared" si="73"/>
        <v>190.59383055522039</v>
      </c>
      <c r="EN73" s="59">
        <f t="shared" si="74"/>
        <v>483.92716388855371</v>
      </c>
      <c r="EO73" s="59">
        <f ca="1">AVERAGE(OFFSET($EN$3,0,0,'Données projet'!$E$15+1,1))-AVERAGE(OFFSET($H$3,0,0,'Données projet'!$E$15+1,1))</f>
        <v>274.14900959323484</v>
      </c>
      <c r="EP73" s="59">
        <f t="shared" si="100"/>
        <v>130.44590390921582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7.1880806337537111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7.1880806337537111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12.875</v>
      </c>
      <c r="FE73" s="12">
        <f>IF('Données projet'!$A$218&gt;35,FE72+FD73-FM72,IF(A73&lt;'Données projet'!$A$218,$FB$205^A73,IF(A73='Données projet'!$A$218,'Données projet'!$B$218,FE72+FD73-FM72)))</f>
        <v>481.49999999999994</v>
      </c>
      <c r="FF73" s="17">
        <f>FE73*VLOOKUP('Données projet'!$B$16,Paramètres!$A$1:$I$89,3,0)*VLOOKUP('Données projet'!$B$16,Paramètres!$A$1:$I$89,5,0)</f>
        <v>287.93700000000001</v>
      </c>
      <c r="FG73" s="13">
        <f t="shared" si="101"/>
        <v>68.641586729718156</v>
      </c>
      <c r="FH73" s="20">
        <f t="shared" si="76"/>
        <v>621.04103855425899</v>
      </c>
      <c r="FI73" s="59">
        <f t="shared" si="77"/>
        <v>914.37437188759236</v>
      </c>
      <c r="FJ73" s="59">
        <f ca="1">AVERAGE(OFFSET($FI$3,0,0,'Données projet'!$E$16+1,1))-AVERAGE(OFFSET($H$3,0,0,'Données projet'!$E$16+1,1))</f>
        <v>405.42845699663462</v>
      </c>
      <c r="FK73" s="59">
        <f t="shared" si="102"/>
        <v>292.26503163353146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49.483738017782606</v>
      </c>
      <c r="FR73" s="21">
        <f>EXP(-LN(2)/25)*FR72+(1-EXP(-LN(2)/25))/(LN(2)/25)*Calculateur!FM73*Calculateur!FO73*VLOOKUP('Données projet'!$B$16,Paramètres!$A$1:$I$89,3,0)*0.475*44/12</f>
        <v>30.650226472172132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80.133964489954735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12.875</v>
      </c>
      <c r="FZ73" s="12">
        <f>IF('Données projet'!$A$244&gt;35,FZ72+FY73-GH72,IF(A73&lt;'Données projet'!$A$244,$FW$205^A73,IF(A73='Données projet'!$A$244,'Données projet'!$B$244,FZ72+FY73-GH72)))</f>
        <v>481.49999999999994</v>
      </c>
      <c r="GA73" s="17">
        <f>FZ73*VLOOKUP('Données projet'!$B$17,Paramètres!$A$1:$I$89,3,0)*VLOOKUP('Données projet'!$B$17,Paramètres!$A$1:$I$89,5,0)</f>
        <v>287.93700000000001</v>
      </c>
      <c r="GB73" s="13">
        <f t="shared" si="103"/>
        <v>68.641586729718156</v>
      </c>
      <c r="GC73" s="20">
        <f t="shared" si="79"/>
        <v>621.04103855425899</v>
      </c>
      <c r="GD73" s="59">
        <f t="shared" si="80"/>
        <v>914.37437188759236</v>
      </c>
      <c r="GE73" s="59">
        <f ca="1">AVERAGE(OFFSET($GD$3,0,0,'Données projet'!$E$17+1,1))-AVERAGE(OFFSET($H$3,0,0,'Données projet'!$E$17+1,1))</f>
        <v>405.42845699663462</v>
      </c>
      <c r="GF73" s="59">
        <f t="shared" si="104"/>
        <v>292.26503163353146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49.483738017782606</v>
      </c>
      <c r="GM73" s="21">
        <f>EXP(-LN(2)/25)*GM72+(1-EXP(-LN(2)/25))/(LN(2)/25)*Calculateur!GH73*Calculateur!GJ73*VLOOKUP('Données projet'!$B$17,Paramètres!$A$1:$I$89,3,0)*0.475*44/12</f>
        <v>30.650226472172132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80.133964489954735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-1.1368683772161603E-13</v>
      </c>
      <c r="O74" s="13">
        <f>N74*VLOOKUP('Données projet'!$B$9,Paramètres!$A$1:$I$89,3,0)*VLOOKUP('Données projet'!$B$9,Paramètres!$A$1:$I$89,5,0)</f>
        <v>-5.3205440053716299E-14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198.26255998041</v>
      </c>
      <c r="T74" s="59">
        <f t="shared" si="88"/>
        <v>238.62101708181166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88.285814734863223</v>
      </c>
      <c r="AA74" s="21">
        <f>EXP(-LN(2)/25)*AA73+(1-EXP(-LN(2)/25))/(LN(2)/25)*Calculateur!V74*Calculateur!X74*VLOOKUP('Données projet'!$B$9,Paramètres!$A$1:$I$89,3,0)*0.475*44/12</f>
        <v>45.898686886813017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134.18450162167625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3.4106051316484809E-13</v>
      </c>
      <c r="AJ74" s="13">
        <f>AI74*VLOOKUP('Données projet'!$B$10,Paramètres!$A$1:$I$89,3,0)*VLOOKUP('Données projet'!$B$10,Paramètres!$A$1:$I$89,5,0)</f>
        <v>1.9065282685915009E-13</v>
      </c>
      <c r="AK74" s="13">
        <f t="shared" si="89"/>
        <v>2.6568987209435707E-12</v>
      </c>
      <c r="AL74" s="20">
        <f t="shared" si="58"/>
        <v>4.959485612423072E-12</v>
      </c>
      <c r="AM74" s="59">
        <f t="shared" si="59"/>
        <v>293.33333333333826</v>
      </c>
      <c r="AN74" s="59">
        <f ca="1">AVERAGE(OFFSET($AM$3,0,0,'Données projet'!$E$10+1,1))-AVERAGE(OFFSET($H$3,0,0,'Données projet'!$E$10+1,1))</f>
        <v>347.02720636703873</v>
      </c>
      <c r="AO74" s="59">
        <f t="shared" si="90"/>
        <v>394.03759949558702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192.71854145960879</v>
      </c>
      <c r="AV74" s="21">
        <f>EXP(-LN(2)/25)*AV73+(1-EXP(-LN(2)/25))/(LN(2)/25)*Calculateur!AQ74*Calculateur!AS74*VLOOKUP('Données projet'!$B$10,Paramètres!$A$1:$I$89,3,0)*0.475*44/12</f>
        <v>97.68829818924408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290.40683964885284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-3.4106051316484809E-13</v>
      </c>
      <c r="BE74" s="13">
        <f>BD74*VLOOKUP('Données projet'!$B$11,Paramètres!$A$1:$I$89,3,0)*VLOOKUP('Données projet'!$B$11,Paramètres!$A$1:$I$89,5,0)</f>
        <v>-2.0395418687257919E-13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378.75660696651238</v>
      </c>
      <c r="BJ74" s="59">
        <f t="shared" si="92"/>
        <v>371.70674704563288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190.64185341377313</v>
      </c>
      <c r="BQ74" s="21">
        <f>EXP(-LN(2)/25)*BQ73+(1-EXP(-LN(2)/25))/(LN(2)/25)*Calculateur!BL74*Calculateur!BN74*VLOOKUP('Données projet'!$B$11,Paramètres!$A$1:$I$89,3,0)*0.475*44/12</f>
        <v>94.387113557755768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285.02896697152892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4.875</v>
      </c>
      <c r="BY74" s="12">
        <f>IF('Données projet'!$A$114&gt;35,BY73+BX74-CG73,IF(A74&lt;'Données projet'!$A$114,$BV$205^A74,IF(A74='Données projet'!$A$114,'Données projet'!$B$114,BY73+BX74-CG73)))</f>
        <v>139.12500000000014</v>
      </c>
      <c r="BZ74" s="13">
        <f>BY74*VLOOKUP('Données projet'!$B$12,Paramètres!$A$1:$I$89,3,0)*VLOOKUP('Données projet'!$B$12,Paramètres!$A$1:$I$89,5,0)</f>
        <v>141.07275000000016</v>
      </c>
      <c r="CA74" s="13">
        <f t="shared" si="93"/>
        <v>36.542648172273218</v>
      </c>
      <c r="CB74" s="20">
        <f t="shared" si="64"/>
        <v>309.34681848337613</v>
      </c>
      <c r="CC74" s="59">
        <f t="shared" si="65"/>
        <v>602.68015181670944</v>
      </c>
      <c r="CD74" s="59">
        <f ca="1">AVERAGE(OFFSET($CC$3,0,0,'Données projet'!$E$12+1,1))-AVERAGE(OFFSET($H$3,0,0,'Données projet'!$E$12+1,1))</f>
        <v>410.75375635525211</v>
      </c>
      <c r="CE74" s="59">
        <f t="shared" si="94"/>
        <v>183.55513001437367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11.172274126669143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11.172274126669143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6.2222222222222223</v>
      </c>
      <c r="CT74" s="12">
        <f>IF('Données projet'!$A$140&gt;35,CT73+CS74-DB73,IF(A74&lt;'Données projet'!$A$140,$CQ$205^A74,IF(A74='Données projet'!$A$140,'Données projet'!$B$140,CT73+CS74-DB73)))</f>
        <v>183.11111111111114</v>
      </c>
      <c r="CU74" s="17">
        <f>CT74*VLOOKUP('Données projet'!$B$13,Paramètres!$A$1:$I$89,3,0)*VLOOKUP('Données projet'!$B$13,Paramètres!$A$1:$I$89,5,0)</f>
        <v>165.67893333333336</v>
      </c>
      <c r="CV74" s="13">
        <f t="shared" si="95"/>
        <v>42.120803009325556</v>
      </c>
      <c r="CW74" s="20">
        <f t="shared" si="67"/>
        <v>361.91787413013094</v>
      </c>
      <c r="CX74" s="59">
        <f t="shared" si="68"/>
        <v>655.2512074634642</v>
      </c>
      <c r="CY74" s="59">
        <f ca="1">AVERAGE(OFFSET($CX$3,0,0,'Données projet'!$E$13+1,1))-AVERAGE(OFFSET($H$3,0,0,'Données projet'!$E$13+1,1))</f>
        <v>436.12708882925142</v>
      </c>
      <c r="CZ74" s="59">
        <f t="shared" si="96"/>
        <v>217.65884352525285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18.429521871588044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18.429521871588044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12.4</v>
      </c>
      <c r="DO74" s="12">
        <f>IF('Données projet'!$A$166&gt;35,DO73+DN74-DW73,IF(A74&lt;'Données projet'!$A$166,$DL$205^A74,IF(A74='Données projet'!$A$166,'Données projet'!$B$166,DO73+DN74-DW73)))</f>
        <v>454.40000000000043</v>
      </c>
      <c r="DP74" s="17">
        <f>DO74*VLOOKUP('Données projet'!$B$14,Paramètres!$A$1:$I$89,3,0)*VLOOKUP('Données projet'!$B$14,Paramètres!$A$1:$I$89,5,0)</f>
        <v>432.40704000000039</v>
      </c>
      <c r="DQ74" s="13">
        <f t="shared" si="97"/>
        <v>98.31661196042495</v>
      </c>
      <c r="DR74" s="20">
        <f t="shared" si="70"/>
        <v>924.34369383107389</v>
      </c>
      <c r="DS74" s="59">
        <f t="shared" si="71"/>
        <v>1217.6770271644073</v>
      </c>
      <c r="DT74" s="59">
        <f ca="1">AVERAGE(OFFSET($DS$3,0,0,'Données projet'!$E$14+1,1))-AVERAGE(OFFSET($H$3,0,0,'Données projet'!$E$14+1,1))</f>
        <v>735.50267870886194</v>
      </c>
      <c r="DU74" s="59">
        <f t="shared" si="98"/>
        <v>525.80345400853275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55.596573364394736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55.596573364394736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4.875</v>
      </c>
      <c r="EJ74" s="12">
        <f>IF('Données projet'!$A$192&gt;35,EJ73+EI74-ER73,IF(A74&lt;'Données projet'!$A$192,$EG$205^A74,IF(A74='Données projet'!$A$192,'Données projet'!$B$192,EJ73+EI74-ER73)))</f>
        <v>139.12500000000014</v>
      </c>
      <c r="EK74" s="17">
        <f>EJ74*VLOOKUP('Données projet'!$B$15,Paramètres!$A$1:$I$89,3,0)*VLOOKUP('Données projet'!$B$15,Paramètres!$A$1:$I$89,5,0)</f>
        <v>88.984350000000092</v>
      </c>
      <c r="EL74" s="13">
        <f t="shared" si="99"/>
        <v>24.320113110838445</v>
      </c>
      <c r="EM74" s="20">
        <f t="shared" si="73"/>
        <v>197.33860658471045</v>
      </c>
      <c r="EN74" s="59">
        <f t="shared" si="74"/>
        <v>490.67193991804379</v>
      </c>
      <c r="EO74" s="59">
        <f ca="1">AVERAGE(OFFSET($EN$3,0,0,'Données projet'!$E$15+1,1))-AVERAGE(OFFSET($H$3,0,0,'Données projet'!$E$15+1,1))</f>
        <v>274.14900959323484</v>
      </c>
      <c r="EP74" s="59">
        <f t="shared" si="100"/>
        <v>130.44590390921582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7.0471267568220739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7.0471267568220739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12.875</v>
      </c>
      <c r="FE74" s="12">
        <f>IF('Données projet'!$A$218&gt;35,FE73+FD74-FM73,IF(A74&lt;'Données projet'!$A$218,$FB$205^A74,IF(A74='Données projet'!$A$218,'Données projet'!$B$218,FE73+FD74-FM73)))</f>
        <v>494.37499999999994</v>
      </c>
      <c r="FF74" s="17">
        <f>FE74*VLOOKUP('Données projet'!$B$16,Paramètres!$A$1:$I$89,3,0)*VLOOKUP('Données projet'!$B$16,Paramètres!$A$1:$I$89,5,0)</f>
        <v>295.63625000000002</v>
      </c>
      <c r="FG74" s="13">
        <f t="shared" si="101"/>
        <v>70.260875189476423</v>
      </c>
      <c r="FH74" s="20">
        <f t="shared" si="76"/>
        <v>637.27082637167155</v>
      </c>
      <c r="FI74" s="59">
        <f t="shared" si="77"/>
        <v>930.6041597050048</v>
      </c>
      <c r="FJ74" s="59">
        <f ca="1">AVERAGE(OFFSET($FI$3,0,0,'Données projet'!$E$16+1,1))-AVERAGE(OFFSET($H$3,0,0,'Données projet'!$E$16+1,1))</f>
        <v>405.42845699663462</v>
      </c>
      <c r="FK74" s="59">
        <f t="shared" si="102"/>
        <v>292.26503163353146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48.513392097353844</v>
      </c>
      <c r="FR74" s="21">
        <f>EXP(-LN(2)/25)*FR73+(1-EXP(-LN(2)/25))/(LN(2)/25)*Calculateur!FM74*Calculateur!FO74*VLOOKUP('Données projet'!$B$16,Paramètres!$A$1:$I$89,3,0)*0.475*44/12</f>
        <v>29.812094417465229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78.325486514819076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12.875</v>
      </c>
      <c r="FZ74" s="12">
        <f>IF('Données projet'!$A$244&gt;35,FZ73+FY74-GH73,IF(A74&lt;'Données projet'!$A$244,$FW$205^A74,IF(A74='Données projet'!$A$244,'Données projet'!$B$244,FZ73+FY74-GH73)))</f>
        <v>494.37499999999994</v>
      </c>
      <c r="GA74" s="17">
        <f>FZ74*VLOOKUP('Données projet'!$B$17,Paramètres!$A$1:$I$89,3,0)*VLOOKUP('Données projet'!$B$17,Paramètres!$A$1:$I$89,5,0)</f>
        <v>295.63625000000002</v>
      </c>
      <c r="GB74" s="13">
        <f t="shared" si="103"/>
        <v>70.260875189476423</v>
      </c>
      <c r="GC74" s="20">
        <f t="shared" si="79"/>
        <v>637.27082637167155</v>
      </c>
      <c r="GD74" s="59">
        <f t="shared" si="80"/>
        <v>930.6041597050048</v>
      </c>
      <c r="GE74" s="59">
        <f ca="1">AVERAGE(OFFSET($GD$3,0,0,'Données projet'!$E$17+1,1))-AVERAGE(OFFSET($H$3,0,0,'Données projet'!$E$17+1,1))</f>
        <v>405.42845699663462</v>
      </c>
      <c r="GF74" s="59">
        <f t="shared" si="104"/>
        <v>292.26503163353146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48.513392097353844</v>
      </c>
      <c r="GM74" s="21">
        <f>EXP(-LN(2)/25)*GM73+(1-EXP(-LN(2)/25))/(LN(2)/25)*Calculateur!GH74*Calculateur!GJ74*VLOOKUP('Données projet'!$B$17,Paramètres!$A$1:$I$89,3,0)*0.475*44/12</f>
        <v>29.812094417465229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78.325486514819076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-1.1368683772161603E-13</v>
      </c>
      <c r="O75" s="13">
        <f>N75*VLOOKUP('Données projet'!$B$9,Paramètres!$A$1:$I$89,3,0)*VLOOKUP('Données projet'!$B$9,Paramètres!$A$1:$I$89,5,0)</f>
        <v>-5.3205440053716299E-14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198.26255998041</v>
      </c>
      <c r="T75" s="59">
        <f t="shared" si="88"/>
        <v>238.62101708181166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86.554583756942392</v>
      </c>
      <c r="AA75" s="21">
        <f>EXP(-LN(2)/25)*AA74+(1-EXP(-LN(2)/25))/(LN(2)/25)*Calculateur!V75*Calculateur!X75*VLOOKUP('Données projet'!$B$9,Paramètres!$A$1:$I$89,3,0)*0.475*44/12</f>
        <v>44.643584880186076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131.19816863712848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3.4106051316484809E-13</v>
      </c>
      <c r="AJ75" s="13">
        <f>AI75*VLOOKUP('Données projet'!$B$10,Paramètres!$A$1:$I$89,3,0)*VLOOKUP('Données projet'!$B$10,Paramètres!$A$1:$I$89,5,0)</f>
        <v>1.9065282685915009E-13</v>
      </c>
      <c r="AK75" s="13">
        <f t="shared" si="89"/>
        <v>2.6568987209435707E-12</v>
      </c>
      <c r="AL75" s="20">
        <f t="shared" si="58"/>
        <v>4.959485612423072E-12</v>
      </c>
      <c r="AM75" s="59">
        <f t="shared" si="59"/>
        <v>293.33333333333826</v>
      </c>
      <c r="AN75" s="59">
        <f ca="1">AVERAGE(OFFSET($AM$3,0,0,'Données projet'!$E$10+1,1))-AVERAGE(OFFSET($H$3,0,0,'Données projet'!$E$10+1,1))</f>
        <v>347.02720636703873</v>
      </c>
      <c r="AO75" s="59">
        <f t="shared" si="90"/>
        <v>394.03759949558702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188.93944840828937</v>
      </c>
      <c r="AV75" s="21">
        <f>EXP(-LN(2)/25)*AV74+(1-EXP(-LN(2)/25))/(LN(2)/25)*Calculateur!AQ75*Calculateur!AS75*VLOOKUP('Données projet'!$B$10,Paramètres!$A$1:$I$89,3,0)*0.475*44/12</f>
        <v>95.017006538054872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283.95645494634425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-3.4106051316484809E-13</v>
      </c>
      <c r="BE75" s="13">
        <f>BD75*VLOOKUP('Données projet'!$B$11,Paramètres!$A$1:$I$89,3,0)*VLOOKUP('Données projet'!$B$11,Paramètres!$A$1:$I$89,5,0)</f>
        <v>-2.0395418687257919E-13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378.75660696651238</v>
      </c>
      <c r="BJ75" s="59">
        <f t="shared" si="92"/>
        <v>371.70674704563288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186.90348294837793</v>
      </c>
      <c r="BQ75" s="21">
        <f>EXP(-LN(2)/25)*BQ74+(1-EXP(-LN(2)/25))/(LN(2)/25)*Calculateur!BL75*Calculateur!BN75*VLOOKUP('Données projet'!$B$11,Paramètres!$A$1:$I$89,3,0)*0.475*44/12</f>
        <v>91.806092973916364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278.70957592229428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>
        <f>VLOOKUP(A75,'Données projet'!$A$113:$I$133,2,0)</f>
        <v>144</v>
      </c>
      <c r="BW75" s="12">
        <f>VLOOKUP(A75,'Données projet'!$A$113:$I$133,9,0)</f>
        <v>4.875</v>
      </c>
      <c r="BX75" s="12">
        <f t="array" ref="BX75">INDEX(BW:BW,MIN(IF(ISNUMBER(BW75:BW271),ROW(BW75:BW271),"")))</f>
        <v>4.875</v>
      </c>
      <c r="BY75" s="12">
        <f>IF('Données projet'!$A$114&gt;35,BY74+BX75-CG74,IF(A75&lt;'Données projet'!$A$114,$BV$205^A75,IF(A75='Données projet'!$A$114,'Données projet'!$B$114,BY74+BX75-CG74)))</f>
        <v>144.00000000000014</v>
      </c>
      <c r="BZ75" s="13">
        <f>BY75*VLOOKUP('Données projet'!$B$12,Paramètres!$A$1:$I$89,3,0)*VLOOKUP('Données projet'!$B$12,Paramètres!$A$1:$I$89,5,0)</f>
        <v>146.01600000000016</v>
      </c>
      <c r="CA75" s="13">
        <f t="shared" si="93"/>
        <v>37.671793767891131</v>
      </c>
      <c r="CB75" s="20">
        <f t="shared" si="64"/>
        <v>319.92290747907731</v>
      </c>
      <c r="CC75" s="59">
        <f t="shared" si="65"/>
        <v>613.25624081241062</v>
      </c>
      <c r="CD75" s="59">
        <f ca="1">AVERAGE(OFFSET($CC$3,0,0,'Données projet'!$E$12+1,1))-AVERAGE(OFFSET($H$3,0,0,'Données projet'!$E$12+1,1))</f>
        <v>410.75375635525211</v>
      </c>
      <c r="CE75" s="59">
        <f t="shared" si="94"/>
        <v>183.55513001437367</v>
      </c>
      <c r="CF75" s="15">
        <f>IF(ISNA(VLOOKUP(A75,'Données projet'!$A$113:$I$133,3,0)),0,VLOOKUP(A75,'Données projet'!$A$113:$I$133,3,0))</f>
        <v>3</v>
      </c>
      <c r="CG75" s="15">
        <f>IF(ISNA(VLOOKUP(A75,'Données projet'!$A$113:$I$133,4,0)),0,VLOOKUP(A75,'Données projet'!$A$113:$I$133,4,0))</f>
        <v>26</v>
      </c>
      <c r="CH75" s="16">
        <f>IF(ISNA(VLOOKUP(A75,'Données projet'!$A$113:$I$133,5,0)),0%,VLOOKUP(A75,'Données projet'!$A$113:$I$133,5,0)*VLOOKUP('Données projet'!$B$12,Paramètres!$A$1:$I$89,7,0))</f>
        <v>0.25800000000000001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18.47250488564924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18.47250488564924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6.2222222222222223</v>
      </c>
      <c r="CT75" s="12">
        <f>IF('Données projet'!$A$140&gt;35,CT74+CS75-DB74,IF(A75&lt;'Données projet'!$A$140,$CQ$205^A75,IF(A75='Données projet'!$A$140,'Données projet'!$B$140,CT74+CS75-DB74)))</f>
        <v>189.33333333333337</v>
      </c>
      <c r="CU75" s="17">
        <f>CT75*VLOOKUP('Données projet'!$B$13,Paramètres!$A$1:$I$89,3,0)*VLOOKUP('Données projet'!$B$13,Paramètres!$A$1:$I$89,5,0)</f>
        <v>171.30880000000002</v>
      </c>
      <c r="CV75" s="13">
        <f t="shared" si="95"/>
        <v>43.383020279841645</v>
      </c>
      <c r="CW75" s="20">
        <f t="shared" si="67"/>
        <v>373.92158698739087</v>
      </c>
      <c r="CX75" s="59">
        <f t="shared" si="68"/>
        <v>667.25492032072418</v>
      </c>
      <c r="CY75" s="59">
        <f ca="1">AVERAGE(OFFSET($CX$3,0,0,'Données projet'!$E$13+1,1))-AVERAGE(OFFSET($H$3,0,0,'Données projet'!$E$13+1,1))</f>
        <v>436.12708882925142</v>
      </c>
      <c r="CZ75" s="59">
        <f t="shared" si="96"/>
        <v>217.65884352525285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18.068130188584597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18.068130188584597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12.4</v>
      </c>
      <c r="DO75" s="12">
        <f>IF('Données projet'!$A$166&gt;35,DO74+DN75-DW74,IF(A75&lt;'Données projet'!$A$166,$DL$205^A75,IF(A75='Données projet'!$A$166,'Données projet'!$B$166,DO74+DN75-DW74)))</f>
        <v>466.80000000000041</v>
      </c>
      <c r="DP75" s="17">
        <f>DO75*VLOOKUP('Données projet'!$B$14,Paramètres!$A$1:$I$89,3,0)*VLOOKUP('Données projet'!$B$14,Paramètres!$A$1:$I$89,5,0)</f>
        <v>444.20688000000035</v>
      </c>
      <c r="DQ75" s="13">
        <f t="shared" si="97"/>
        <v>100.68352658499111</v>
      </c>
      <c r="DR75" s="20">
        <f t="shared" si="70"/>
        <v>949.01745813552691</v>
      </c>
      <c r="DS75" s="59">
        <f t="shared" si="71"/>
        <v>1242.3507914688603</v>
      </c>
      <c r="DT75" s="59">
        <f ca="1">AVERAGE(OFFSET($DS$3,0,0,'Données projet'!$E$14+1,1))-AVERAGE(OFFSET($H$3,0,0,'Données projet'!$E$14+1,1))</f>
        <v>735.50267870886194</v>
      </c>
      <c r="DU75" s="59">
        <f t="shared" si="98"/>
        <v>525.80345400853275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54.506358471280315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54.506358471280315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>
        <f>VLOOKUP(A75,'Données projet'!$A$191:$I$211,2,0)</f>
        <v>144</v>
      </c>
      <c r="EH75" s="12">
        <f>VLOOKUP(A75,'Données projet'!$A$191:$I$211,9,0)</f>
        <v>4.875</v>
      </c>
      <c r="EI75" s="12">
        <f t="array" ref="EI75">INDEX(EH:EH,MIN(IF(ISNUMBER(EH75:EH271),ROW(EH75:EH271),"")))</f>
        <v>4.875</v>
      </c>
      <c r="EJ75" s="12">
        <f>IF('Données projet'!$A$192&gt;35,EJ74+EI75-ER74,IF(A75&lt;'Données projet'!$A$192,$EG$205^A75,IF(A75='Données projet'!$A$192,'Données projet'!$B$192,EJ74+EI75-ER74)))</f>
        <v>144.00000000000014</v>
      </c>
      <c r="EK75" s="17">
        <f>EJ75*VLOOKUP('Données projet'!$B$15,Paramètres!$A$1:$I$89,3,0)*VLOOKUP('Données projet'!$B$15,Paramètres!$A$1:$I$89,5,0)</f>
        <v>92.102400000000088</v>
      </c>
      <c r="EL75" s="13">
        <f t="shared" si="99"/>
        <v>25.071589809368167</v>
      </c>
      <c r="EM75" s="20">
        <f t="shared" si="73"/>
        <v>204.07803225131636</v>
      </c>
      <c r="EN75" s="59">
        <f t="shared" si="74"/>
        <v>497.41136558464967</v>
      </c>
      <c r="EO75" s="59">
        <f ca="1">AVERAGE(OFFSET($EN$3,0,0,'Données projet'!$E$15+1,1))-AVERAGE(OFFSET($H$3,0,0,'Données projet'!$E$15+1,1))</f>
        <v>274.14900959323484</v>
      </c>
      <c r="EP75" s="59">
        <f t="shared" si="100"/>
        <v>130.44590390921582</v>
      </c>
      <c r="EQ75" s="15">
        <f>IF(ISNA(VLOOKUP(A75,'Données projet'!$A$191:$I$211,3,0)),0,VLOOKUP(A75,'Données projet'!$A$191:$I$211,3,0))</f>
        <v>3</v>
      </c>
      <c r="ER75" s="15">
        <f>IF(ISNA(VLOOKUP(A75,'Données projet'!$A$191:$I$211,4,0)),0,VLOOKUP(A75,'Données projet'!$A$191:$I$211,4,0))</f>
        <v>26</v>
      </c>
      <c r="ES75" s="16">
        <f>IF(ISNA(VLOOKUP(A75,'Données projet'!$A$191:$I$211,5,0)),0%,VLOOKUP(A75,'Données projet'!$A$191:$I$211,5,0)*VLOOKUP('Données projet'!$B$15,Paramètres!$A$1:$I$89,7,0))</f>
        <v>0.25800000000000001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11.651887697101827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11.651887697101827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12.875</v>
      </c>
      <c r="FE75" s="12">
        <f>IF('Données projet'!$A$218&gt;35,FE74+FD75-FM74,IF(A75&lt;'Données projet'!$A$218,$FB$205^A75,IF(A75='Données projet'!$A$218,'Données projet'!$B$218,FE74+FD75-FM74)))</f>
        <v>507.24999999999994</v>
      </c>
      <c r="FF75" s="17">
        <f>FE75*VLOOKUP('Données projet'!$B$16,Paramètres!$A$1:$I$89,3,0)*VLOOKUP('Données projet'!$B$16,Paramètres!$A$1:$I$89,5,0)</f>
        <v>303.33549999999997</v>
      </c>
      <c r="FG75" s="13">
        <f t="shared" si="101"/>
        <v>71.875261779950591</v>
      </c>
      <c r="FH75" s="20">
        <f t="shared" si="76"/>
        <v>653.49207676674712</v>
      </c>
      <c r="FI75" s="59">
        <f t="shared" si="77"/>
        <v>946.82541010008049</v>
      </c>
      <c r="FJ75" s="59">
        <f ca="1">AVERAGE(OFFSET($FI$3,0,0,'Données projet'!$E$16+1,1))-AVERAGE(OFFSET($H$3,0,0,'Données projet'!$E$16+1,1))</f>
        <v>405.42845699663462</v>
      </c>
      <c r="FK75" s="59">
        <f t="shared" si="102"/>
        <v>292.26503163353146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47.562074068572123</v>
      </c>
      <c r="FR75" s="21">
        <f>EXP(-LN(2)/25)*FR74+(1-EXP(-LN(2)/25))/(LN(2)/25)*Calculateur!FM75*Calculateur!FO75*VLOOKUP('Données projet'!$B$16,Paramètres!$A$1:$I$89,3,0)*0.475*44/12</f>
        <v>28.996881127869734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76.558955196441858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12.875</v>
      </c>
      <c r="FZ75" s="12">
        <f>IF('Données projet'!$A$244&gt;35,FZ74+FY75-GH74,IF(A75&lt;'Données projet'!$A$244,$FW$205^A75,IF(A75='Données projet'!$A$244,'Données projet'!$B$244,FZ74+FY75-GH74)))</f>
        <v>507.24999999999994</v>
      </c>
      <c r="GA75" s="17">
        <f>FZ75*VLOOKUP('Données projet'!$B$17,Paramètres!$A$1:$I$89,3,0)*VLOOKUP('Données projet'!$B$17,Paramètres!$A$1:$I$89,5,0)</f>
        <v>303.33549999999997</v>
      </c>
      <c r="GB75" s="13">
        <f t="shared" si="103"/>
        <v>71.875261779950591</v>
      </c>
      <c r="GC75" s="20">
        <f t="shared" si="79"/>
        <v>653.49207676674712</v>
      </c>
      <c r="GD75" s="59">
        <f t="shared" si="80"/>
        <v>946.82541010008049</v>
      </c>
      <c r="GE75" s="59">
        <f ca="1">AVERAGE(OFFSET($GD$3,0,0,'Données projet'!$E$17+1,1))-AVERAGE(OFFSET($H$3,0,0,'Données projet'!$E$17+1,1))</f>
        <v>405.42845699663462</v>
      </c>
      <c r="GF75" s="59">
        <f t="shared" si="104"/>
        <v>292.26503163353146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47.562074068572123</v>
      </c>
      <c r="GM75" s="21">
        <f>EXP(-LN(2)/25)*GM74+(1-EXP(-LN(2)/25))/(LN(2)/25)*Calculateur!GH75*Calculateur!GJ75*VLOOKUP('Données projet'!$B$17,Paramètres!$A$1:$I$89,3,0)*0.475*44/12</f>
        <v>28.996881127869734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76.558955196441858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-1.1368683772161603E-13</v>
      </c>
      <c r="O76" s="13">
        <f>N76*VLOOKUP('Données projet'!$B$9,Paramètres!$A$1:$I$89,3,0)*VLOOKUP('Données projet'!$B$9,Paramètres!$A$1:$I$89,5,0)</f>
        <v>-5.3205440053716299E-14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198.26255998041</v>
      </c>
      <c r="T76" s="59">
        <f t="shared" si="88"/>
        <v>238.62101708181166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84.857301162551963</v>
      </c>
      <c r="AA76" s="21">
        <f>EXP(-LN(2)/25)*AA75+(1-EXP(-LN(2)/25))/(LN(2)/25)*Calculateur!V76*Calculateur!X76*VLOOKUP('Données projet'!$B$9,Paramètres!$A$1:$I$89,3,0)*0.475*44/12</f>
        <v>43.42280370393329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128.28010486648526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3.4106051316484809E-13</v>
      </c>
      <c r="AJ76" s="13">
        <f>AI76*VLOOKUP('Données projet'!$B$10,Paramètres!$A$1:$I$89,3,0)*VLOOKUP('Données projet'!$B$10,Paramètres!$A$1:$I$89,5,0)</f>
        <v>1.9065282685915009E-13</v>
      </c>
      <c r="AK76" s="13">
        <f t="shared" si="89"/>
        <v>2.6568987209435707E-12</v>
      </c>
      <c r="AL76" s="20">
        <f t="shared" si="58"/>
        <v>4.959485612423072E-12</v>
      </c>
      <c r="AM76" s="59">
        <f t="shared" si="59"/>
        <v>293.33333333333826</v>
      </c>
      <c r="AN76" s="59">
        <f ca="1">AVERAGE(OFFSET($AM$3,0,0,'Données projet'!$E$10+1,1))-AVERAGE(OFFSET($H$3,0,0,'Données projet'!$E$10+1,1))</f>
        <v>347.02720636703873</v>
      </c>
      <c r="AO76" s="59">
        <f t="shared" si="90"/>
        <v>394.03759949558702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185.23446106668717</v>
      </c>
      <c r="AV76" s="21">
        <f>EXP(-LN(2)/25)*AV75+(1-EXP(-LN(2)/25))/(LN(2)/25)*Calculateur!AQ76*Calculateur!AS76*VLOOKUP('Données projet'!$B$10,Paramètres!$A$1:$I$89,3,0)*0.475*44/12</f>
        <v>92.418761497544551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277.65322256423173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-3.4106051316484809E-13</v>
      </c>
      <c r="BE76" s="13">
        <f>BD76*VLOOKUP('Données projet'!$B$11,Paramètres!$A$1:$I$89,3,0)*VLOOKUP('Données projet'!$B$11,Paramètres!$A$1:$I$89,5,0)</f>
        <v>-2.0395418687257919E-13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378.75660696651238</v>
      </c>
      <c r="BJ76" s="59">
        <f t="shared" si="92"/>
        <v>371.70674704563288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183.23841964762829</v>
      </c>
      <c r="BQ76" s="21">
        <f>EXP(-LN(2)/25)*BQ75+(1-EXP(-LN(2)/25))/(LN(2)/25)*Calculateur!BL76*Calculateur!BN76*VLOOKUP('Données projet'!$B$11,Paramètres!$A$1:$I$89,3,0)*0.475*44/12</f>
        <v>89.295650533672017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272.53407018130031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4.5555555555555554</v>
      </c>
      <c r="BY76" s="12">
        <f>IF('Données projet'!$A$114&gt;35,BY75+BX76-CG75,IF(A76&lt;'Données projet'!$A$114,$BV$205^A76,IF(A76='Données projet'!$A$114,'Données projet'!$B$114,BY75+BX76-CG75)))</f>
        <v>122.55555555555569</v>
      </c>
      <c r="BZ76" s="13">
        <f>BY76*VLOOKUP('Données projet'!$B$12,Paramètres!$A$1:$I$89,3,0)*VLOOKUP('Données projet'!$B$12,Paramètres!$A$1:$I$89,5,0)</f>
        <v>124.27133333333347</v>
      </c>
      <c r="CA76" s="13">
        <f t="shared" si="93"/>
        <v>32.669180720913964</v>
      </c>
      <c r="CB76" s="20">
        <f t="shared" si="64"/>
        <v>273.33806197781428</v>
      </c>
      <c r="CC76" s="59">
        <f t="shared" si="65"/>
        <v>566.67139531114753</v>
      </c>
      <c r="CD76" s="59">
        <f ca="1">AVERAGE(OFFSET($CC$3,0,0,'Données projet'!$E$12+1,1))-AVERAGE(OFFSET($H$3,0,0,'Données projet'!$E$12+1,1))</f>
        <v>410.75375635525211</v>
      </c>
      <c r="CE76" s="59">
        <f t="shared" si="94"/>
        <v>183.55513001437367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18.110270331957103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18.110270331957103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6.2222222222222223</v>
      </c>
      <c r="CT76" s="12">
        <f>IF('Données projet'!$A$140&gt;35,CT75+CS76-DB75,IF(A76&lt;'Données projet'!$A$140,$CQ$205^A76,IF(A76='Données projet'!$A$140,'Données projet'!$B$140,CT75+CS76-DB75)))</f>
        <v>195.5555555555556</v>
      </c>
      <c r="CU76" s="17">
        <f>CT76*VLOOKUP('Données projet'!$B$13,Paramètres!$A$1:$I$89,3,0)*VLOOKUP('Données projet'!$B$13,Paramètres!$A$1:$I$89,5,0)</f>
        <v>176.93866666666671</v>
      </c>
      <c r="CV76" s="13">
        <f t="shared" si="95"/>
        <v>44.640417431674805</v>
      </c>
      <c r="CW76" s="20">
        <f t="shared" si="67"/>
        <v>385.91690480461148</v>
      </c>
      <c r="CX76" s="59">
        <f t="shared" si="68"/>
        <v>679.25023813794473</v>
      </c>
      <c r="CY76" s="59">
        <f ca="1">AVERAGE(OFFSET($CX$3,0,0,'Données projet'!$E$13+1,1))-AVERAGE(OFFSET($H$3,0,0,'Données projet'!$E$13+1,1))</f>
        <v>436.12708882925142</v>
      </c>
      <c r="CZ76" s="59">
        <f t="shared" si="96"/>
        <v>217.65884352525285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17.713825176057686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17.713825176057686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12.4</v>
      </c>
      <c r="DO76" s="12">
        <f>IF('Données projet'!$A$166&gt;35,DO75+DN76-DW75,IF(A76&lt;'Données projet'!$A$166,$DL$205^A76,IF(A76='Données projet'!$A$166,'Données projet'!$B$166,DO75+DN76-DW75)))</f>
        <v>479.20000000000039</v>
      </c>
      <c r="DP76" s="17">
        <f>DO76*VLOOKUP('Données projet'!$B$14,Paramètres!$A$1:$I$89,3,0)*VLOOKUP('Données projet'!$B$14,Paramètres!$A$1:$I$89,5,0)</f>
        <v>456.00672000000037</v>
      </c>
      <c r="DQ76" s="13">
        <f t="shared" si="97"/>
        <v>103.04313303123725</v>
      </c>
      <c r="DR76" s="20">
        <f t="shared" si="70"/>
        <v>973.67849402940544</v>
      </c>
      <c r="DS76" s="59">
        <f t="shared" si="71"/>
        <v>1267.0118273627388</v>
      </c>
      <c r="DT76" s="59">
        <f ca="1">AVERAGE(OFFSET($DS$3,0,0,'Données projet'!$E$14+1,1))-AVERAGE(OFFSET($H$3,0,0,'Données projet'!$E$14+1,1))</f>
        <v>735.50267870886194</v>
      </c>
      <c r="DU76" s="59">
        <f t="shared" si="98"/>
        <v>525.80345400853275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53.437522027254445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53.437522027254445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4.5555555555555554</v>
      </c>
      <c r="EJ76" s="12">
        <f>IF('Données projet'!$A$192&gt;35,EJ75+EI76-ER75,IF(A76&lt;'Données projet'!$A$192,$EG$205^A76,IF(A76='Données projet'!$A$192,'Données projet'!$B$192,EJ75+EI76-ER75)))</f>
        <v>122.55555555555569</v>
      </c>
      <c r="EK76" s="17">
        <f>EJ76*VLOOKUP('Données projet'!$B$15,Paramètres!$A$1:$I$89,3,0)*VLOOKUP('Données projet'!$B$15,Paramètres!$A$1:$I$89,5,0)</f>
        <v>78.386533333333418</v>
      </c>
      <c r="EL76" s="13">
        <f t="shared" si="99"/>
        <v>21.742216563655937</v>
      </c>
      <c r="EM76" s="20">
        <f t="shared" si="73"/>
        <v>174.39090607058975</v>
      </c>
      <c r="EN76" s="59">
        <f t="shared" si="74"/>
        <v>467.72423940392309</v>
      </c>
      <c r="EO76" s="59">
        <f ca="1">AVERAGE(OFFSET($EN$3,0,0,'Données projet'!$E$15+1,1))-AVERAGE(OFFSET($H$3,0,0,'Données projet'!$E$15+1,1))</f>
        <v>274.14900959323484</v>
      </c>
      <c r="EP76" s="59">
        <f t="shared" si="100"/>
        <v>130.44590390921582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11.423401286311403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11.423401286311403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12.875</v>
      </c>
      <c r="FE76" s="12">
        <f>IF('Données projet'!$A$218&gt;35,FE75+FD76-FM75,IF(A76&lt;'Données projet'!$A$218,$FB$205^A76,IF(A76='Données projet'!$A$218,'Données projet'!$B$218,FE75+FD76-FM75)))</f>
        <v>520.125</v>
      </c>
      <c r="FF76" s="17">
        <f>FE76*VLOOKUP('Données projet'!$B$16,Paramètres!$A$1:$I$89,3,0)*VLOOKUP('Données projet'!$B$16,Paramètres!$A$1:$I$89,5,0)</f>
        <v>311.03475000000003</v>
      </c>
      <c r="FG76" s="13">
        <f t="shared" si="101"/>
        <v>73.484885227728896</v>
      </c>
      <c r="FH76" s="20">
        <f t="shared" si="76"/>
        <v>669.70503135496119</v>
      </c>
      <c r="FI76" s="59">
        <f t="shared" si="77"/>
        <v>963.03836468829445</v>
      </c>
      <c r="FJ76" s="59">
        <f ca="1">AVERAGE(OFFSET($FI$3,0,0,'Données projet'!$E$16+1,1))-AVERAGE(OFFSET($H$3,0,0,'Données projet'!$E$16+1,1))</f>
        <v>405.42845699663462</v>
      </c>
      <c r="FK76" s="59">
        <f t="shared" si="102"/>
        <v>292.26503163353146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46.629410806088103</v>
      </c>
      <c r="FR76" s="21">
        <f>EXP(-LN(2)/25)*FR75+(1-EXP(-LN(2)/25))/(LN(2)/25)*Calculateur!FM76*Calculateur!FO76*VLOOKUP('Données projet'!$B$16,Paramètres!$A$1:$I$89,3,0)*0.475*44/12</f>
        <v>28.203959888548432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74.833370694636528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12.875</v>
      </c>
      <c r="FZ76" s="12">
        <f>IF('Données projet'!$A$244&gt;35,FZ75+FY76-GH75,IF(A76&lt;'Données projet'!$A$244,$FW$205^A76,IF(A76='Données projet'!$A$244,'Données projet'!$B$244,FZ75+FY76-GH75)))</f>
        <v>520.125</v>
      </c>
      <c r="GA76" s="17">
        <f>FZ76*VLOOKUP('Données projet'!$B$17,Paramètres!$A$1:$I$89,3,0)*VLOOKUP('Données projet'!$B$17,Paramètres!$A$1:$I$89,5,0)</f>
        <v>311.03475000000003</v>
      </c>
      <c r="GB76" s="13">
        <f t="shared" si="103"/>
        <v>73.484885227728896</v>
      </c>
      <c r="GC76" s="20">
        <f t="shared" si="79"/>
        <v>669.70503135496119</v>
      </c>
      <c r="GD76" s="59">
        <f t="shared" si="80"/>
        <v>963.03836468829445</v>
      </c>
      <c r="GE76" s="59">
        <f ca="1">AVERAGE(OFFSET($GD$3,0,0,'Données projet'!$E$17+1,1))-AVERAGE(OFFSET($H$3,0,0,'Données projet'!$E$17+1,1))</f>
        <v>405.42845699663462</v>
      </c>
      <c r="GF76" s="59">
        <f t="shared" si="104"/>
        <v>292.26503163353146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46.629410806088103</v>
      </c>
      <c r="GM76" s="21">
        <f>EXP(-LN(2)/25)*GM75+(1-EXP(-LN(2)/25))/(LN(2)/25)*Calculateur!GH76*Calculateur!GJ76*VLOOKUP('Données projet'!$B$17,Paramètres!$A$1:$I$89,3,0)*0.475*44/12</f>
        <v>28.203959888548432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74.833370694636528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-1.1368683772161603E-13</v>
      </c>
      <c r="O77" s="13">
        <f>N77*VLOOKUP('Données projet'!$B$9,Paramètres!$A$1:$I$89,3,0)*VLOOKUP('Données projet'!$B$9,Paramètres!$A$1:$I$89,5,0)</f>
        <v>-5.3205440053716299E-14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198.26255998041</v>
      </c>
      <c r="T77" s="59">
        <f t="shared" si="88"/>
        <v>238.62101708181166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83.193301244597365</v>
      </c>
      <c r="AA77" s="21">
        <f>EXP(-LN(2)/25)*AA76+(1-EXP(-LN(2)/25))/(LN(2)/25)*Calculateur!V77*Calculateur!X77*VLOOKUP('Données projet'!$B$9,Paramètres!$A$1:$I$89,3,0)*0.475*44/12</f>
        <v>42.23540485314323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125.42870609774059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3.4106051316484809E-13</v>
      </c>
      <c r="AJ77" s="13">
        <f>AI77*VLOOKUP('Données projet'!$B$10,Paramètres!$A$1:$I$89,3,0)*VLOOKUP('Données projet'!$B$10,Paramètres!$A$1:$I$89,5,0)</f>
        <v>1.9065282685915009E-13</v>
      </c>
      <c r="AK77" s="13">
        <f t="shared" si="89"/>
        <v>2.6568987209435707E-12</v>
      </c>
      <c r="AL77" s="20">
        <f t="shared" si="58"/>
        <v>4.959485612423072E-12</v>
      </c>
      <c r="AM77" s="59">
        <f t="shared" si="59"/>
        <v>293.33333333333826</v>
      </c>
      <c r="AN77" s="59">
        <f ca="1">AVERAGE(OFFSET($AM$3,0,0,'Données projet'!$E$10+1,1))-AVERAGE(OFFSET($H$3,0,0,'Données projet'!$E$10+1,1))</f>
        <v>347.02720636703873</v>
      </c>
      <c r="AO77" s="59">
        <f t="shared" si="90"/>
        <v>394.03759949558702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181.60212626703466</v>
      </c>
      <c r="AV77" s="21">
        <f>EXP(-LN(2)/25)*AV76+(1-EXP(-LN(2)/25))/(LN(2)/25)*Calculateur!AQ77*Calculateur!AS77*VLOOKUP('Données projet'!$B$10,Paramètres!$A$1:$I$89,3,0)*0.475*44/12</f>
        <v>89.891565604302755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271.49369187133743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-3.4106051316484809E-13</v>
      </c>
      <c r="BE77" s="13">
        <f>BD77*VLOOKUP('Données projet'!$B$11,Paramètres!$A$1:$I$89,3,0)*VLOOKUP('Données projet'!$B$11,Paramètres!$A$1:$I$89,5,0)</f>
        <v>-2.0395418687257919E-13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378.75660696651238</v>
      </c>
      <c r="BJ77" s="59">
        <f t="shared" si="92"/>
        <v>371.70674704563288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179.64522600273847</v>
      </c>
      <c r="BQ77" s="21">
        <f>EXP(-LN(2)/25)*BQ76+(1-EXP(-LN(2)/25))/(LN(2)/25)*Calculateur!BL77*Calculateur!BN77*VLOOKUP('Données projet'!$B$11,Paramètres!$A$1:$I$89,3,0)*0.475*44/12</f>
        <v>86.853856273974586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266.49908227671307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4.5555555555555554</v>
      </c>
      <c r="BY77" s="12">
        <f>IF('Données projet'!$A$114&gt;35,BY76+BX77-CG76,IF(A77&lt;'Données projet'!$A$114,$BV$205^A77,IF(A77='Données projet'!$A$114,'Données projet'!$B$114,BY76+BX77-CG76)))</f>
        <v>127.11111111111124</v>
      </c>
      <c r="BZ77" s="13">
        <f>BY77*VLOOKUP('Données projet'!$B$12,Paramètres!$A$1:$I$89,3,0)*VLOOKUP('Données projet'!$B$12,Paramètres!$A$1:$I$89,5,0)</f>
        <v>128.89066666666679</v>
      </c>
      <c r="CA77" s="13">
        <f t="shared" si="93"/>
        <v>33.739897257847211</v>
      </c>
      <c r="CB77" s="20">
        <f t="shared" si="64"/>
        <v>283.24823216852855</v>
      </c>
      <c r="CC77" s="59">
        <f t="shared" si="65"/>
        <v>576.58156550186186</v>
      </c>
      <c r="CD77" s="59">
        <f ca="1">AVERAGE(OFFSET($CC$3,0,0,'Données projet'!$E$12+1,1))-AVERAGE(OFFSET($H$3,0,0,'Données projet'!$E$12+1,1))</f>
        <v>410.75375635525211</v>
      </c>
      <c r="CE77" s="59">
        <f t="shared" si="94"/>
        <v>183.55513001437367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17.755138976921607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17.755138976921607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6.2222222222222223</v>
      </c>
      <c r="CT77" s="12">
        <f>IF('Données projet'!$A$140&gt;35,CT76+CS77-DB76,IF(A77&lt;'Données projet'!$A$140,$CQ$205^A77,IF(A77='Données projet'!$A$140,'Données projet'!$B$140,CT76+CS77-DB76)))</f>
        <v>201.77777777777783</v>
      </c>
      <c r="CU77" s="17">
        <f>CT77*VLOOKUP('Données projet'!$B$13,Paramètres!$A$1:$I$89,3,0)*VLOOKUP('Données projet'!$B$13,Paramètres!$A$1:$I$89,5,0)</f>
        <v>182.56853333333336</v>
      </c>
      <c r="CV77" s="13">
        <f t="shared" si="95"/>
        <v>45.893165426077466</v>
      </c>
      <c r="CW77" s="20">
        <f t="shared" si="67"/>
        <v>397.9041253393072</v>
      </c>
      <c r="CX77" s="59">
        <f t="shared" si="68"/>
        <v>691.23745867264051</v>
      </c>
      <c r="CY77" s="59">
        <f ca="1">AVERAGE(OFFSET($CX$3,0,0,'Données projet'!$E$13+1,1))-AVERAGE(OFFSET($H$3,0,0,'Données projet'!$E$13+1,1))</f>
        <v>436.12708882925142</v>
      </c>
      <c r="CZ77" s="59">
        <f t="shared" si="96"/>
        <v>217.65884352525285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17.36646786872171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17.36646786872171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12.4</v>
      </c>
      <c r="DO77" s="12">
        <f>IF('Données projet'!$A$166&gt;35,DO76+DN77-DW76,IF(A77&lt;'Données projet'!$A$166,$DL$205^A77,IF(A77='Données projet'!$A$166,'Données projet'!$B$166,DO76+DN77-DW76)))</f>
        <v>491.60000000000036</v>
      </c>
      <c r="DP77" s="17">
        <f>DO77*VLOOKUP('Données projet'!$B$14,Paramètres!$A$1:$I$89,3,0)*VLOOKUP('Données projet'!$B$14,Paramètres!$A$1:$I$89,5,0)</f>
        <v>467.80656000000033</v>
      </c>
      <c r="DQ77" s="13">
        <f t="shared" si="97"/>
        <v>105.39564215132235</v>
      </c>
      <c r="DR77" s="20">
        <f t="shared" si="70"/>
        <v>998.32716874688685</v>
      </c>
      <c r="DS77" s="59">
        <f t="shared" si="71"/>
        <v>1291.6605020802201</v>
      </c>
      <c r="DT77" s="59">
        <f ca="1">AVERAGE(OFFSET($DS$3,0,0,'Données projet'!$E$14+1,1))-AVERAGE(OFFSET($H$3,0,0,'Données projet'!$E$14+1,1))</f>
        <v>735.50267870886194</v>
      </c>
      <c r="DU77" s="59">
        <f t="shared" si="98"/>
        <v>525.80345400853275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52.389644813970065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52.389644813970065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4.5555555555555554</v>
      </c>
      <c r="EJ77" s="12">
        <f>IF('Données projet'!$A$192&gt;35,EJ76+EI77-ER76,IF(A77&lt;'Données projet'!$A$192,$EG$205^A77,IF(A77='Données projet'!$A$192,'Données projet'!$B$192,EJ76+EI77-ER76)))</f>
        <v>127.11111111111124</v>
      </c>
      <c r="EK77" s="17">
        <f>EJ77*VLOOKUP('Données projet'!$B$15,Paramètres!$A$1:$I$89,3,0)*VLOOKUP('Données projet'!$B$15,Paramètres!$A$1:$I$89,5,0)</f>
        <v>81.300266666666758</v>
      </c>
      <c r="EL77" s="13">
        <f t="shared" si="99"/>
        <v>22.454807155479013</v>
      </c>
      <c r="EM77" s="20">
        <f t="shared" si="73"/>
        <v>180.70675357357058</v>
      </c>
      <c r="EN77" s="59">
        <f t="shared" si="74"/>
        <v>474.04008690690387</v>
      </c>
      <c r="EO77" s="59">
        <f ca="1">AVERAGE(OFFSET($EN$3,0,0,'Données projet'!$E$15+1,1))-AVERAGE(OFFSET($H$3,0,0,'Données projet'!$E$15+1,1))</f>
        <v>274.14900959323484</v>
      </c>
      <c r="EP77" s="59">
        <f t="shared" si="100"/>
        <v>130.44590390921582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11.19939535467363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11.19939535467363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>
        <f>VLOOKUP(A77,'Données projet'!$A$217:$I$237,2,0)</f>
        <v>533</v>
      </c>
      <c r="FC77" s="12">
        <f>VLOOKUP(A77,'Données projet'!$A$217:$I$237,9,0)</f>
        <v>12.875</v>
      </c>
      <c r="FD77" s="12">
        <f t="array" ref="FD77">INDEX(FC:FC,MIN(IF(ISNUMBER(FC77:FC273),ROW(FC77:FC273),"")))</f>
        <v>12.875</v>
      </c>
      <c r="FE77" s="12">
        <f>IF('Données projet'!$A$218&gt;35,FE76+FD77-FM76,IF(A77&lt;'Données projet'!$A$218,$FB$205^A77,IF(A77='Données projet'!$A$218,'Données projet'!$B$218,FE76+FD77-FM76)))</f>
        <v>533</v>
      </c>
      <c r="FF77" s="17">
        <f>FE77*VLOOKUP('Données projet'!$B$16,Paramètres!$A$1:$I$89,3,0)*VLOOKUP('Données projet'!$B$16,Paramètres!$A$1:$I$89,5,0)</f>
        <v>318.73400000000004</v>
      </c>
      <c r="FG77" s="13">
        <f t="shared" si="101"/>
        <v>75.089876999925679</v>
      </c>
      <c r="FH77" s="20">
        <f t="shared" si="76"/>
        <v>685.90991910820378</v>
      </c>
      <c r="FI77" s="59">
        <f t="shared" si="77"/>
        <v>979.24325244153715</v>
      </c>
      <c r="FJ77" s="59">
        <f ca="1">AVERAGE(OFFSET($FI$3,0,0,'Données projet'!$E$16+1,1))-AVERAGE(OFFSET($H$3,0,0,'Données projet'!$E$16+1,1))</f>
        <v>405.42845699663462</v>
      </c>
      <c r="FK77" s="59">
        <f t="shared" si="102"/>
        <v>292.26503163353146</v>
      </c>
      <c r="FL77" s="15">
        <f>IF(ISNA(VLOOKUP(A77,'Données projet'!$A$217:$I$237,3,0)),0,VLOOKUP(A77,'Données projet'!$A$217:$I$237,3,0))</f>
        <v>10</v>
      </c>
      <c r="FM77" s="15">
        <f>IF(ISNA(VLOOKUP(A77,'Données projet'!$A$217:$I$237,4,0)),0,VLOOKUP(A77,'Données projet'!$A$217:$I$237,4,0))</f>
        <v>37</v>
      </c>
      <c r="FN77" s="16">
        <f>IF(ISNA(VLOOKUP(A77,'Données projet'!$A$217:$I$237,5,0)),0%,VLOOKUP(A77,'Données projet'!$A$217:$I$237,5,0)*VLOOKUP('Données projet'!$B$16,Paramètres!$A$1:$I$89,7,0))</f>
        <v>0.315</v>
      </c>
      <c r="FO77" s="16">
        <f>IF(ISNA(VLOOKUP(A77,'Données projet'!$A$217:$I$237,6,0)),0%,VLOOKUP(A77,'Données projet'!$A$217:$I$237,6,0)*VLOOKUP('Données projet'!$B$16,Paramètres!$A$1:$I$89,7,0))</f>
        <v>0.13500000000000001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54.96077952074539</v>
      </c>
      <c r="FR77" s="21">
        <f>EXP(-LN(2)/25)*FR76+(1-EXP(-LN(2)/25))/(LN(2)/25)*Calculateur!FM77*Calculateur!FO77*VLOOKUP('Données projet'!$B$16,Paramètres!$A$1:$I$89,3,0)*0.475*44/12</f>
        <v>31.379580696325981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86.340360217071378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>
        <f>VLOOKUP(A77,'Données projet'!$A$243:$I$263,2,0)</f>
        <v>533</v>
      </c>
      <c r="FX77" s="12">
        <f>VLOOKUP(A77,'Données projet'!$A$243:$I$263,9,0)</f>
        <v>12.875</v>
      </c>
      <c r="FY77" s="12">
        <f t="array" ref="FY77">INDEX(FX:FX,MIN(IF(ISNUMBER(FX77:FX273),ROW(FX77:FX273),"")))</f>
        <v>12.875</v>
      </c>
      <c r="FZ77" s="12">
        <f>IF('Données projet'!$A$244&gt;35,FZ76+FY77-GH76,IF(A77&lt;'Données projet'!$A$244,$FW$205^A77,IF(A77='Données projet'!$A$244,'Données projet'!$B$244,FZ76+FY77-GH76)))</f>
        <v>533</v>
      </c>
      <c r="GA77" s="17">
        <f>FZ77*VLOOKUP('Données projet'!$B$17,Paramètres!$A$1:$I$89,3,0)*VLOOKUP('Données projet'!$B$17,Paramètres!$A$1:$I$89,5,0)</f>
        <v>318.73400000000004</v>
      </c>
      <c r="GB77" s="13">
        <f t="shared" si="103"/>
        <v>75.089876999925679</v>
      </c>
      <c r="GC77" s="20">
        <f t="shared" si="79"/>
        <v>685.90991910820378</v>
      </c>
      <c r="GD77" s="59">
        <f t="shared" si="80"/>
        <v>979.24325244153715</v>
      </c>
      <c r="GE77" s="59">
        <f ca="1">AVERAGE(OFFSET($GD$3,0,0,'Données projet'!$E$17+1,1))-AVERAGE(OFFSET($H$3,0,0,'Données projet'!$E$17+1,1))</f>
        <v>405.42845699663462</v>
      </c>
      <c r="GF77" s="59">
        <f t="shared" si="104"/>
        <v>292.26503163353146</v>
      </c>
      <c r="GG77" s="15">
        <f>IF(ISNA(VLOOKUP(A77,'Données projet'!$A$243:$I$263,3,0)),0,VLOOKUP(A77,'Données projet'!$A$243:$I$263,3,0))</f>
        <v>10</v>
      </c>
      <c r="GH77" s="15">
        <f>IF(ISNA(VLOOKUP(A77,'Données projet'!$A$243:$I$263,4,0)),0,VLOOKUP(A77,'Données projet'!$A$243:$I$263,4,0))</f>
        <v>37</v>
      </c>
      <c r="GI77" s="16">
        <f>IF(ISNA(VLOOKUP(A77,'Données projet'!$A$243:$I$263,5,0)),0%,VLOOKUP(A77,'Données projet'!$A$243:$I$263,5,0)*VLOOKUP('Données projet'!$B$17,Paramètres!$A$1:$I$89,7,0))</f>
        <v>0.315</v>
      </c>
      <c r="GJ77" s="16">
        <f>IF(ISNA(VLOOKUP(A77,'Données projet'!$A$243:$I$263,6,0)),0%,VLOOKUP(A77,'Données projet'!$A$243:$I$263,6,0)*VLOOKUP('Données projet'!$B$17,Paramètres!$A$1:$I$89,7,0))</f>
        <v>0.13500000000000001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54.96077952074539</v>
      </c>
      <c r="GM77" s="21">
        <f>EXP(-LN(2)/25)*GM76+(1-EXP(-LN(2)/25))/(LN(2)/25)*Calculateur!GH77*Calculateur!GJ77*VLOOKUP('Données projet'!$B$17,Paramètres!$A$1:$I$89,3,0)*0.475*44/12</f>
        <v>31.379580696325981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86.340360217071378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-1.1368683772161603E-13</v>
      </c>
      <c r="O78" s="13">
        <f>N78*VLOOKUP('Données projet'!$B$9,Paramètres!$A$1:$I$89,3,0)*VLOOKUP('Données projet'!$B$9,Paramètres!$A$1:$I$89,5,0)</f>
        <v>-5.3205440053716299E-14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198.26255998041</v>
      </c>
      <c r="T78" s="59">
        <f t="shared" si="88"/>
        <v>238.62101708181166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81.561931350094127</v>
      </c>
      <c r="AA78" s="21">
        <f>EXP(-LN(2)/25)*AA77+(1-EXP(-LN(2)/25))/(LN(2)/25)*Calculateur!V78*Calculateur!X78*VLOOKUP('Données projet'!$B$9,Paramètres!$A$1:$I$89,3,0)*0.475*44/12</f>
        <v>41.080475486370617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122.64240683646474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3.4106051316484809E-13</v>
      </c>
      <c r="AJ78" s="13">
        <f>AI78*VLOOKUP('Données projet'!$B$10,Paramètres!$A$1:$I$89,3,0)*VLOOKUP('Données projet'!$B$10,Paramètres!$A$1:$I$89,5,0)</f>
        <v>1.9065282685915009E-13</v>
      </c>
      <c r="AK78" s="13">
        <f t="shared" si="89"/>
        <v>2.6568987209435707E-12</v>
      </c>
      <c r="AL78" s="20">
        <f t="shared" si="58"/>
        <v>4.959485612423072E-12</v>
      </c>
      <c r="AM78" s="59">
        <f t="shared" si="59"/>
        <v>293.33333333333826</v>
      </c>
      <c r="AN78" s="59">
        <f ca="1">AVERAGE(OFFSET($AM$3,0,0,'Données projet'!$E$10+1,1))-AVERAGE(OFFSET($H$3,0,0,'Données projet'!$E$10+1,1))</f>
        <v>347.02720636703873</v>
      </c>
      <c r="AO78" s="59">
        <f t="shared" si="90"/>
        <v>394.03759949558702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178.04101933729785</v>
      </c>
      <c r="AV78" s="21">
        <f>EXP(-LN(2)/25)*AV77+(1-EXP(-LN(2)/25))/(LN(2)/25)*Calculateur!AQ78*Calculateur!AS78*VLOOKUP('Données projet'!$B$10,Paramètres!$A$1:$I$89,3,0)*0.475*44/12</f>
        <v>87.433476015661114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265.47449535295897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-3.4106051316484809E-13</v>
      </c>
      <c r="BE78" s="13">
        <f>BD78*VLOOKUP('Données projet'!$B$11,Paramètres!$A$1:$I$89,3,0)*VLOOKUP('Données projet'!$B$11,Paramètres!$A$1:$I$89,5,0)</f>
        <v>-2.0395418687257919E-13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378.75660696651238</v>
      </c>
      <c r="BJ78" s="59">
        <f t="shared" si="92"/>
        <v>371.70674704563288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176.12249269359322</v>
      </c>
      <c r="BQ78" s="21">
        <f>EXP(-LN(2)/25)*BQ77+(1-EXP(-LN(2)/25))/(LN(2)/25)*Calculateur!BL78*Calculateur!BN78*VLOOKUP('Données projet'!$B$11,Paramètres!$A$1:$I$89,3,0)*0.475*44/12</f>
        <v>84.478833006716954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260.60132570031016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4.5555555555555554</v>
      </c>
      <c r="BY78" s="12">
        <f>IF('Données projet'!$A$114&gt;35,BY77+BX78-CG77,IF(A78&lt;'Données projet'!$A$114,$BV$205^A78,IF(A78='Données projet'!$A$114,'Données projet'!$B$114,BY77+BX78-CG77)))</f>
        <v>131.6666666666668</v>
      </c>
      <c r="BZ78" s="13">
        <f>BY78*VLOOKUP('Données projet'!$B$12,Paramètres!$A$1:$I$89,3,0)*VLOOKUP('Données projet'!$B$12,Paramètres!$A$1:$I$89,5,0)</f>
        <v>133.51000000000016</v>
      </c>
      <c r="CA78" s="13">
        <f t="shared" si="93"/>
        <v>34.806155405476382</v>
      </c>
      <c r="CB78" s="20">
        <f t="shared" si="64"/>
        <v>293.15063733120496</v>
      </c>
      <c r="CC78" s="59">
        <f t="shared" si="65"/>
        <v>586.48397066453822</v>
      </c>
      <c r="CD78" s="59">
        <f ca="1">AVERAGE(OFFSET($CC$3,0,0,'Données projet'!$E$12+1,1))-AVERAGE(OFFSET($H$3,0,0,'Données projet'!$E$12+1,1))</f>
        <v>410.75375635525211</v>
      </c>
      <c r="CE78" s="59">
        <f t="shared" si="94"/>
        <v>183.55513001437367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17.406971531149619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17.406971531149619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208</v>
      </c>
      <c r="CR78" s="12">
        <f>VLOOKUP(A78,'Données projet'!$A$139:$I$159,9,0)</f>
        <v>6.2222222222222223</v>
      </c>
      <c r="CS78" s="12">
        <f t="array" ref="CS78">INDEX(CR:CR,MIN(IF(ISNUMBER(CR78:CR274),ROW(CR78:CR274),"")))</f>
        <v>6.2222222222222223</v>
      </c>
      <c r="CT78" s="12">
        <f>IF('Données projet'!$A$140&gt;35,CT77+CS78-DB77,IF(A78&lt;'Données projet'!$A$140,$CQ$205^A78,IF(A78='Données projet'!$A$140,'Données projet'!$B$140,CT77+CS78-DB77)))</f>
        <v>208.00000000000006</v>
      </c>
      <c r="CU78" s="17">
        <f>CT78*VLOOKUP('Données projet'!$B$13,Paramètres!$A$1:$I$89,3,0)*VLOOKUP('Données projet'!$B$13,Paramètres!$A$1:$I$89,5,0)</f>
        <v>188.19840000000005</v>
      </c>
      <c r="CV78" s="13">
        <f t="shared" si="95"/>
        <v>47.141424081428056</v>
      </c>
      <c r="CW78" s="20">
        <f t="shared" si="67"/>
        <v>409.88352694182055</v>
      </c>
      <c r="CX78" s="59">
        <f t="shared" si="68"/>
        <v>703.21686027515386</v>
      </c>
      <c r="CY78" s="59">
        <f ca="1">AVERAGE(OFFSET($CX$3,0,0,'Données projet'!$E$13+1,1))-AVERAGE(OFFSET($H$3,0,0,'Données projet'!$E$13+1,1))</f>
        <v>436.12708882925142</v>
      </c>
      <c r="CZ78" s="59">
        <f t="shared" si="96"/>
        <v>217.65884352525285</v>
      </c>
      <c r="DA78" s="15">
        <f>IF(ISNA(VLOOKUP(A78,'Données projet'!$A$139:$I$159,3,0)),0,VLOOKUP(A78,'Données projet'!$A$139:$I$159,3,0))</f>
        <v>5</v>
      </c>
      <c r="DB78" s="15">
        <f>IF(ISNA(VLOOKUP(A78,'Données projet'!$A$139:$I$159,4,0)),0,VLOOKUP(A78,'Données projet'!$A$139:$I$159,4,0))</f>
        <v>37</v>
      </c>
      <c r="DC78" s="16">
        <f>IF(ISNA(VLOOKUP(A78,'Données projet'!$A$139:$I$159,5,0)),0%,VLOOKUP(A78,'Données projet'!$A$139:$I$159,5,0)*VLOOKUP('Données projet'!$B$13,Paramètres!$A$1:$I$89,7,0))</f>
        <v>0.25800000000000001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26.574113782201447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26.574113782201447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504</v>
      </c>
      <c r="DM78" s="12">
        <f>VLOOKUP(A78,'Données projet'!$A$165:$I$185,9,0)</f>
        <v>12.4</v>
      </c>
      <c r="DN78" s="12">
        <f t="array" ref="DN78">INDEX(DM:DM,MIN(IF(ISNUMBER(DM78:DM274),ROW(DM78:DM274),"")))</f>
        <v>12.4</v>
      </c>
      <c r="DO78" s="12">
        <f>IF('Données projet'!$A$166&gt;35,DO77+DN78-DW77,IF(A78&lt;'Données projet'!$A$166,$DL$205^A78,IF(A78='Données projet'!$A$166,'Données projet'!$B$166,DO77+DN78-DW77)))</f>
        <v>504.00000000000034</v>
      </c>
      <c r="DP78" s="17">
        <f>DO78*VLOOKUP('Données projet'!$B$14,Paramètres!$A$1:$I$89,3,0)*VLOOKUP('Données projet'!$B$14,Paramètres!$A$1:$I$89,5,0)</f>
        <v>479.60640000000035</v>
      </c>
      <c r="DQ78" s="13">
        <f t="shared" si="97"/>
        <v>107.7412535542787</v>
      </c>
      <c r="DR78" s="20">
        <f t="shared" si="70"/>
        <v>1022.9638299403692</v>
      </c>
      <c r="DS78" s="59">
        <f t="shared" si="71"/>
        <v>1316.2971632737026</v>
      </c>
      <c r="DT78" s="59">
        <f ca="1">AVERAGE(OFFSET($DS$3,0,0,'Données projet'!$E$14+1,1))-AVERAGE(OFFSET($H$3,0,0,'Données projet'!$E$14+1,1))</f>
        <v>735.50267870886194</v>
      </c>
      <c r="DU78" s="59">
        <f t="shared" si="98"/>
        <v>525.80345400853275</v>
      </c>
      <c r="DV78" s="15">
        <f>IF(ISNA(VLOOKUP(A78,'Données projet'!$A$165:$I$185,3,0)),0,VLOOKUP(A78,'Données projet'!$A$165:$I$185,3,0))</f>
        <v>13</v>
      </c>
      <c r="DW78" s="15">
        <f>IF(ISNA(VLOOKUP(A78,'Données projet'!$A$165:$I$185,4,0)),0,VLOOKUP(A78,'Données projet'!$A$165:$I$185,4,0))</f>
        <v>52</v>
      </c>
      <c r="DX78" s="16">
        <f>IF(ISNA(VLOOKUP(A78,'Données projet'!$A$165:$I$185,5,0)),0%,VLOOKUP(A78,'Données projet'!$A$165:$I$185,5,0)*VLOOKUP('Données projet'!$B$14,Paramètres!$A$1:$I$89,7,0))</f>
        <v>0.25800000000000001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65.475486499898466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65.475486499898466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4.5555555555555554</v>
      </c>
      <c r="EJ78" s="12">
        <f>IF('Données projet'!$A$192&gt;35,EJ77+EI78-ER77,IF(A78&lt;'Données projet'!$A$192,$EG$205^A78,IF(A78='Données projet'!$A$192,'Données projet'!$B$192,EJ77+EI78-ER77)))</f>
        <v>131.6666666666668</v>
      </c>
      <c r="EK78" s="17">
        <f>EJ78*VLOOKUP('Données projet'!$B$15,Paramètres!$A$1:$I$89,3,0)*VLOOKUP('Données projet'!$B$15,Paramètres!$A$1:$I$89,5,0)</f>
        <v>84.214000000000084</v>
      </c>
      <c r="EL78" s="13">
        <f t="shared" si="99"/>
        <v>23.164430569563407</v>
      </c>
      <c r="EM78" s="20">
        <f t="shared" si="73"/>
        <v>187.01743324198972</v>
      </c>
      <c r="EN78" s="59">
        <f t="shared" si="74"/>
        <v>480.35076657532306</v>
      </c>
      <c r="EO78" s="59">
        <f ca="1">AVERAGE(OFFSET($EN$3,0,0,'Données projet'!$E$15+1,1))-AVERAGE(OFFSET($H$3,0,0,'Données projet'!$E$15+1,1))</f>
        <v>274.14900959323484</v>
      </c>
      <c r="EP78" s="59">
        <f t="shared" si="100"/>
        <v>130.44590390921582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10.979782042725146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10.979782042725146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8.875</v>
      </c>
      <c r="FE78" s="12">
        <f>IF('Données projet'!$A$218&gt;35,FE77+FD78-FM77,IF(A78&lt;'Données projet'!$A$218,$FB$205^A78,IF(A78='Données projet'!$A$218,'Données projet'!$B$218,FE77+FD78-FM77)))</f>
        <v>504.875</v>
      </c>
      <c r="FF78" s="17">
        <f>FE78*VLOOKUP('Données projet'!$B$16,Paramètres!$A$1:$I$89,3,0)*VLOOKUP('Données projet'!$B$16,Paramètres!$A$1:$I$89,5,0)</f>
        <v>301.91525000000001</v>
      </c>
      <c r="FG78" s="13">
        <f t="shared" si="101"/>
        <v>71.577824610045951</v>
      </c>
      <c r="FH78" s="20">
        <f t="shared" si="76"/>
        <v>650.50043827916329</v>
      </c>
      <c r="FI78" s="59">
        <f t="shared" si="77"/>
        <v>943.83377161249655</v>
      </c>
      <c r="FJ78" s="59">
        <f ca="1">AVERAGE(OFFSET($FI$3,0,0,'Données projet'!$E$16+1,1))-AVERAGE(OFFSET($H$3,0,0,'Données projet'!$E$16+1,1))</f>
        <v>405.42845699663462</v>
      </c>
      <c r="FK78" s="59">
        <f t="shared" si="102"/>
        <v>292.26503163353146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53.883032157108985</v>
      </c>
      <c r="FR78" s="21">
        <f>EXP(-LN(2)/25)*FR77+(1-EXP(-LN(2)/25))/(LN(2)/25)*Calculateur!FM78*Calculateur!FO78*VLOOKUP('Données projet'!$B$16,Paramètres!$A$1:$I$89,3,0)*0.475*44/12</f>
        <v>30.521504412004518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84.404536569113503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8.875</v>
      </c>
      <c r="FZ78" s="12">
        <f>IF('Données projet'!$A$244&gt;35,FZ77+FY78-GH77,IF(A78&lt;'Données projet'!$A$244,$FW$205^A78,IF(A78='Données projet'!$A$244,'Données projet'!$B$244,FZ77+FY78-GH77)))</f>
        <v>504.875</v>
      </c>
      <c r="GA78" s="17">
        <f>FZ78*VLOOKUP('Données projet'!$B$17,Paramètres!$A$1:$I$89,3,0)*VLOOKUP('Données projet'!$B$17,Paramètres!$A$1:$I$89,5,0)</f>
        <v>301.91525000000001</v>
      </c>
      <c r="GB78" s="13">
        <f t="shared" si="103"/>
        <v>71.577824610045951</v>
      </c>
      <c r="GC78" s="20">
        <f t="shared" si="79"/>
        <v>650.50043827916329</v>
      </c>
      <c r="GD78" s="59">
        <f t="shared" si="80"/>
        <v>943.83377161249655</v>
      </c>
      <c r="GE78" s="59">
        <f ca="1">AVERAGE(OFFSET($GD$3,0,0,'Données projet'!$E$17+1,1))-AVERAGE(OFFSET($H$3,0,0,'Données projet'!$E$17+1,1))</f>
        <v>405.42845699663462</v>
      </c>
      <c r="GF78" s="59">
        <f t="shared" si="104"/>
        <v>292.26503163353146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53.883032157108985</v>
      </c>
      <c r="GM78" s="21">
        <f>EXP(-LN(2)/25)*GM77+(1-EXP(-LN(2)/25))/(LN(2)/25)*Calculateur!GH78*Calculateur!GJ78*VLOOKUP('Données projet'!$B$17,Paramètres!$A$1:$I$89,3,0)*0.475*44/12</f>
        <v>30.521504412004518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84.404536569113503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-1.1368683772161603E-13</v>
      </c>
      <c r="O79" s="13">
        <f>N79*VLOOKUP('Données projet'!$B$9,Paramètres!$A$1:$I$89,3,0)*VLOOKUP('Données projet'!$B$9,Paramètres!$A$1:$I$89,5,0)</f>
        <v>-5.3205440053716299E-14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198.26255998041</v>
      </c>
      <c r="T79" s="59">
        <f t="shared" si="88"/>
        <v>238.62101708181166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79.962551624184712</v>
      </c>
      <c r="AA79" s="21">
        <f>EXP(-LN(2)/25)*AA78+(1-EXP(-LN(2)/25))/(LN(2)/25)*Calculateur!V79*Calculateur!X79*VLOOKUP('Données projet'!$B$9,Paramètres!$A$1:$I$89,3,0)*0.475*44/12</f>
        <v>39.957127723867494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119.9196793480522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3.4106051316484809E-13</v>
      </c>
      <c r="AJ79" s="13">
        <f>AI79*VLOOKUP('Données projet'!$B$10,Paramètres!$A$1:$I$89,3,0)*VLOOKUP('Données projet'!$B$10,Paramètres!$A$1:$I$89,5,0)</f>
        <v>1.9065282685915009E-13</v>
      </c>
      <c r="AK79" s="13">
        <f t="shared" si="89"/>
        <v>2.6568987209435707E-12</v>
      </c>
      <c r="AL79" s="20">
        <f t="shared" si="58"/>
        <v>4.959485612423072E-12</v>
      </c>
      <c r="AM79" s="59">
        <f t="shared" si="59"/>
        <v>293.33333333333826</v>
      </c>
      <c r="AN79" s="59">
        <f ca="1">AVERAGE(OFFSET($AM$3,0,0,'Données projet'!$E$10+1,1))-AVERAGE(OFFSET($H$3,0,0,'Données projet'!$E$10+1,1))</f>
        <v>347.02720636703873</v>
      </c>
      <c r="AO79" s="59">
        <f t="shared" si="90"/>
        <v>394.03759949558702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174.54974354239243</v>
      </c>
      <c r="AV79" s="21">
        <f>EXP(-LN(2)/25)*AV78+(1-EXP(-LN(2)/25))/(LN(2)/25)*Calculateur!AQ79*Calculateur!AS79*VLOOKUP('Données projet'!$B$10,Paramètres!$A$1:$I$89,3,0)*0.475*44/12</f>
        <v>85.04260301608619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259.59234655847865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-3.4106051316484809E-13</v>
      </c>
      <c r="BE79" s="13">
        <f>BD79*VLOOKUP('Données projet'!$B$11,Paramètres!$A$1:$I$89,3,0)*VLOOKUP('Données projet'!$B$11,Paramètres!$A$1:$I$89,5,0)</f>
        <v>-2.0395418687257919E-13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378.75660696651238</v>
      </c>
      <c r="BJ79" s="59">
        <f t="shared" si="92"/>
        <v>371.70674704563288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172.66883803598515</v>
      </c>
      <c r="BQ79" s="21">
        <f>EXP(-LN(2)/25)*BQ78+(1-EXP(-LN(2)/25))/(LN(2)/25)*Calculateur!BL79*Calculateur!BN79*VLOOKUP('Données projet'!$B$11,Paramètres!$A$1:$I$89,3,0)*0.475*44/12</f>
        <v>82.168754875599532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254.83759291158469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4.5555555555555554</v>
      </c>
      <c r="BY79" s="12">
        <f>IF('Données projet'!$A$114&gt;35,BY78+BX79-CG78,IF(A79&lt;'Données projet'!$A$114,$BV$205^A79,IF(A79='Données projet'!$A$114,'Données projet'!$B$114,BY78+BX79-CG78)))</f>
        <v>136.22222222222234</v>
      </c>
      <c r="BZ79" s="13">
        <f>BY79*VLOOKUP('Données projet'!$B$12,Paramètres!$A$1:$I$89,3,0)*VLOOKUP('Données projet'!$B$12,Paramètres!$A$1:$I$89,5,0)</f>
        <v>138.12933333333345</v>
      </c>
      <c r="CA79" s="13">
        <f t="shared" si="93"/>
        <v>35.868127099173357</v>
      </c>
      <c r="CB79" s="20">
        <f t="shared" si="64"/>
        <v>303.04557691994938</v>
      </c>
      <c r="CC79" s="59">
        <f t="shared" si="65"/>
        <v>596.3789102532827</v>
      </c>
      <c r="CD79" s="59">
        <f ca="1">AVERAGE(OFFSET($CC$3,0,0,'Données projet'!$E$12+1,1))-AVERAGE(OFFSET($H$3,0,0,'Données projet'!$E$12+1,1))</f>
        <v>410.75375635525211</v>
      </c>
      <c r="CE79" s="59">
        <f t="shared" si="94"/>
        <v>183.55513001437367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17.065631436628045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17.065631436628045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5.8888888888888893</v>
      </c>
      <c r="CT79" s="12">
        <f>IF('Données projet'!$A$140&gt;35,CT78+CS79-DB78,IF(A79&lt;'Données projet'!$A$140,$CQ$205^A79,IF(A79='Données projet'!$A$140,'Données projet'!$B$140,CT78+CS79-DB78)))</f>
        <v>176.88888888888894</v>
      </c>
      <c r="CU79" s="17">
        <f>CT79*VLOOKUP('Données projet'!$B$13,Paramètres!$A$1:$I$89,3,0)*VLOOKUP('Données projet'!$B$13,Paramètres!$A$1:$I$89,5,0)</f>
        <v>160.0490666666667</v>
      </c>
      <c r="CV79" s="13">
        <f t="shared" si="95"/>
        <v>40.853582332820466</v>
      </c>
      <c r="CW79" s="20">
        <f t="shared" si="67"/>
        <v>349.90544700744005</v>
      </c>
      <c r="CX79" s="59">
        <f t="shared" si="68"/>
        <v>643.23878034077336</v>
      </c>
      <c r="CY79" s="59">
        <f ca="1">AVERAGE(OFFSET($CX$3,0,0,'Données projet'!$E$13+1,1))-AVERAGE(OFFSET($H$3,0,0,'Données projet'!$E$13+1,1))</f>
        <v>436.12708882925142</v>
      </c>
      <c r="CZ79" s="59">
        <f t="shared" si="96"/>
        <v>217.65884352525285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26.053011619541415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26.053011619541415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12</v>
      </c>
      <c r="DO79" s="12">
        <f>IF('Données projet'!$A$166&gt;35,DO78+DN79-DW78,IF(A79&lt;'Données projet'!$A$166,$DL$205^A79,IF(A79='Données projet'!$A$166,'Données projet'!$B$166,DO78+DN79-DW78)))</f>
        <v>464.00000000000034</v>
      </c>
      <c r="DP79" s="17">
        <f>DO79*VLOOKUP('Données projet'!$B$14,Paramètres!$A$1:$I$89,3,0)*VLOOKUP('Données projet'!$B$14,Paramètres!$A$1:$I$89,5,0)</f>
        <v>441.54240000000033</v>
      </c>
      <c r="DQ79" s="13">
        <f t="shared" si="97"/>
        <v>100.1497085585527</v>
      </c>
      <c r="DR79" s="20">
        <f t="shared" si="70"/>
        <v>943.44708907281313</v>
      </c>
      <c r="DS79" s="59">
        <f t="shared" si="71"/>
        <v>1236.7804224061465</v>
      </c>
      <c r="DT79" s="59">
        <f ca="1">AVERAGE(OFFSET($DS$3,0,0,'Données projet'!$E$14+1,1))-AVERAGE(OFFSET($H$3,0,0,'Données projet'!$E$14+1,1))</f>
        <v>735.50267870886194</v>
      </c>
      <c r="DU79" s="59">
        <f t="shared" si="98"/>
        <v>525.80345400853275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64.191552145738854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64.191552145738854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4.5555555555555554</v>
      </c>
      <c r="EJ79" s="12">
        <f>IF('Données projet'!$A$192&gt;35,EJ78+EI79-ER78,IF(A79&lt;'Données projet'!$A$192,$EG$205^A79,IF(A79='Données projet'!$A$192,'Données projet'!$B$192,EJ78+EI79-ER78)))</f>
        <v>136.22222222222234</v>
      </c>
      <c r="EK79" s="17">
        <f>EJ79*VLOOKUP('Données projet'!$B$15,Paramètres!$A$1:$I$89,3,0)*VLOOKUP('Données projet'!$B$15,Paramètres!$A$1:$I$89,5,0)</f>
        <v>87.12773333333341</v>
      </c>
      <c r="EL79" s="13">
        <f t="shared" si="99"/>
        <v>23.871201233513698</v>
      </c>
      <c r="EM79" s="20">
        <f t="shared" si="73"/>
        <v>193.32314437059202</v>
      </c>
      <c r="EN79" s="59">
        <f t="shared" si="74"/>
        <v>486.65647770392536</v>
      </c>
      <c r="EO79" s="59">
        <f ca="1">AVERAGE(OFFSET($EN$3,0,0,'Données projet'!$E$15+1,1))-AVERAGE(OFFSET($H$3,0,0,'Données projet'!$E$15+1,1))</f>
        <v>274.14900959323484</v>
      </c>
      <c r="EP79" s="59">
        <f t="shared" si="100"/>
        <v>130.44590390921582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10.764475213873078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10.764475213873078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8.875</v>
      </c>
      <c r="FE79" s="12">
        <f>IF('Données projet'!$A$218&gt;35,FE78+FD79-FM78,IF(A79&lt;'Données projet'!$A$218,$FB$205^A79,IF(A79='Données projet'!$A$218,'Données projet'!$B$218,FE78+FD79-FM78)))</f>
        <v>513.75</v>
      </c>
      <c r="FF79" s="17">
        <f>FE79*VLOOKUP('Données projet'!$B$16,Paramètres!$A$1:$I$89,3,0)*VLOOKUP('Données projet'!$B$16,Paramètres!$A$1:$I$89,5,0)</f>
        <v>307.22250000000003</v>
      </c>
      <c r="FG79" s="13">
        <f t="shared" si="101"/>
        <v>72.68847414066191</v>
      </c>
      <c r="FH79" s="20">
        <f t="shared" si="76"/>
        <v>661.67827996165295</v>
      </c>
      <c r="FI79" s="59">
        <f t="shared" si="77"/>
        <v>955.01161329498632</v>
      </c>
      <c r="FJ79" s="59">
        <f ca="1">AVERAGE(OFFSET($FI$3,0,0,'Données projet'!$E$16+1,1))-AVERAGE(OFFSET($H$3,0,0,'Données projet'!$E$16+1,1))</f>
        <v>405.42845699663462</v>
      </c>
      <c r="FK79" s="59">
        <f t="shared" si="102"/>
        <v>292.26503163353146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52.826418761912507</v>
      </c>
      <c r="FR79" s="21">
        <f>EXP(-LN(2)/25)*FR78+(1-EXP(-LN(2)/25))/(LN(2)/25)*Calculateur!FM79*Calculateur!FO79*VLOOKUP('Données projet'!$B$16,Paramètres!$A$1:$I$89,3,0)*0.475*44/12</f>
        <v>29.686892268802094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82.513311030714604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8.875</v>
      </c>
      <c r="FZ79" s="12">
        <f>IF('Données projet'!$A$244&gt;35,FZ78+FY79-GH78,IF(A79&lt;'Données projet'!$A$244,$FW$205^A79,IF(A79='Données projet'!$A$244,'Données projet'!$B$244,FZ78+FY79-GH78)))</f>
        <v>513.75</v>
      </c>
      <c r="GA79" s="17">
        <f>FZ79*VLOOKUP('Données projet'!$B$17,Paramètres!$A$1:$I$89,3,0)*VLOOKUP('Données projet'!$B$17,Paramètres!$A$1:$I$89,5,0)</f>
        <v>307.22250000000003</v>
      </c>
      <c r="GB79" s="13">
        <f t="shared" si="103"/>
        <v>72.68847414066191</v>
      </c>
      <c r="GC79" s="20">
        <f t="shared" si="79"/>
        <v>661.67827996165295</v>
      </c>
      <c r="GD79" s="59">
        <f t="shared" si="80"/>
        <v>955.01161329498632</v>
      </c>
      <c r="GE79" s="59">
        <f ca="1">AVERAGE(OFFSET($GD$3,0,0,'Données projet'!$E$17+1,1))-AVERAGE(OFFSET($H$3,0,0,'Données projet'!$E$17+1,1))</f>
        <v>405.42845699663462</v>
      </c>
      <c r="GF79" s="59">
        <f t="shared" si="104"/>
        <v>292.26503163353146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52.826418761912507</v>
      </c>
      <c r="GM79" s="21">
        <f>EXP(-LN(2)/25)*GM78+(1-EXP(-LN(2)/25))/(LN(2)/25)*Calculateur!GH79*Calculateur!GJ79*VLOOKUP('Données projet'!$B$17,Paramètres!$A$1:$I$89,3,0)*0.475*44/12</f>
        <v>29.686892268802094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82.513311030714604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-5.3205440053716299E-14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198.26255998041</v>
      </c>
      <c r="T80" s="59">
        <f t="shared" si="88"/>
        <v>238.62101708181166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78.394534759175073</v>
      </c>
      <c r="AA80" s="21">
        <f>EXP(-LN(2)/25)*AA79+(1-EXP(-LN(2)/25))/(LN(2)/25)*Calculateur!V80*Calculateur!X80*VLOOKUP('Données projet'!$B$9,Paramètres!$A$1:$I$89,3,0)*0.475*44/12</f>
        <v>38.864497965004311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117.25903272417938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3.4106051316484809E-13</v>
      </c>
      <c r="AJ80" s="13">
        <f>AI80*VLOOKUP('Données projet'!$B$10,Paramètres!$A$1:$I$89,3,0)*VLOOKUP('Données projet'!$B$10,Paramètres!$A$1:$I$89,5,0)</f>
        <v>1.9065282685915009E-13</v>
      </c>
      <c r="AK80" s="13">
        <f t="shared" si="89"/>
        <v>2.6568987209435707E-12</v>
      </c>
      <c r="AL80" s="20">
        <f t="shared" si="58"/>
        <v>4.959485612423072E-12</v>
      </c>
      <c r="AM80" s="59">
        <f t="shared" si="59"/>
        <v>293.33333333333826</v>
      </c>
      <c r="AN80" s="59">
        <f ca="1">AVERAGE(OFFSET($AM$3,0,0,'Données projet'!$E$10+1,1))-AVERAGE(OFFSET($H$3,0,0,'Données projet'!$E$10+1,1))</f>
        <v>347.02720636703873</v>
      </c>
      <c r="AO80" s="59">
        <f t="shared" si="90"/>
        <v>394.03759949558702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171.12692953635715</v>
      </c>
      <c r="AV80" s="21">
        <f>EXP(-LN(2)/25)*AV79+(1-EXP(-LN(2)/25))/(LN(2)/25)*Calculateur!AQ80*Calculateur!AS80*VLOOKUP('Données projet'!$B$10,Paramètres!$A$1:$I$89,3,0)*0.475*44/12</f>
        <v>82.717108564415184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253.84403810077234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-3.4106051316484809E-13</v>
      </c>
      <c r="BE80" s="13">
        <f>BD80*VLOOKUP('Données projet'!$B$11,Paramètres!$A$1:$I$89,3,0)*VLOOKUP('Données projet'!$B$11,Paramètres!$A$1:$I$89,5,0)</f>
        <v>-2.0395418687257919E-13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378.75660696651238</v>
      </c>
      <c r="BJ80" s="59">
        <f t="shared" si="92"/>
        <v>371.70674704563288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169.28290743969143</v>
      </c>
      <c r="BQ80" s="21">
        <f>EXP(-LN(2)/25)*BQ79+(1-EXP(-LN(2)/25))/(LN(2)/25)*Calculateur!BL80*Calculateur!BN80*VLOOKUP('Données projet'!$B$11,Paramètres!$A$1:$I$89,3,0)*0.475*44/12</f>
        <v>79.92184595245925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249.20475339215068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4.5555555555555554</v>
      </c>
      <c r="BY80" s="12">
        <f>IF('Données projet'!$A$114&gt;35,BY79+BX80-CG79,IF(A80&lt;'Données projet'!$A$114,$BV$205^A80,IF(A80='Données projet'!$A$114,'Données projet'!$B$114,BY79+BX80-CG79)))</f>
        <v>140.77777777777789</v>
      </c>
      <c r="BZ80" s="13">
        <f>BY80*VLOOKUP('Données projet'!$B$12,Paramètres!$A$1:$I$89,3,0)*VLOOKUP('Données projet'!$B$12,Paramètres!$A$1:$I$89,5,0)</f>
        <v>142.74866666666679</v>
      </c>
      <c r="CA80" s="13">
        <f t="shared" si="93"/>
        <v>36.925972122034267</v>
      </c>
      <c r="CB80" s="20">
        <f t="shared" si="64"/>
        <v>312.93332922365431</v>
      </c>
      <c r="CC80" s="59">
        <f t="shared" si="65"/>
        <v>606.26666255698763</v>
      </c>
      <c r="CD80" s="59">
        <f ca="1">AVERAGE(OFFSET($CC$3,0,0,'Données projet'!$E$12+1,1))-AVERAGE(OFFSET($H$3,0,0,'Données projet'!$E$12+1,1))</f>
        <v>410.75375635525211</v>
      </c>
      <c r="CE80" s="59">
        <f t="shared" si="94"/>
        <v>183.55513001437367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16.730984813163143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16.730984813163143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5.8888888888888893</v>
      </c>
      <c r="CT80" s="12">
        <f>IF('Données projet'!$A$140&gt;35,CT79+CS80-DB79,IF(A80&lt;'Données projet'!$A$140,$CQ$205^A80,IF(A80='Données projet'!$A$140,'Données projet'!$B$140,CT79+CS80-DB79)))</f>
        <v>182.77777777777783</v>
      </c>
      <c r="CU80" s="17">
        <f>CT80*VLOOKUP('Données projet'!$B$13,Paramètres!$A$1:$I$89,3,0)*VLOOKUP('Données projet'!$B$13,Paramètres!$A$1:$I$89,5,0)</f>
        <v>165.37733333333338</v>
      </c>
      <c r="CV80" s="13">
        <f t="shared" si="95"/>
        <v>42.053044719288117</v>
      </c>
      <c r="CW80" s="20">
        <f t="shared" si="67"/>
        <v>361.27457510831573</v>
      </c>
      <c r="CX80" s="59">
        <f t="shared" si="68"/>
        <v>654.60790844164899</v>
      </c>
      <c r="CY80" s="59">
        <f ca="1">AVERAGE(OFFSET($CX$3,0,0,'Données projet'!$E$13+1,1))-AVERAGE(OFFSET($H$3,0,0,'Données projet'!$E$13+1,1))</f>
        <v>436.12708882925142</v>
      </c>
      <c r="CZ80" s="59">
        <f t="shared" si="96"/>
        <v>217.65884352525285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25.542127952450212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25.542127952450212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12</v>
      </c>
      <c r="DO80" s="12">
        <f>IF('Données projet'!$A$166&gt;35,DO79+DN80-DW79,IF(A80&lt;'Données projet'!$A$166,$DL$205^A80,IF(A80='Données projet'!$A$166,'Données projet'!$B$166,DO79+DN80-DW79)))</f>
        <v>476.00000000000034</v>
      </c>
      <c r="DP80" s="17">
        <f>DO80*VLOOKUP('Données projet'!$B$14,Paramètres!$A$1:$I$89,3,0)*VLOOKUP('Données projet'!$B$14,Paramètres!$A$1:$I$89,5,0)</f>
        <v>452.96160000000032</v>
      </c>
      <c r="DQ80" s="13">
        <f t="shared" si="97"/>
        <v>102.43489004927959</v>
      </c>
      <c r="DR80" s="20">
        <f t="shared" si="70"/>
        <v>967.31555350249573</v>
      </c>
      <c r="DS80" s="59">
        <f t="shared" si="71"/>
        <v>1260.648886835829</v>
      </c>
      <c r="DT80" s="59">
        <f ca="1">AVERAGE(OFFSET($DS$3,0,0,'Données projet'!$E$14+1,1))-AVERAGE(OFFSET($H$3,0,0,'Données projet'!$E$14+1,1))</f>
        <v>735.50267870886194</v>
      </c>
      <c r="DU80" s="59">
        <f t="shared" si="98"/>
        <v>525.80345400853275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62.932794961141688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62.932794961141688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4.5555555555555554</v>
      </c>
      <c r="EJ80" s="12">
        <f>IF('Données projet'!$A$192&gt;35,EJ79+EI80-ER79,IF(A80&lt;'Données projet'!$A$192,$EG$205^A80,IF(A80='Données projet'!$A$192,'Données projet'!$B$192,EJ79+EI80-ER79)))</f>
        <v>140.77777777777789</v>
      </c>
      <c r="EK80" s="17">
        <f>EJ80*VLOOKUP('Données projet'!$B$15,Paramètres!$A$1:$I$89,3,0)*VLOOKUP('Données projet'!$B$15,Paramètres!$A$1:$I$89,5,0)</f>
        <v>90.041466666666722</v>
      </c>
      <c r="EL80" s="13">
        <f t="shared" si="99"/>
        <v>24.575225487268696</v>
      </c>
      <c r="EM80" s="20">
        <f t="shared" si="73"/>
        <v>199.62407216810416</v>
      </c>
      <c r="EN80" s="59">
        <f t="shared" si="74"/>
        <v>492.95740550143751</v>
      </c>
      <c r="EO80" s="59">
        <f ca="1">AVERAGE(OFFSET($EN$3,0,0,'Données projet'!$E$15+1,1))-AVERAGE(OFFSET($H$3,0,0,'Données projet'!$E$15+1,1))</f>
        <v>274.14900959323484</v>
      </c>
      <c r="EP80" s="59">
        <f t="shared" si="100"/>
        <v>130.44590390921582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10.553390420610601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10.553390420610601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8.875</v>
      </c>
      <c r="FE80" s="12">
        <f>IF('Données projet'!$A$218&gt;35,FE79+FD80-FM79,IF(A80&lt;'Données projet'!$A$218,$FB$205^A80,IF(A80='Données projet'!$A$218,'Données projet'!$B$218,FE79+FD80-FM79)))</f>
        <v>522.625</v>
      </c>
      <c r="FF80" s="17">
        <f>FE80*VLOOKUP('Données projet'!$B$16,Paramètres!$A$1:$I$89,3,0)*VLOOKUP('Données projet'!$B$16,Paramètres!$A$1:$I$89,5,0)</f>
        <v>312.52975000000004</v>
      </c>
      <c r="FG80" s="13">
        <f t="shared" si="101"/>
        <v>73.796892500493684</v>
      </c>
      <c r="FH80" s="20">
        <f t="shared" si="76"/>
        <v>672.85223568835988</v>
      </c>
      <c r="FI80" s="59">
        <f t="shared" si="77"/>
        <v>966.18556902169325</v>
      </c>
      <c r="FJ80" s="59">
        <f ca="1">AVERAGE(OFFSET($FI$3,0,0,'Données projet'!$E$16+1,1))-AVERAGE(OFFSET($H$3,0,0,'Données projet'!$E$16+1,1))</f>
        <v>405.42845699663462</v>
      </c>
      <c r="FK80" s="59">
        <f t="shared" si="102"/>
        <v>292.26503163353146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51.790524910925292</v>
      </c>
      <c r="FR80" s="21">
        <f>EXP(-LN(2)/25)*FR79+(1-EXP(-LN(2)/25))/(LN(2)/25)*Calculateur!FM80*Calculateur!FO80*VLOOKUP('Données projet'!$B$16,Paramètres!$A$1:$I$89,3,0)*0.475*44/12</f>
        <v>28.875102638545886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80.665627549471182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8.875</v>
      </c>
      <c r="FZ80" s="12">
        <f>IF('Données projet'!$A$244&gt;35,FZ79+FY80-GH79,IF(A80&lt;'Données projet'!$A$244,$FW$205^A80,IF(A80='Données projet'!$A$244,'Données projet'!$B$244,FZ79+FY80-GH79)))</f>
        <v>522.625</v>
      </c>
      <c r="GA80" s="17">
        <f>FZ80*VLOOKUP('Données projet'!$B$17,Paramètres!$A$1:$I$89,3,0)*VLOOKUP('Données projet'!$B$17,Paramètres!$A$1:$I$89,5,0)</f>
        <v>312.52975000000004</v>
      </c>
      <c r="GB80" s="13">
        <f t="shared" si="103"/>
        <v>73.796892500493684</v>
      </c>
      <c r="GC80" s="20">
        <f t="shared" si="79"/>
        <v>672.85223568835988</v>
      </c>
      <c r="GD80" s="59">
        <f t="shared" si="80"/>
        <v>966.18556902169325</v>
      </c>
      <c r="GE80" s="59">
        <f ca="1">AVERAGE(OFFSET($GD$3,0,0,'Données projet'!$E$17+1,1))-AVERAGE(OFFSET($H$3,0,0,'Données projet'!$E$17+1,1))</f>
        <v>405.42845699663462</v>
      </c>
      <c r="GF80" s="59">
        <f t="shared" si="104"/>
        <v>292.26503163353146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51.790524910925292</v>
      </c>
      <c r="GM80" s="21">
        <f>EXP(-LN(2)/25)*GM79+(1-EXP(-LN(2)/25))/(LN(2)/25)*Calculateur!GH80*Calculateur!GJ80*VLOOKUP('Données projet'!$B$17,Paramètres!$A$1:$I$89,3,0)*0.475*44/12</f>
        <v>28.875102638545886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80.665627549471182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-5.3205440053716299E-14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198.26255998041</v>
      </c>
      <c r="T81" s="59">
        <f t="shared" si="88"/>
        <v>238.62101708181166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76.857265748492424</v>
      </c>
      <c r="AA81" s="21">
        <f>EXP(-LN(2)/25)*AA80+(1-EXP(-LN(2)/25))/(LN(2)/25)*Calculateur!V81*Calculateur!X81*VLOOKUP('Données projet'!$B$9,Paramètres!$A$1:$I$89,3,0)*0.475*44/12</f>
        <v>37.801746224356144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114.65901197284856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3.4106051316484809E-13</v>
      </c>
      <c r="AJ81" s="13">
        <f>AI81*VLOOKUP('Données projet'!$B$10,Paramètres!$A$1:$I$89,3,0)*VLOOKUP('Données projet'!$B$10,Paramètres!$A$1:$I$89,5,0)</f>
        <v>1.9065282685915009E-13</v>
      </c>
      <c r="AK81" s="13">
        <f t="shared" si="89"/>
        <v>2.6568987209435707E-12</v>
      </c>
      <c r="AL81" s="20">
        <f t="shared" si="58"/>
        <v>4.959485612423072E-12</v>
      </c>
      <c r="AM81" s="59">
        <f t="shared" si="59"/>
        <v>293.33333333333826</v>
      </c>
      <c r="AN81" s="59">
        <f ca="1">AVERAGE(OFFSET($AM$3,0,0,'Données projet'!$E$10+1,1))-AVERAGE(OFFSET($H$3,0,0,'Données projet'!$E$10+1,1))</f>
        <v>347.02720636703873</v>
      </c>
      <c r="AO81" s="59">
        <f t="shared" si="90"/>
        <v>394.03759949558702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167.77123482526983</v>
      </c>
      <c r="AV81" s="21">
        <f>EXP(-LN(2)/25)*AV80+(1-EXP(-LN(2)/25))/(LN(2)/25)*Calculateur!AQ81*Calculateur!AS81*VLOOKUP('Données projet'!$B$10,Paramètres!$A$1:$I$89,3,0)*0.475*44/12</f>
        <v>80.455204880817561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248.22643970608738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-3.4106051316484809E-13</v>
      </c>
      <c r="BE81" s="13">
        <f>BD81*VLOOKUP('Données projet'!$B$11,Paramètres!$A$1:$I$89,3,0)*VLOOKUP('Données projet'!$B$11,Paramètres!$A$1:$I$89,5,0)</f>
        <v>-2.0395418687257919E-13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378.75660696651238</v>
      </c>
      <c r="BJ81" s="59">
        <f t="shared" si="92"/>
        <v>371.70674704563288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165.96337287717728</v>
      </c>
      <c r="BQ81" s="21">
        <f>EXP(-LN(2)/25)*BQ80+(1-EXP(-LN(2)/25))/(LN(2)/25)*Calculateur!BL81*Calculateur!BN81*VLOOKUP('Données projet'!$B$11,Paramètres!$A$1:$I$89,3,0)*0.475*44/12</f>
        <v>77.736378871982041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243.6997517491593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4.5555555555555554</v>
      </c>
      <c r="BY81" s="12">
        <f>IF('Données projet'!$A$114&gt;35,BY80+BX81-CG80,IF(A81&lt;'Données projet'!$A$114,$BV$205^A81,IF(A81='Données projet'!$A$114,'Données projet'!$B$114,BY80+BX81-CG80)))</f>
        <v>145.33333333333343</v>
      </c>
      <c r="BZ81" s="13">
        <f>BY81*VLOOKUP('Données projet'!$B$12,Paramètres!$A$1:$I$89,3,0)*VLOOKUP('Données projet'!$B$12,Paramètres!$A$1:$I$89,5,0)</f>
        <v>147.36800000000011</v>
      </c>
      <c r="CA81" s="13">
        <f t="shared" si="93"/>
        <v>37.979839328959663</v>
      </c>
      <c r="CB81" s="20">
        <f t="shared" si="64"/>
        <v>322.81415349793821</v>
      </c>
      <c r="CC81" s="59">
        <f t="shared" si="65"/>
        <v>616.14748683127152</v>
      </c>
      <c r="CD81" s="59">
        <f ca="1">AVERAGE(OFFSET($CC$3,0,0,'Données projet'!$E$12+1,1))-AVERAGE(OFFSET($H$3,0,0,'Données projet'!$E$12+1,1))</f>
        <v>410.75375635525211</v>
      </c>
      <c r="CE81" s="59">
        <f t="shared" si="94"/>
        <v>183.55513001437367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16.402900405870099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16.402900405870099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5.8888888888888893</v>
      </c>
      <c r="CT81" s="12">
        <f>IF('Données projet'!$A$140&gt;35,CT80+CS81-DB80,IF(A81&lt;'Données projet'!$A$140,$CQ$205^A81,IF(A81='Données projet'!$A$140,'Données projet'!$B$140,CT80+CS81-DB80)))</f>
        <v>188.66666666666671</v>
      </c>
      <c r="CU81" s="17">
        <f>CT81*VLOOKUP('Données projet'!$B$13,Paramètres!$A$1:$I$89,3,0)*VLOOKUP('Données projet'!$B$13,Paramètres!$A$1:$I$89,5,0)</f>
        <v>170.70560000000003</v>
      </c>
      <c r="CV81" s="13">
        <f t="shared" si="95"/>
        <v>43.248016397285603</v>
      </c>
      <c r="CW81" s="20">
        <f t="shared" si="67"/>
        <v>372.63588189193911</v>
      </c>
      <c r="CX81" s="59">
        <f t="shared" si="68"/>
        <v>665.96921522527236</v>
      </c>
      <c r="CY81" s="59">
        <f ca="1">AVERAGE(OFFSET($CX$3,0,0,'Données projet'!$E$13+1,1))-AVERAGE(OFFSET($H$3,0,0,'Données projet'!$E$13+1,1))</f>
        <v>436.12708882925142</v>
      </c>
      <c r="CZ81" s="59">
        <f t="shared" si="96"/>
        <v>217.65884352525285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25.041262402462401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25.041262402462401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12</v>
      </c>
      <c r="DO81" s="12">
        <f>IF('Données projet'!$A$166&gt;35,DO80+DN81-DW80,IF(A81&lt;'Données projet'!$A$166,$DL$205^A81,IF(A81='Données projet'!$A$166,'Données projet'!$B$166,DO80+DN81-DW80)))</f>
        <v>488.00000000000034</v>
      </c>
      <c r="DP81" s="17">
        <f>DO81*VLOOKUP('Données projet'!$B$14,Paramètres!$A$1:$I$89,3,0)*VLOOKUP('Données projet'!$B$14,Paramètres!$A$1:$I$89,5,0)</f>
        <v>464.38080000000031</v>
      </c>
      <c r="DQ81" s="13">
        <f t="shared" si="97"/>
        <v>104.71337486015094</v>
      </c>
      <c r="DR81" s="20">
        <f t="shared" si="70"/>
        <v>991.17235454809679</v>
      </c>
      <c r="DS81" s="59">
        <f t="shared" si="71"/>
        <v>1284.50568788143</v>
      </c>
      <c r="DT81" s="59">
        <f ca="1">AVERAGE(OFFSET($DS$3,0,0,'Données projet'!$E$14+1,1))-AVERAGE(OFFSET($H$3,0,0,'Données projet'!$E$14+1,1))</f>
        <v>735.50267870886194</v>
      </c>
      <c r="DU81" s="59">
        <f t="shared" si="98"/>
        <v>525.80345400853275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61.6987212371684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61.6987212371684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4.5555555555555554</v>
      </c>
      <c r="EJ81" s="12">
        <f>IF('Données projet'!$A$192&gt;35,EJ80+EI81-ER80,IF(A81&lt;'Données projet'!$A$192,$EG$205^A81,IF(A81='Données projet'!$A$192,'Données projet'!$B$192,EJ80+EI81-ER80)))</f>
        <v>145.33333333333343</v>
      </c>
      <c r="EK81" s="17">
        <f>EJ81*VLOOKUP('Données projet'!$B$15,Paramètres!$A$1:$I$89,3,0)*VLOOKUP('Données projet'!$B$15,Paramètres!$A$1:$I$89,5,0)</f>
        <v>92.955200000000062</v>
      </c>
      <c r="EL81" s="13">
        <f t="shared" si="99"/>
        <v>25.276602397759685</v>
      </c>
      <c r="EM81" s="20">
        <f t="shared" si="73"/>
        <v>205.92038917609821</v>
      </c>
      <c r="EN81" s="59">
        <f t="shared" si="74"/>
        <v>499.25372250943155</v>
      </c>
      <c r="EO81" s="59">
        <f ca="1">AVERAGE(OFFSET($EN$3,0,0,'Données projet'!$E$15+1,1))-AVERAGE(OFFSET($H$3,0,0,'Données projet'!$E$15+1,1))</f>
        <v>274.14900959323484</v>
      </c>
      <c r="EP81" s="59">
        <f t="shared" si="100"/>
        <v>130.44590390921582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10.34644487139499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10.34644487139499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8.875</v>
      </c>
      <c r="FE81" s="12">
        <f>IF('Données projet'!$A$218&gt;35,FE80+FD81-FM80,IF(A81&lt;'Données projet'!$A$218,$FB$205^A81,IF(A81='Données projet'!$A$218,'Données projet'!$B$218,FE80+FD81-FM80)))</f>
        <v>531.5</v>
      </c>
      <c r="FF81" s="17">
        <f>FE81*VLOOKUP('Données projet'!$B$16,Paramètres!$A$1:$I$89,3,0)*VLOOKUP('Données projet'!$B$16,Paramètres!$A$1:$I$89,5,0)</f>
        <v>317.83700000000005</v>
      </c>
      <c r="FG81" s="13">
        <f t="shared" si="101"/>
        <v>74.903121950927684</v>
      </c>
      <c r="FH81" s="20">
        <f t="shared" si="76"/>
        <v>684.0223790645324</v>
      </c>
      <c r="FI81" s="59">
        <f t="shared" si="77"/>
        <v>977.35571239786577</v>
      </c>
      <c r="FJ81" s="59">
        <f ca="1">AVERAGE(OFFSET($FI$3,0,0,'Données projet'!$E$16+1,1))-AVERAGE(OFFSET($H$3,0,0,'Données projet'!$E$16+1,1))</f>
        <v>405.42845699663462</v>
      </c>
      <c r="FK81" s="59">
        <f t="shared" si="102"/>
        <v>292.26503163353146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50.774944306523075</v>
      </c>
      <c r="FR81" s="21">
        <f>EXP(-LN(2)/25)*FR80+(1-EXP(-LN(2)/25))/(LN(2)/25)*Calculateur!FM81*Calculateur!FO81*VLOOKUP('Données projet'!$B$16,Paramètres!$A$1:$I$89,3,0)*0.475*44/12</f>
        <v>28.085511438419196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78.860455744942271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8.875</v>
      </c>
      <c r="FZ81" s="12">
        <f>IF('Données projet'!$A$244&gt;35,FZ80+FY81-GH80,IF(A81&lt;'Données projet'!$A$244,$FW$205^A81,IF(A81='Données projet'!$A$244,'Données projet'!$B$244,FZ80+FY81-GH80)))</f>
        <v>531.5</v>
      </c>
      <c r="GA81" s="17">
        <f>FZ81*VLOOKUP('Données projet'!$B$17,Paramètres!$A$1:$I$89,3,0)*VLOOKUP('Données projet'!$B$17,Paramètres!$A$1:$I$89,5,0)</f>
        <v>317.83700000000005</v>
      </c>
      <c r="GB81" s="13">
        <f t="shared" si="103"/>
        <v>74.903121950927684</v>
      </c>
      <c r="GC81" s="20">
        <f t="shared" si="79"/>
        <v>684.0223790645324</v>
      </c>
      <c r="GD81" s="59">
        <f t="shared" si="80"/>
        <v>977.35571239786577</v>
      </c>
      <c r="GE81" s="59">
        <f ca="1">AVERAGE(OFFSET($GD$3,0,0,'Données projet'!$E$17+1,1))-AVERAGE(OFFSET($H$3,0,0,'Données projet'!$E$17+1,1))</f>
        <v>405.42845699663462</v>
      </c>
      <c r="GF81" s="59">
        <f t="shared" si="104"/>
        <v>292.26503163353146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50.774944306523075</v>
      </c>
      <c r="GM81" s="21">
        <f>EXP(-LN(2)/25)*GM80+(1-EXP(-LN(2)/25))/(LN(2)/25)*Calculateur!GH81*Calculateur!GJ81*VLOOKUP('Données projet'!$B$17,Paramètres!$A$1:$I$89,3,0)*0.475*44/12</f>
        <v>28.085511438419196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78.860455744942271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-5.3205440053716299E-14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198.26255998041</v>
      </c>
      <c r="T82" s="59">
        <f t="shared" si="88"/>
        <v>238.62101708181166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75.350141645467744</v>
      </c>
      <c r="AA82" s="21">
        <f>EXP(-LN(2)/25)*AA81+(1-EXP(-LN(2)/25))/(LN(2)/25)*Calculateur!V82*Calculateur!X82*VLOOKUP('Données projet'!$B$9,Paramètres!$A$1:$I$89,3,0)*0.475*44/12</f>
        <v>36.768055485943691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112.11819713141143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3.4106051316484809E-13</v>
      </c>
      <c r="AJ82" s="13">
        <f>AI82*VLOOKUP('Données projet'!$B$10,Paramètres!$A$1:$I$89,3,0)*VLOOKUP('Données projet'!$B$10,Paramètres!$A$1:$I$89,5,0)</f>
        <v>1.9065282685915009E-13</v>
      </c>
      <c r="AK82" s="13">
        <f t="shared" si="89"/>
        <v>2.6568987209435707E-12</v>
      </c>
      <c r="AL82" s="20">
        <f t="shared" si="58"/>
        <v>4.959485612423072E-12</v>
      </c>
      <c r="AM82" s="59">
        <f t="shared" si="59"/>
        <v>293.33333333333826</v>
      </c>
      <c r="AN82" s="59">
        <f ca="1">AVERAGE(OFFSET($AM$3,0,0,'Données projet'!$E$10+1,1))-AVERAGE(OFFSET($H$3,0,0,'Données projet'!$E$10+1,1))</f>
        <v>347.02720636703873</v>
      </c>
      <c r="AO82" s="59">
        <f t="shared" si="90"/>
        <v>394.03759949558702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164.48134324069525</v>
      </c>
      <c r="AV82" s="21">
        <f>EXP(-LN(2)/25)*AV81+(1-EXP(-LN(2)/25))/(LN(2)/25)*Calculateur!AQ82*Calculateur!AS82*VLOOKUP('Données projet'!$B$10,Paramètres!$A$1:$I$89,3,0)*0.475*44/12</f>
        <v>78.255153072396268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242.73649631309152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-3.4106051316484809E-13</v>
      </c>
      <c r="BE82" s="13">
        <f>BD82*VLOOKUP('Données projet'!$B$11,Paramètres!$A$1:$I$89,3,0)*VLOOKUP('Données projet'!$B$11,Paramètres!$A$1:$I$89,5,0)</f>
        <v>-2.0395418687257919E-13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378.75660696651238</v>
      </c>
      <c r="BJ82" s="59">
        <f t="shared" si="92"/>
        <v>371.70674704563288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162.70893236271789</v>
      </c>
      <c r="BQ82" s="21">
        <f>EXP(-LN(2)/25)*BQ81+(1-EXP(-LN(2)/25))/(LN(2)/25)*Calculateur!BL82*Calculateur!BN82*VLOOKUP('Données projet'!$B$11,Paramètres!$A$1:$I$89,3,0)*0.475*44/12</f>
        <v>75.610673503749197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238.3196058664671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4.5555555555555554</v>
      </c>
      <c r="BY82" s="12">
        <f>IF('Données projet'!$A$114&gt;35,BY81+BX82-CG81,IF(A82&lt;'Données projet'!$A$114,$BV$205^A82,IF(A82='Données projet'!$A$114,'Données projet'!$B$114,BY81+BX82-CG81)))</f>
        <v>149.88888888888897</v>
      </c>
      <c r="BZ82" s="13">
        <f>BY82*VLOOKUP('Données projet'!$B$12,Paramètres!$A$1:$I$89,3,0)*VLOOKUP('Données projet'!$B$12,Paramètres!$A$1:$I$89,5,0)</f>
        <v>151.98733333333342</v>
      </c>
      <c r="CA82" s="13">
        <f t="shared" si="93"/>
        <v>39.029867712944771</v>
      </c>
      <c r="CB82" s="20">
        <f t="shared" si="64"/>
        <v>332.68829182226784</v>
      </c>
      <c r="CC82" s="59">
        <f t="shared" si="65"/>
        <v>626.02162515560121</v>
      </c>
      <c r="CD82" s="59">
        <f ca="1">AVERAGE(OFFSET($CC$3,0,0,'Données projet'!$E$12+1,1))-AVERAGE(OFFSET($H$3,0,0,'Données projet'!$E$12+1,1))</f>
        <v>410.75375635525211</v>
      </c>
      <c r="CE82" s="59">
        <f t="shared" si="94"/>
        <v>183.55513001437367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16.081249533692343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16.081249533692343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5.8888888888888893</v>
      </c>
      <c r="CT82" s="12">
        <f>IF('Données projet'!$A$140&gt;35,CT81+CS82-DB81,IF(A82&lt;'Données projet'!$A$140,$CQ$205^A82,IF(A82='Données projet'!$A$140,'Données projet'!$B$140,CT81+CS82-DB81)))</f>
        <v>194.5555555555556</v>
      </c>
      <c r="CU82" s="17">
        <f>CT82*VLOOKUP('Données projet'!$B$13,Paramètres!$A$1:$I$89,3,0)*VLOOKUP('Données projet'!$B$13,Paramètres!$A$1:$I$89,5,0)</f>
        <v>176.03386666666668</v>
      </c>
      <c r="CV82" s="13">
        <f t="shared" si="95"/>
        <v>44.438653619423476</v>
      </c>
      <c r="CW82" s="20">
        <f t="shared" si="67"/>
        <v>383.98963949827368</v>
      </c>
      <c r="CX82" s="59">
        <f t="shared" si="68"/>
        <v>677.32297283160699</v>
      </c>
      <c r="CY82" s="59">
        <f ca="1">AVERAGE(OFFSET($CX$3,0,0,'Données projet'!$E$13+1,1))-AVERAGE(OFFSET($H$3,0,0,'Données projet'!$E$13+1,1))</f>
        <v>436.12708882925142</v>
      </c>
      <c r="CZ82" s="59">
        <f t="shared" si="96"/>
        <v>217.65884352525285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24.550218520412031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24.550218520412031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12</v>
      </c>
      <c r="DO82" s="12">
        <f>IF('Données projet'!$A$166&gt;35,DO81+DN82-DW81,IF(A82&lt;'Données projet'!$A$166,$DL$205^A82,IF(A82='Données projet'!$A$166,'Données projet'!$B$166,DO81+DN82-DW81)))</f>
        <v>500.00000000000034</v>
      </c>
      <c r="DP82" s="17">
        <f>DO82*VLOOKUP('Données projet'!$B$14,Paramètres!$A$1:$I$89,3,0)*VLOOKUP('Données projet'!$B$14,Paramètres!$A$1:$I$89,5,0)</f>
        <v>475.80000000000035</v>
      </c>
      <c r="DQ82" s="13">
        <f t="shared" si="97"/>
        <v>106.98534660607208</v>
      </c>
      <c r="DR82" s="20">
        <f t="shared" si="70"/>
        <v>1015.0178120055762</v>
      </c>
      <c r="DS82" s="59">
        <f t="shared" si="71"/>
        <v>1308.3511453389094</v>
      </c>
      <c r="DT82" s="59">
        <f ca="1">AVERAGE(OFFSET($DS$3,0,0,'Données projet'!$E$14+1,1))-AVERAGE(OFFSET($H$3,0,0,'Données projet'!$E$14+1,1))</f>
        <v>735.50267870886194</v>
      </c>
      <c r="DU82" s="59">
        <f t="shared" si="98"/>
        <v>525.80345400853275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60.488846946211581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60.488846946211581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4.5555555555555554</v>
      </c>
      <c r="EJ82" s="12">
        <f>IF('Données projet'!$A$192&gt;35,EJ81+EI82-ER81,IF(A82&lt;'Données projet'!$A$192,$EG$205^A82,IF(A82='Données projet'!$A$192,'Données projet'!$B$192,EJ81+EI82-ER81)))</f>
        <v>149.88888888888897</v>
      </c>
      <c r="EK82" s="17">
        <f>EJ82*VLOOKUP('Données projet'!$B$15,Paramètres!$A$1:$I$89,3,0)*VLOOKUP('Données projet'!$B$15,Paramètres!$A$1:$I$89,5,0)</f>
        <v>95.868933333333388</v>
      </c>
      <c r="EL82" s="13">
        <f t="shared" si="99"/>
        <v>25.975424468555442</v>
      </c>
      <c r="EM82" s="20">
        <f t="shared" si="73"/>
        <v>212.21225650495637</v>
      </c>
      <c r="EN82" s="59">
        <f t="shared" si="74"/>
        <v>505.54558983828969</v>
      </c>
      <c r="EO82" s="59">
        <f ca="1">AVERAGE(OFFSET($EN$3,0,0,'Données projet'!$E$15+1,1))-AVERAGE(OFFSET($H$3,0,0,'Données projet'!$E$15+1,1))</f>
        <v>274.14900959323484</v>
      </c>
      <c r="EP82" s="59">
        <f t="shared" si="100"/>
        <v>130.44590390921582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10.143557398175176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10.143557398175176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8.875</v>
      </c>
      <c r="FE82" s="12">
        <f>IF('Données projet'!$A$218&gt;35,FE81+FD82-FM81,IF(A82&lt;'Données projet'!$A$218,$FB$205^A82,IF(A82='Données projet'!$A$218,'Données projet'!$B$218,FE81+FD82-FM81)))</f>
        <v>540.375</v>
      </c>
      <c r="FF82" s="17">
        <f>FE82*VLOOKUP('Données projet'!$B$16,Paramètres!$A$1:$I$89,3,0)*VLOOKUP('Données projet'!$B$16,Paramètres!$A$1:$I$89,5,0)</f>
        <v>323.14425000000006</v>
      </c>
      <c r="FG82" s="13">
        <f t="shared" si="101"/>
        <v>76.007203261088534</v>
      </c>
      <c r="FH82" s="20">
        <f t="shared" si="76"/>
        <v>695.18878109639593</v>
      </c>
      <c r="FI82" s="59">
        <f t="shared" si="77"/>
        <v>988.5221144297293</v>
      </c>
      <c r="FJ82" s="59">
        <f ca="1">AVERAGE(OFFSET($FI$3,0,0,'Données projet'!$E$16+1,1))-AVERAGE(OFFSET($H$3,0,0,'Données projet'!$E$16+1,1))</f>
        <v>405.42845699663462</v>
      </c>
      <c r="FK82" s="59">
        <f t="shared" si="102"/>
        <v>292.26503163353146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49.779278618330181</v>
      </c>
      <c r="FR82" s="21">
        <f>EXP(-LN(2)/25)*FR81+(1-EXP(-LN(2)/25))/(LN(2)/25)*Calculateur!FM82*Calculateur!FO82*VLOOKUP('Données projet'!$B$16,Paramètres!$A$1:$I$89,3,0)*0.475*44/12</f>
        <v>27.317511651182766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77.096790269512951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8.875</v>
      </c>
      <c r="FZ82" s="12">
        <f>IF('Données projet'!$A$244&gt;35,FZ81+FY82-GH81,IF(A82&lt;'Données projet'!$A$244,$FW$205^A82,IF(A82='Données projet'!$A$244,'Données projet'!$B$244,FZ81+FY82-GH81)))</f>
        <v>540.375</v>
      </c>
      <c r="GA82" s="17">
        <f>FZ82*VLOOKUP('Données projet'!$B$17,Paramètres!$A$1:$I$89,3,0)*VLOOKUP('Données projet'!$B$17,Paramètres!$A$1:$I$89,5,0)</f>
        <v>323.14425000000006</v>
      </c>
      <c r="GB82" s="13">
        <f t="shared" si="103"/>
        <v>76.007203261088534</v>
      </c>
      <c r="GC82" s="20">
        <f t="shared" si="79"/>
        <v>695.18878109639593</v>
      </c>
      <c r="GD82" s="59">
        <f t="shared" si="80"/>
        <v>988.5221144297293</v>
      </c>
      <c r="GE82" s="59">
        <f ca="1">AVERAGE(OFFSET($GD$3,0,0,'Données projet'!$E$17+1,1))-AVERAGE(OFFSET($H$3,0,0,'Données projet'!$E$17+1,1))</f>
        <v>405.42845699663462</v>
      </c>
      <c r="GF82" s="59">
        <f t="shared" si="104"/>
        <v>292.26503163353146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49.779278618330181</v>
      </c>
      <c r="GM82" s="21">
        <f>EXP(-LN(2)/25)*GM81+(1-EXP(-LN(2)/25))/(LN(2)/25)*Calculateur!GH82*Calculateur!GJ82*VLOOKUP('Données projet'!$B$17,Paramètres!$A$1:$I$89,3,0)*0.475*44/12</f>
        <v>27.317511651182766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77.096790269512951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-5.3205440053716299E-14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198.26255998041</v>
      </c>
      <c r="T83" s="59">
        <f t="shared" si="88"/>
        <v>238.62101708181166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73.872571326848444</v>
      </c>
      <c r="AA83" s="21">
        <f>EXP(-LN(2)/25)*AA82+(1-EXP(-LN(2)/25))/(LN(2)/25)*Calculateur!V83*Calculateur!X83*VLOOKUP('Données projet'!$B$9,Paramètres!$A$1:$I$89,3,0)*0.475*44/12</f>
        <v>35.76263107513256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109.635202401981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3.4106051316484809E-13</v>
      </c>
      <c r="AJ83" s="13">
        <f>AI83*VLOOKUP('Données projet'!$B$10,Paramètres!$A$1:$I$89,3,0)*VLOOKUP('Données projet'!$B$10,Paramètres!$A$1:$I$89,5,0)</f>
        <v>1.9065282685915009E-13</v>
      </c>
      <c r="AK83" s="13">
        <f t="shared" si="89"/>
        <v>2.6568987209435707E-12</v>
      </c>
      <c r="AL83" s="20">
        <f t="shared" si="58"/>
        <v>4.959485612423072E-12</v>
      </c>
      <c r="AM83" s="59">
        <f t="shared" si="59"/>
        <v>293.33333333333826</v>
      </c>
      <c r="AN83" s="59">
        <f ca="1">AVERAGE(OFFSET($AM$3,0,0,'Données projet'!$E$10+1,1))-AVERAGE(OFFSET($H$3,0,0,'Données projet'!$E$10+1,1))</f>
        <v>347.02720636703873</v>
      </c>
      <c r="AO83" s="59">
        <f t="shared" si="90"/>
        <v>394.03759949558702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161.25596442345847</v>
      </c>
      <c r="AV83" s="21">
        <f>EXP(-LN(2)/25)*AV82+(1-EXP(-LN(2)/25))/(LN(2)/25)*Calculateur!AQ83*Calculateur!AS83*VLOOKUP('Données projet'!$B$10,Paramètres!$A$1:$I$89,3,0)*0.475*44/12</f>
        <v>76.115261796371954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237.37122621983042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-3.4106051316484809E-13</v>
      </c>
      <c r="BE83" s="13">
        <f>BD83*VLOOKUP('Données projet'!$B$11,Paramètres!$A$1:$I$89,3,0)*VLOOKUP('Données projet'!$B$11,Paramètres!$A$1:$I$89,5,0)</f>
        <v>-2.0395418687257919E-13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378.75660696651238</v>
      </c>
      <c r="BJ83" s="59">
        <f t="shared" si="92"/>
        <v>371.70674704563288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159.51830944173435</v>
      </c>
      <c r="BQ83" s="21">
        <f>EXP(-LN(2)/25)*BQ82+(1-EXP(-LN(2)/25))/(LN(2)/25)*Calculateur!BL83*Calculateur!BN83*VLOOKUP('Données projet'!$B$11,Paramètres!$A$1:$I$89,3,0)*0.475*44/12</f>
        <v>73.543095660596663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233.06140510233101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4.5555555555555554</v>
      </c>
      <c r="BY83" s="12">
        <f>IF('Données projet'!$A$114&gt;35,BY82+BX83-CG82,IF(A83&lt;'Données projet'!$A$114,$BV$205^A83,IF(A83='Données projet'!$A$114,'Données projet'!$B$114,BY82+BX83-CG82)))</f>
        <v>154.44444444444451</v>
      </c>
      <c r="BZ83" s="13">
        <f>BY83*VLOOKUP('Données projet'!$B$12,Paramètres!$A$1:$I$89,3,0)*VLOOKUP('Données projet'!$B$12,Paramètres!$A$1:$I$89,5,0)</f>
        <v>156.60666666666677</v>
      </c>
      <c r="CA83" s="13">
        <f t="shared" si="93"/>
        <v>40.076187338098009</v>
      </c>
      <c r="CB83" s="20">
        <f t="shared" si="64"/>
        <v>342.55597072496533</v>
      </c>
      <c r="CC83" s="59">
        <f t="shared" si="65"/>
        <v>635.88930405829865</v>
      </c>
      <c r="CD83" s="59">
        <f ca="1">AVERAGE(OFFSET($CC$3,0,0,'Données projet'!$E$12+1,1))-AVERAGE(OFFSET($H$3,0,0,'Données projet'!$E$12+1,1))</f>
        <v>410.75375635525211</v>
      </c>
      <c r="CE83" s="59">
        <f t="shared" si="94"/>
        <v>183.55513001437367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15.765906038930334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15.765906038930334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5.8888888888888893</v>
      </c>
      <c r="CT83" s="12">
        <f>IF('Données projet'!$A$140&gt;35,CT82+CS83-DB82,IF(A83&lt;'Données projet'!$A$140,$CQ$205^A83,IF(A83='Données projet'!$A$140,'Données projet'!$B$140,CT82+CS83-DB82)))</f>
        <v>200.44444444444449</v>
      </c>
      <c r="CU83" s="17">
        <f>CT83*VLOOKUP('Données projet'!$B$13,Paramètres!$A$1:$I$89,3,0)*VLOOKUP('Données projet'!$B$13,Paramètres!$A$1:$I$89,5,0)</f>
        <v>181.36213333333336</v>
      </c>
      <c r="CV83" s="13">
        <f t="shared" si="95"/>
        <v>45.625102641743339</v>
      </c>
      <c r="CW83" s="20">
        <f t="shared" si="67"/>
        <v>395.33610265659195</v>
      </c>
      <c r="CX83" s="59">
        <f t="shared" si="68"/>
        <v>688.6694359899252</v>
      </c>
      <c r="CY83" s="59">
        <f ca="1">AVERAGE(OFFSET($CX$3,0,0,'Données projet'!$E$13+1,1))-AVERAGE(OFFSET($H$3,0,0,'Données projet'!$E$13+1,1))</f>
        <v>436.12708882925142</v>
      </c>
      <c r="CZ83" s="59">
        <f t="shared" si="96"/>
        <v>217.65884352525285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24.068803709381474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24.068803709381474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512</v>
      </c>
      <c r="DM83" s="12">
        <f>VLOOKUP(A83,'Données projet'!$A$165:$I$185,9,0)</f>
        <v>12</v>
      </c>
      <c r="DN83" s="12">
        <f t="array" ref="DN83">INDEX(DM:DM,MIN(IF(ISNUMBER(DM83:DM279),ROW(DM83:DM279),"")))</f>
        <v>12</v>
      </c>
      <c r="DO83" s="12">
        <f>IF('Données projet'!$A$166&gt;35,DO82+DN83-DW82,IF(A83&lt;'Données projet'!$A$166,$DL$205^A83,IF(A83='Données projet'!$A$166,'Données projet'!$B$166,DO82+DN83-DW82)))</f>
        <v>512.00000000000034</v>
      </c>
      <c r="DP83" s="17">
        <f>DO83*VLOOKUP('Données projet'!$B$14,Paramètres!$A$1:$I$89,3,0)*VLOOKUP('Données projet'!$B$14,Paramètres!$A$1:$I$89,5,0)</f>
        <v>487.21920000000034</v>
      </c>
      <c r="DQ83" s="13">
        <f t="shared" si="97"/>
        <v>109.25097958580771</v>
      </c>
      <c r="DR83" s="20">
        <f t="shared" si="70"/>
        <v>1038.8522294452823</v>
      </c>
      <c r="DS83" s="59">
        <f t="shared" si="71"/>
        <v>1332.1855627786156</v>
      </c>
      <c r="DT83" s="59">
        <f ca="1">AVERAGE(OFFSET($DS$3,0,0,'Données projet'!$E$14+1,1))-AVERAGE(OFFSET($H$3,0,0,'Données projet'!$E$14+1,1))</f>
        <v>735.50267870886194</v>
      </c>
      <c r="DU83" s="59">
        <f t="shared" si="98"/>
        <v>525.80345400853275</v>
      </c>
      <c r="DV83" s="15">
        <f>IF(ISNA(VLOOKUP(A83,'Données projet'!$A$165:$I$185,3,0)),0,VLOOKUP(A83,'Données projet'!$A$165:$I$185,3,0))</f>
        <v>14</v>
      </c>
      <c r="DW83" s="15">
        <f>IF(ISNA(VLOOKUP(A83,'Données projet'!$A$165:$I$185,4,0)),0,VLOOKUP(A83,'Données projet'!$A$165:$I$185,4,0))</f>
        <v>52</v>
      </c>
      <c r="DX83" s="16">
        <f>IF(ISNA(VLOOKUP(A83,'Données projet'!$A$165:$I$185,5,0)),0%,VLOOKUP(A83,'Données projet'!$A$165:$I$185,5,0)*VLOOKUP('Données projet'!$B$14,Paramètres!$A$1:$I$89,7,0))</f>
        <v>0.25800000000000001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73.41586821835223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73.41586821835223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4.5555555555555554</v>
      </c>
      <c r="EJ83" s="12">
        <f>IF('Données projet'!$A$192&gt;35,EJ82+EI83-ER82,IF(A83&lt;'Données projet'!$A$192,$EG$205^A83,IF(A83='Données projet'!$A$192,'Données projet'!$B$192,EJ82+EI83-ER82)))</f>
        <v>154.44444444444451</v>
      </c>
      <c r="EK83" s="17">
        <f>EJ83*VLOOKUP('Données projet'!$B$15,Paramètres!$A$1:$I$89,3,0)*VLOOKUP('Données projet'!$B$15,Paramètres!$A$1:$I$89,5,0)</f>
        <v>98.782666666666699</v>
      </c>
      <c r="EL83" s="13">
        <f t="shared" si="99"/>
        <v>26.671778260810807</v>
      </c>
      <c r="EM83" s="20">
        <f t="shared" si="73"/>
        <v>218.49982491535664</v>
      </c>
      <c r="EN83" s="59">
        <f t="shared" si="74"/>
        <v>511.83315824868998</v>
      </c>
      <c r="EO83" s="59">
        <f ca="1">AVERAGE(OFFSET($EN$3,0,0,'Données projet'!$E$15+1,1))-AVERAGE(OFFSET($H$3,0,0,'Données projet'!$E$15+1,1))</f>
        <v>274.14900959323484</v>
      </c>
      <c r="EP83" s="59">
        <f t="shared" si="100"/>
        <v>130.44590390921582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9.9446484245560622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9.9446484245560622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8.875</v>
      </c>
      <c r="FE83" s="12">
        <f>IF('Données projet'!$A$218&gt;35,FE82+FD83-FM82,IF(A83&lt;'Données projet'!$A$218,$FB$205^A83,IF(A83='Données projet'!$A$218,'Données projet'!$B$218,FE82+FD83-FM82)))</f>
        <v>549.25</v>
      </c>
      <c r="FF83" s="17">
        <f>FE83*VLOOKUP('Données projet'!$B$16,Paramètres!$A$1:$I$89,3,0)*VLOOKUP('Données projet'!$B$16,Paramètres!$A$1:$I$89,5,0)</f>
        <v>328.45150000000001</v>
      </c>
      <c r="FG83" s="13">
        <f t="shared" si="101"/>
        <v>77.109175784158708</v>
      </c>
      <c r="FH83" s="20">
        <f t="shared" si="76"/>
        <v>706.35151032407646</v>
      </c>
      <c r="FI83" s="59">
        <f t="shared" si="77"/>
        <v>999.68484365740983</v>
      </c>
      <c r="FJ83" s="59">
        <f ca="1">AVERAGE(OFFSET($FI$3,0,0,'Données projet'!$E$16+1,1))-AVERAGE(OFFSET($H$3,0,0,'Données projet'!$E$16+1,1))</f>
        <v>405.42845699663462</v>
      </c>
      <c r="FK83" s="59">
        <f t="shared" si="102"/>
        <v>292.26503163353146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48.803137326986651</v>
      </c>
      <c r="FR83" s="21">
        <f>EXP(-LN(2)/25)*FR82+(1-EXP(-LN(2)/25))/(LN(2)/25)*Calculateur!FM83*Calculateur!FO83*VLOOKUP('Données projet'!$B$16,Paramètres!$A$1:$I$89,3,0)*0.475*44/12</f>
        <v>26.57051285851567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75.373650185502328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8.875</v>
      </c>
      <c r="FZ83" s="12">
        <f>IF('Données projet'!$A$244&gt;35,FZ82+FY83-GH82,IF(A83&lt;'Données projet'!$A$244,$FW$205^A83,IF(A83='Données projet'!$A$244,'Données projet'!$B$244,FZ82+FY83-GH82)))</f>
        <v>549.25</v>
      </c>
      <c r="GA83" s="17">
        <f>FZ83*VLOOKUP('Données projet'!$B$17,Paramètres!$A$1:$I$89,3,0)*VLOOKUP('Données projet'!$B$17,Paramètres!$A$1:$I$89,5,0)</f>
        <v>328.45150000000001</v>
      </c>
      <c r="GB83" s="13">
        <f t="shared" si="103"/>
        <v>77.109175784158708</v>
      </c>
      <c r="GC83" s="20">
        <f t="shared" si="79"/>
        <v>706.35151032407646</v>
      </c>
      <c r="GD83" s="59">
        <f t="shared" si="80"/>
        <v>999.68484365740983</v>
      </c>
      <c r="GE83" s="59">
        <f ca="1">AVERAGE(OFFSET($GD$3,0,0,'Données projet'!$E$17+1,1))-AVERAGE(OFFSET($H$3,0,0,'Données projet'!$E$17+1,1))</f>
        <v>405.42845699663462</v>
      </c>
      <c r="GF83" s="59">
        <f t="shared" si="104"/>
        <v>292.26503163353146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48.803137326986651</v>
      </c>
      <c r="GM83" s="21">
        <f>EXP(-LN(2)/25)*GM82+(1-EXP(-LN(2)/25))/(LN(2)/25)*Calculateur!GH83*Calculateur!GJ83*VLOOKUP('Données projet'!$B$17,Paramètres!$A$1:$I$89,3,0)*0.475*44/12</f>
        <v>26.57051285851567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75.373650185502328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-5.3205440053716299E-14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198.26255998041</v>
      </c>
      <c r="T84" s="59">
        <f t="shared" si="88"/>
        <v>238.62101708181166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72.423975260948367</v>
      </c>
      <c r="AA84" s="21">
        <f>EXP(-LN(2)/25)*AA83+(1-EXP(-LN(2)/25))/(LN(2)/25)*Calculateur!V84*Calculateur!X84*VLOOKUP('Données projet'!$B$9,Paramètres!$A$1:$I$89,3,0)*0.475*44/12</f>
        <v>34.784700047708029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107.2086753086564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3.4106051316484809E-13</v>
      </c>
      <c r="AJ84" s="13">
        <f>AI84*VLOOKUP('Données projet'!$B$10,Paramètres!$A$1:$I$89,3,0)*VLOOKUP('Données projet'!$B$10,Paramètres!$A$1:$I$89,5,0)</f>
        <v>1.9065282685915009E-13</v>
      </c>
      <c r="AK84" s="13">
        <f t="shared" si="89"/>
        <v>2.6568987209435707E-12</v>
      </c>
      <c r="AL84" s="20">
        <f t="shared" si="58"/>
        <v>4.959485612423072E-12</v>
      </c>
      <c r="AM84" s="59">
        <f t="shared" si="59"/>
        <v>293.33333333333826</v>
      </c>
      <c r="AN84" s="59">
        <f ca="1">AVERAGE(OFFSET($AM$3,0,0,'Données projet'!$E$10+1,1))-AVERAGE(OFFSET($H$3,0,0,'Données projet'!$E$10+1,1))</f>
        <v>347.02720636703873</v>
      </c>
      <c r="AO84" s="59">
        <f t="shared" si="90"/>
        <v>394.03759949558702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158.09383331754086</v>
      </c>
      <c r="AV84" s="21">
        <f>EXP(-LN(2)/25)*AV83+(1-EXP(-LN(2)/25))/(LN(2)/25)*Calculateur!AQ84*Calculateur!AS84*VLOOKUP('Données projet'!$B$10,Paramètres!$A$1:$I$89,3,0)*0.475*44/12</f>
        <v>74.033885959822513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232.12771927736338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-3.4106051316484809E-13</v>
      </c>
      <c r="BE84" s="13">
        <f>BD84*VLOOKUP('Données projet'!$B$11,Paramètres!$A$1:$I$89,3,0)*VLOOKUP('Données projet'!$B$11,Paramètres!$A$1:$I$89,5,0)</f>
        <v>-2.0395418687257919E-13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378.75660696651238</v>
      </c>
      <c r="BJ84" s="59">
        <f t="shared" si="92"/>
        <v>371.70674704563288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156.39025269014346</v>
      </c>
      <c r="BQ84" s="21">
        <f>EXP(-LN(2)/25)*BQ83+(1-EXP(-LN(2)/25))/(LN(2)/25)*Calculateur!BL84*Calculateur!BN84*VLOOKUP('Données projet'!$B$11,Paramètres!$A$1:$I$89,3,0)*0.475*44/12</f>
        <v>71.532055842294326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227.9223085324378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>
        <f>VLOOKUP(A84,'Données projet'!$A$113:$I$133,2,0)</f>
        <v>159</v>
      </c>
      <c r="BW84" s="12">
        <f>VLOOKUP(A84,'Données projet'!$A$113:$I$133,9,0)</f>
        <v>4.5555555555555554</v>
      </c>
      <c r="BX84" s="12">
        <f t="array" ref="BX84">INDEX(BW:BW,MIN(IF(ISNUMBER(BW84:BW280),ROW(BW84:BW280),"")))</f>
        <v>4.5555555555555554</v>
      </c>
      <c r="BY84" s="12">
        <f>IF('Données projet'!$A$114&gt;35,BY83+BX84-CG83,IF(A84&lt;'Données projet'!$A$114,$BV$205^A84,IF(A84='Données projet'!$A$114,'Données projet'!$B$114,BY83+BX84-CG83)))</f>
        <v>159.00000000000006</v>
      </c>
      <c r="BZ84" s="13">
        <f>BY84*VLOOKUP('Données projet'!$B$12,Paramètres!$A$1:$I$89,3,0)*VLOOKUP('Données projet'!$B$12,Paramètres!$A$1:$I$89,5,0)</f>
        <v>161.22600000000006</v>
      </c>
      <c r="CA84" s="13">
        <f t="shared" si="93"/>
        <v>41.118920159482563</v>
      </c>
      <c r="CB84" s="20">
        <f t="shared" si="64"/>
        <v>352.41740261109891</v>
      </c>
      <c r="CC84" s="59">
        <f t="shared" si="65"/>
        <v>645.75073594443222</v>
      </c>
      <c r="CD84" s="59">
        <f ca="1">AVERAGE(OFFSET($CC$3,0,0,'Données projet'!$E$12+1,1))-AVERAGE(OFFSET($H$3,0,0,'Données projet'!$E$12+1,1))</f>
        <v>410.75375635525211</v>
      </c>
      <c r="CE84" s="59">
        <f t="shared" si="94"/>
        <v>183.55513001437367</v>
      </c>
      <c r="CF84" s="15">
        <f>IF(ISNA(VLOOKUP(A84,'Données projet'!$A$113:$I$133,3,0)),0,VLOOKUP(A84,'Données projet'!$A$113:$I$133,3,0))</f>
        <v>4</v>
      </c>
      <c r="CG84" s="15">
        <f>IF(ISNA(VLOOKUP(A84,'Données projet'!$A$113:$I$133,4,0)),0,VLOOKUP(A84,'Données projet'!$A$113:$I$133,4,0))</f>
        <v>27</v>
      </c>
      <c r="CH84" s="16">
        <f>IF(ISNA(VLOOKUP(A84,'Données projet'!$A$113:$I$133,5,0)),0%,VLOOKUP(A84,'Données projet'!$A$113:$I$133,5,0)*VLOOKUP('Données projet'!$B$12,Paramètres!$A$1:$I$89,7,0))</f>
        <v>0.25800000000000001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23.265262794880169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23.265262794880169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5.8888888888888893</v>
      </c>
      <c r="CT84" s="12">
        <f>IF('Données projet'!$A$140&gt;35,CT83+CS84-DB83,IF(A84&lt;'Données projet'!$A$140,$CQ$205^A84,IF(A84='Données projet'!$A$140,'Données projet'!$B$140,CT83+CS84-DB83)))</f>
        <v>206.33333333333337</v>
      </c>
      <c r="CU84" s="17">
        <f>CT84*VLOOKUP('Données projet'!$B$13,Paramètres!$A$1:$I$89,3,0)*VLOOKUP('Données projet'!$B$13,Paramètres!$A$1:$I$89,5,0)</f>
        <v>186.69040000000004</v>
      </c>
      <c r="CV84" s="13">
        <f t="shared" si="95"/>
        <v>46.807500637946397</v>
      </c>
      <c r="CW84" s="20">
        <f t="shared" si="67"/>
        <v>406.6755102777567</v>
      </c>
      <c r="CX84" s="59">
        <f t="shared" si="68"/>
        <v>700.00884361109001</v>
      </c>
      <c r="CY84" s="59">
        <f ca="1">AVERAGE(OFFSET($CX$3,0,0,'Données projet'!$E$13+1,1))-AVERAGE(OFFSET($H$3,0,0,'Données projet'!$E$13+1,1))</f>
        <v>436.12708882925142</v>
      </c>
      <c r="CZ84" s="59">
        <f t="shared" si="96"/>
        <v>217.65884352525285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23.596829149161184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23.596829149161184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11.8</v>
      </c>
      <c r="DO84" s="12">
        <f>IF('Données projet'!$A$166&gt;35,DO83+DN84-DW83,IF(A84&lt;'Données projet'!$A$166,$DL$205^A84,IF(A84='Données projet'!$A$166,'Données projet'!$B$166,DO83+DN84-DW83)))</f>
        <v>471.8000000000003</v>
      </c>
      <c r="DP84" s="17">
        <f>DO84*VLOOKUP('Données projet'!$B$14,Paramètres!$A$1:$I$89,3,0)*VLOOKUP('Données projet'!$B$14,Paramètres!$A$1:$I$89,5,0)</f>
        <v>448.96488000000028</v>
      </c>
      <c r="DQ84" s="13">
        <f t="shared" si="97"/>
        <v>101.63584796853148</v>
      </c>
      <c r="DR84" s="20">
        <f t="shared" si="70"/>
        <v>958.96293454519264</v>
      </c>
      <c r="DS84" s="59">
        <f t="shared" si="71"/>
        <v>1252.2962678785259</v>
      </c>
      <c r="DT84" s="59">
        <f ca="1">AVERAGE(OFFSET($DS$3,0,0,'Données projet'!$E$14+1,1))-AVERAGE(OFFSET($H$3,0,0,'Données projet'!$E$14+1,1))</f>
        <v>735.50267870886194</v>
      </c>
      <c r="DU84" s="59">
        <f t="shared" si="98"/>
        <v>525.80345400853275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71.976227821848369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71.976227821848369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>
        <f>VLOOKUP(A84,'Données projet'!$A$191:$I$211,2,0)</f>
        <v>159</v>
      </c>
      <c r="EH84" s="12">
        <f>VLOOKUP(A84,'Données projet'!$A$191:$I$211,9,0)</f>
        <v>4.5555555555555554</v>
      </c>
      <c r="EI84" s="12">
        <f t="array" ref="EI84">INDEX(EH:EH,MIN(IF(ISNUMBER(EH84:EH280),ROW(EH84:EH280),"")))</f>
        <v>4.5555555555555554</v>
      </c>
      <c r="EJ84" s="12">
        <f>IF('Données projet'!$A$192&gt;35,EJ83+EI84-ER83,IF(A84&lt;'Données projet'!$A$192,$EG$205^A84,IF(A84='Données projet'!$A$192,'Données projet'!$B$192,EJ83+EI84-ER83)))</f>
        <v>159.00000000000006</v>
      </c>
      <c r="EK84" s="17">
        <f>EJ84*VLOOKUP('Données projet'!$B$15,Paramètres!$A$1:$I$89,3,0)*VLOOKUP('Données projet'!$B$15,Paramètres!$A$1:$I$89,5,0)</f>
        <v>101.69640000000004</v>
      </c>
      <c r="EL84" s="13">
        <f t="shared" si="99"/>
        <v>27.365744938893471</v>
      </c>
      <c r="EM84" s="20">
        <f t="shared" si="73"/>
        <v>224.78323576857284</v>
      </c>
      <c r="EN84" s="59">
        <f t="shared" si="74"/>
        <v>518.11656910190618</v>
      </c>
      <c r="EO84" s="59">
        <f ca="1">AVERAGE(OFFSET($EN$3,0,0,'Données projet'!$E$15+1,1))-AVERAGE(OFFSET($H$3,0,0,'Données projet'!$E$15+1,1))</f>
        <v>274.14900959323484</v>
      </c>
      <c r="EP84" s="59">
        <f t="shared" si="100"/>
        <v>130.44590390921582</v>
      </c>
      <c r="EQ84" s="15">
        <f>IF(ISNA(VLOOKUP(A84,'Données projet'!$A$191:$I$211,3,0)),0,VLOOKUP(A84,'Données projet'!$A$191:$I$211,3,0))</f>
        <v>4</v>
      </c>
      <c r="ER84" s="15">
        <f>IF(ISNA(VLOOKUP(A84,'Données projet'!$A$191:$I$211,4,0)),0,VLOOKUP(A84,'Données projet'!$A$191:$I$211,4,0))</f>
        <v>27</v>
      </c>
      <c r="ES84" s="16">
        <f>IF(ISNA(VLOOKUP(A84,'Données projet'!$A$191:$I$211,5,0)),0%,VLOOKUP(A84,'Données projet'!$A$191:$I$211,5,0)*VLOOKUP('Données projet'!$B$15,Paramètres!$A$1:$I$89,7,0))</f>
        <v>0.25800000000000001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14.675011916770572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14.675011916770572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8.875</v>
      </c>
      <c r="FE84" s="12">
        <f>IF('Données projet'!$A$218&gt;35,FE83+FD84-FM83,IF(A84&lt;'Données projet'!$A$218,$FB$205^A84,IF(A84='Données projet'!$A$218,'Données projet'!$B$218,FE83+FD84-FM83)))</f>
        <v>558.125</v>
      </c>
      <c r="FF84" s="17">
        <f>FE84*VLOOKUP('Données projet'!$B$16,Paramètres!$A$1:$I$89,3,0)*VLOOKUP('Données projet'!$B$16,Paramètres!$A$1:$I$89,5,0)</f>
        <v>333.75875000000002</v>
      </c>
      <c r="FG84" s="13">
        <f t="shared" si="101"/>
        <v>78.209077528625059</v>
      </c>
      <c r="FH84" s="20">
        <f t="shared" si="76"/>
        <v>717.5106329456886</v>
      </c>
      <c r="FI84" s="59">
        <f t="shared" si="77"/>
        <v>1010.843966279022</v>
      </c>
      <c r="FJ84" s="59">
        <f ca="1">AVERAGE(OFFSET($FI$3,0,0,'Données projet'!$E$16+1,1))-AVERAGE(OFFSET($H$3,0,0,'Données projet'!$E$16+1,1))</f>
        <v>405.42845699663462</v>
      </c>
      <c r="FK84" s="59">
        <f t="shared" si="102"/>
        <v>292.26503163353146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47.846137570978968</v>
      </c>
      <c r="FR84" s="21">
        <f>EXP(-LN(2)/25)*FR83+(1-EXP(-LN(2)/25))/(LN(2)/25)*Calculateur!FM84*Calculateur!FO84*VLOOKUP('Données projet'!$B$16,Paramètres!$A$1:$I$89,3,0)*0.475*44/12</f>
        <v>25.843940787117017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73.690078358095988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8.875</v>
      </c>
      <c r="FZ84" s="12">
        <f>IF('Données projet'!$A$244&gt;35,FZ83+FY84-GH83,IF(A84&lt;'Données projet'!$A$244,$FW$205^A84,IF(A84='Données projet'!$A$244,'Données projet'!$B$244,FZ83+FY84-GH83)))</f>
        <v>558.125</v>
      </c>
      <c r="GA84" s="17">
        <f>FZ84*VLOOKUP('Données projet'!$B$17,Paramètres!$A$1:$I$89,3,0)*VLOOKUP('Données projet'!$B$17,Paramètres!$A$1:$I$89,5,0)</f>
        <v>333.75875000000002</v>
      </c>
      <c r="GB84" s="13">
        <f t="shared" si="103"/>
        <v>78.209077528625059</v>
      </c>
      <c r="GC84" s="20">
        <f t="shared" si="79"/>
        <v>717.5106329456886</v>
      </c>
      <c r="GD84" s="59">
        <f t="shared" si="80"/>
        <v>1010.843966279022</v>
      </c>
      <c r="GE84" s="59">
        <f ca="1">AVERAGE(OFFSET($GD$3,0,0,'Données projet'!$E$17+1,1))-AVERAGE(OFFSET($H$3,0,0,'Données projet'!$E$17+1,1))</f>
        <v>405.42845699663462</v>
      </c>
      <c r="GF84" s="59">
        <f t="shared" si="104"/>
        <v>292.26503163353146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47.846137570978968</v>
      </c>
      <c r="GM84" s="21">
        <f>EXP(-LN(2)/25)*GM83+(1-EXP(-LN(2)/25))/(LN(2)/25)*Calculateur!GH84*Calculateur!GJ84*VLOOKUP('Données projet'!$B$17,Paramètres!$A$1:$I$89,3,0)*0.475*44/12</f>
        <v>25.843940787117017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73.690078358095988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-5.3205440053716299E-14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198.26255998041</v>
      </c>
      <c r="T85" s="59">
        <f t="shared" si="88"/>
        <v>238.62101708181166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71.003785280344232</v>
      </c>
      <c r="AA85" s="21">
        <f>EXP(-LN(2)/25)*AA84+(1-EXP(-LN(2)/25))/(LN(2)/25)*Calculateur!V85*Calculateur!X85*VLOOKUP('Données projet'!$B$9,Paramètres!$A$1:$I$89,3,0)*0.475*44/12</f>
        <v>33.833510595655575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104.83729587599981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3.4106051316484809E-13</v>
      </c>
      <c r="AJ85" s="13">
        <f>AI85*VLOOKUP('Données projet'!$B$10,Paramètres!$A$1:$I$89,3,0)*VLOOKUP('Données projet'!$B$10,Paramètres!$A$1:$I$89,5,0)</f>
        <v>1.9065282685915009E-13</v>
      </c>
      <c r="AK85" s="13">
        <f t="shared" si="89"/>
        <v>2.6568987209435707E-12</v>
      </c>
      <c r="AL85" s="20">
        <f t="shared" si="58"/>
        <v>4.959485612423072E-12</v>
      </c>
      <c r="AM85" s="59">
        <f t="shared" si="59"/>
        <v>293.33333333333826</v>
      </c>
      <c r="AN85" s="59">
        <f ca="1">AVERAGE(OFFSET($AM$3,0,0,'Données projet'!$E$10+1,1))-AVERAGE(OFFSET($H$3,0,0,'Données projet'!$E$10+1,1))</f>
        <v>347.02720636703873</v>
      </c>
      <c r="AO85" s="59">
        <f t="shared" si="90"/>
        <v>394.03759949558702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154.99370967390075</v>
      </c>
      <c r="AV85" s="21">
        <f>EXP(-LN(2)/25)*AV84+(1-EXP(-LN(2)/25))/(LN(2)/25)*Calculateur!AQ85*Calculateur!AS85*VLOOKUP('Données projet'!$B$10,Paramètres!$A$1:$I$89,3,0)*0.475*44/12</f>
        <v>72.009425454978313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227.00313512887908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-3.4106051316484809E-13</v>
      </c>
      <c r="BE85" s="13">
        <f>BD85*VLOOKUP('Données projet'!$B$11,Paramètres!$A$1:$I$89,3,0)*VLOOKUP('Données projet'!$B$11,Paramètres!$A$1:$I$89,5,0)</f>
        <v>-2.0395418687257919E-13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378.75660696651238</v>
      </c>
      <c r="BJ85" s="59">
        <f t="shared" si="92"/>
        <v>371.70674704563288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153.32353522352503</v>
      </c>
      <c r="BQ85" s="21">
        <f>EXP(-LN(2)/25)*BQ84+(1-EXP(-LN(2)/25))/(LN(2)/25)*Calculateur!BL85*Calculateur!BN85*VLOOKUP('Données projet'!$B$11,Paramètres!$A$1:$I$89,3,0)*0.475*44/12</f>
        <v>69.576008013579454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222.89954323710447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4.4444444444444446</v>
      </c>
      <c r="BY85" s="12">
        <f>IF('Données projet'!$A$114&gt;35,BY84+BX85-CG84,IF(A85&lt;'Données projet'!$A$114,$BV$205^A85,IF(A85='Données projet'!$A$114,'Données projet'!$B$114,BY84+BX85-CG84)))</f>
        <v>136.44444444444451</v>
      </c>
      <c r="BZ85" s="13">
        <f>BY85*VLOOKUP('Données projet'!$B$12,Paramètres!$A$1:$I$89,3,0)*VLOOKUP('Données projet'!$B$12,Paramètres!$A$1:$I$89,5,0)</f>
        <v>138.35466666666676</v>
      </c>
      <c r="CA85" s="13">
        <f t="shared" si="93"/>
        <v>35.919823787423205</v>
      </c>
      <c r="CB85" s="20">
        <f t="shared" si="64"/>
        <v>303.52807087420672</v>
      </c>
      <c r="CC85" s="59">
        <f t="shared" si="65"/>
        <v>596.86140420754009</v>
      </c>
      <c r="CD85" s="59">
        <f ca="1">AVERAGE(OFFSET($CC$3,0,0,'Données projet'!$E$12+1,1))-AVERAGE(OFFSET($H$3,0,0,'Données projet'!$E$12+1,1))</f>
        <v>410.75375635525211</v>
      </c>
      <c r="CE85" s="59">
        <f t="shared" si="94"/>
        <v>183.55513001437367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22.809045181881686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22.809045181881686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5.8888888888888893</v>
      </c>
      <c r="CT85" s="12">
        <f>IF('Données projet'!$A$140&gt;35,CT84+CS85-DB84,IF(A85&lt;'Données projet'!$A$140,$CQ$205^A85,IF(A85='Données projet'!$A$140,'Données projet'!$B$140,CT84+CS85-DB84)))</f>
        <v>212.22222222222226</v>
      </c>
      <c r="CU85" s="17">
        <f>CT85*VLOOKUP('Données projet'!$B$13,Paramètres!$A$1:$I$89,3,0)*VLOOKUP('Données projet'!$B$13,Paramètres!$A$1:$I$89,5,0)</f>
        <v>192.01866666666669</v>
      </c>
      <c r="CV85" s="13">
        <f t="shared" si="95"/>
        <v>47.985976506318345</v>
      </c>
      <c r="CW85" s="20">
        <f t="shared" si="67"/>
        <v>418.00808685961556</v>
      </c>
      <c r="CX85" s="59">
        <f t="shared" si="68"/>
        <v>711.34142019294882</v>
      </c>
      <c r="CY85" s="59">
        <f ca="1">AVERAGE(OFFSET($CX$3,0,0,'Données projet'!$E$13+1,1))-AVERAGE(OFFSET($H$3,0,0,'Données projet'!$E$13+1,1))</f>
        <v>436.12708882925142</v>
      </c>
      <c r="CZ85" s="59">
        <f t="shared" si="96"/>
        <v>217.65884352525285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23.134109722190757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23.134109722190757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11.8</v>
      </c>
      <c r="DO85" s="12">
        <f>IF('Données projet'!$A$166&gt;35,DO84+DN85-DW84,IF(A85&lt;'Données projet'!$A$166,$DL$205^A85,IF(A85='Données projet'!$A$166,'Données projet'!$B$166,DO84+DN85-DW84)))</f>
        <v>483.60000000000031</v>
      </c>
      <c r="DP85" s="17">
        <f>DO85*VLOOKUP('Données projet'!$B$14,Paramètres!$A$1:$I$89,3,0)*VLOOKUP('Données projet'!$B$14,Paramètres!$A$1:$I$89,5,0)</f>
        <v>460.19376000000034</v>
      </c>
      <c r="DQ85" s="13">
        <f t="shared" si="97"/>
        <v>103.87869617246456</v>
      </c>
      <c r="DR85" s="20">
        <f t="shared" si="70"/>
        <v>982.42619450037603</v>
      </c>
      <c r="DS85" s="59">
        <f t="shared" si="71"/>
        <v>1275.7595278337094</v>
      </c>
      <c r="DT85" s="59">
        <f ca="1">AVERAGE(OFFSET($DS$3,0,0,'Données projet'!$E$14+1,1))-AVERAGE(OFFSET($H$3,0,0,'Données projet'!$E$14+1,1))</f>
        <v>735.50267870886194</v>
      </c>
      <c r="DU85" s="59">
        <f t="shared" si="98"/>
        <v>525.80345400853275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70.564817895426017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70.564817895426017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4.4444444444444446</v>
      </c>
      <c r="EJ85" s="12">
        <f>IF('Données projet'!$A$192&gt;35,EJ84+EI85-ER84,IF(A85&lt;'Données projet'!$A$192,$EG$205^A85,IF(A85='Données projet'!$A$192,'Données projet'!$B$192,EJ84+EI85-ER84)))</f>
        <v>136.44444444444451</v>
      </c>
      <c r="EK85" s="17">
        <f>EJ85*VLOOKUP('Données projet'!$B$15,Paramètres!$A$1:$I$89,3,0)*VLOOKUP('Données projet'!$B$15,Paramètres!$A$1:$I$89,5,0)</f>
        <v>87.269866666666715</v>
      </c>
      <c r="EL85" s="13">
        <f t="shared" si="99"/>
        <v>23.905606767008845</v>
      </c>
      <c r="EM85" s="20">
        <f t="shared" si="73"/>
        <v>193.63061623031828</v>
      </c>
      <c r="EN85" s="59">
        <f t="shared" si="74"/>
        <v>486.96394956365157</v>
      </c>
      <c r="EO85" s="59">
        <f ca="1">AVERAGE(OFFSET($EN$3,0,0,'Données projet'!$E$15+1,1))-AVERAGE(OFFSET($H$3,0,0,'Données projet'!$E$15+1,1))</f>
        <v>274.14900959323484</v>
      </c>
      <c r="EP85" s="59">
        <f t="shared" si="100"/>
        <v>130.44590390921582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14.387243883956145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14.387243883956145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>
        <f>VLOOKUP(A85,'Données projet'!$A$217:$I$237,2,0)</f>
        <v>567</v>
      </c>
      <c r="FC85" s="12">
        <f>VLOOKUP(A85,'Données projet'!$A$217:$I$237,9,0)</f>
        <v>8.875</v>
      </c>
      <c r="FD85" s="12">
        <f t="array" ref="FD85">INDEX(FC:FC,MIN(IF(ISNUMBER(FC85:FC281),ROW(FC85:FC281),"")))</f>
        <v>8.875</v>
      </c>
      <c r="FE85" s="12">
        <f>IF('Données projet'!$A$218&gt;35,FE84+FD85-FM84,IF(A85&lt;'Données projet'!$A$218,$FB$205^A85,IF(A85='Données projet'!$A$218,'Données projet'!$B$218,FE84+FD85-FM84)))</f>
        <v>567</v>
      </c>
      <c r="FF85" s="17">
        <f>FE85*VLOOKUP('Données projet'!$B$16,Paramètres!$A$1:$I$89,3,0)*VLOOKUP('Données projet'!$B$16,Paramètres!$A$1:$I$89,5,0)</f>
        <v>339.06600000000003</v>
      </c>
      <c r="FG85" s="13">
        <f t="shared" si="101"/>
        <v>79.30694522486489</v>
      </c>
      <c r="FH85" s="20">
        <f t="shared" si="76"/>
        <v>728.66621293330627</v>
      </c>
      <c r="FI85" s="59">
        <f t="shared" si="77"/>
        <v>1021.9995462666395</v>
      </c>
      <c r="FJ85" s="59">
        <f ca="1">AVERAGE(OFFSET($FI$3,0,0,'Données projet'!$E$16+1,1))-AVERAGE(OFFSET($H$3,0,0,'Données projet'!$E$16+1,1))</f>
        <v>405.42845699663462</v>
      </c>
      <c r="FK85" s="59">
        <f t="shared" si="102"/>
        <v>292.26503163353146</v>
      </c>
      <c r="FL85" s="15">
        <f>IF(ISNA(VLOOKUP(A85,'Données projet'!$A$217:$I$237,3,0)),0,VLOOKUP(A85,'Données projet'!$A$217:$I$237,3,0))</f>
        <v>11</v>
      </c>
      <c r="FM85" s="15">
        <f>IF(ISNA(VLOOKUP(A85,'Données projet'!$A$217:$I$237,4,0)),0,VLOOKUP(A85,'Données projet'!$A$217:$I$237,4,0))</f>
        <v>26</v>
      </c>
      <c r="FN85" s="16">
        <f>IF(ISNA(VLOOKUP(A85,'Données projet'!$A$217:$I$237,5,0)),0%,VLOOKUP(A85,'Données projet'!$A$217:$I$237,5,0)*VLOOKUP('Données projet'!$B$16,Paramètres!$A$1:$I$89,7,0))</f>
        <v>0.315</v>
      </c>
      <c r="FO85" s="16">
        <f>IF(ISNA(VLOOKUP(A85,'Données projet'!$A$217:$I$237,6,0)),0%,VLOOKUP(A85,'Données projet'!$A$217:$I$237,6,0)*VLOOKUP('Données projet'!$B$16,Paramètres!$A$1:$I$89,7,0))</f>
        <v>0.13500000000000001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53.404912604724181</v>
      </c>
      <c r="FR85" s="21">
        <f>EXP(-LN(2)/25)*FR84+(1-EXP(-LN(2)/25))/(LN(2)/25)*Calculateur!FM85*Calculateur!FO85*VLOOKUP('Données projet'!$B$16,Paramètres!$A$1:$I$89,3,0)*0.475*44/12</f>
        <v>27.910705757135851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81.315618361860032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>
        <f>VLOOKUP(A85,'Données projet'!$A$243:$I$263,2,0)</f>
        <v>567</v>
      </c>
      <c r="FX85" s="12">
        <f>VLOOKUP(A85,'Données projet'!$A$243:$I$263,9,0)</f>
        <v>8.875</v>
      </c>
      <c r="FY85" s="12">
        <f t="array" ref="FY85">INDEX(FX:FX,MIN(IF(ISNUMBER(FX85:FX281),ROW(FX85:FX281),"")))</f>
        <v>8.875</v>
      </c>
      <c r="FZ85" s="12">
        <f>IF('Données projet'!$A$244&gt;35,FZ84+FY85-GH84,IF(A85&lt;'Données projet'!$A$244,$FW$205^A85,IF(A85='Données projet'!$A$244,'Données projet'!$B$244,FZ84+FY85-GH84)))</f>
        <v>567</v>
      </c>
      <c r="GA85" s="17">
        <f>FZ85*VLOOKUP('Données projet'!$B$17,Paramètres!$A$1:$I$89,3,0)*VLOOKUP('Données projet'!$B$17,Paramètres!$A$1:$I$89,5,0)</f>
        <v>339.06600000000003</v>
      </c>
      <c r="GB85" s="13">
        <f t="shared" si="103"/>
        <v>79.30694522486489</v>
      </c>
      <c r="GC85" s="20">
        <f t="shared" si="79"/>
        <v>728.66621293330627</v>
      </c>
      <c r="GD85" s="59">
        <f t="shared" si="80"/>
        <v>1021.9995462666395</v>
      </c>
      <c r="GE85" s="59">
        <f ca="1">AVERAGE(OFFSET($GD$3,0,0,'Données projet'!$E$17+1,1))-AVERAGE(OFFSET($H$3,0,0,'Données projet'!$E$17+1,1))</f>
        <v>405.42845699663462</v>
      </c>
      <c r="GF85" s="59">
        <f t="shared" si="104"/>
        <v>292.26503163353146</v>
      </c>
      <c r="GG85" s="15">
        <f>IF(ISNA(VLOOKUP(A85,'Données projet'!$A$243:$I$263,3,0)),0,VLOOKUP(A85,'Données projet'!$A$243:$I$263,3,0))</f>
        <v>11</v>
      </c>
      <c r="GH85" s="15">
        <f>IF(ISNA(VLOOKUP(A85,'Données projet'!$A$243:$I$263,4,0)),0,VLOOKUP(A85,'Données projet'!$A$243:$I$263,4,0))</f>
        <v>26</v>
      </c>
      <c r="GI85" s="16">
        <f>IF(ISNA(VLOOKUP(A85,'Données projet'!$A$243:$I$263,5,0)),0%,VLOOKUP(A85,'Données projet'!$A$243:$I$263,5,0)*VLOOKUP('Données projet'!$B$17,Paramètres!$A$1:$I$89,7,0))</f>
        <v>0.315</v>
      </c>
      <c r="GJ85" s="16">
        <f>IF(ISNA(VLOOKUP(A85,'Données projet'!$A$243:$I$263,6,0)),0%,VLOOKUP(A85,'Données projet'!$A$243:$I$263,6,0)*VLOOKUP('Données projet'!$B$17,Paramètres!$A$1:$I$89,7,0))</f>
        <v>0.13500000000000001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53.404912604724181</v>
      </c>
      <c r="GM85" s="21">
        <f>EXP(-LN(2)/25)*GM84+(1-EXP(-LN(2)/25))/(LN(2)/25)*Calculateur!GH85*Calculateur!GJ85*VLOOKUP('Données projet'!$B$17,Paramètres!$A$1:$I$89,3,0)*0.475*44/12</f>
        <v>27.910705757135851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81.315618361860032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-5.3205440053716299E-14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198.26255998041</v>
      </c>
      <c r="T86" s="59">
        <f t="shared" si="88"/>
        <v>238.62101708181166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69.611444359029392</v>
      </c>
      <c r="AA86" s="21">
        <f>EXP(-LN(2)/25)*AA85+(1-EXP(-LN(2)/25))/(LN(2)/25)*Calculateur!V86*Calculateur!X86*VLOOKUP('Données projet'!$B$9,Paramètres!$A$1:$I$89,3,0)*0.475*44/12</f>
        <v>32.908331469190379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102.51977582821976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3.4106051316484809E-13</v>
      </c>
      <c r="AJ86" s="13">
        <f>AI86*VLOOKUP('Données projet'!$B$10,Paramètres!$A$1:$I$89,3,0)*VLOOKUP('Données projet'!$B$10,Paramètres!$A$1:$I$89,5,0)</f>
        <v>1.9065282685915009E-13</v>
      </c>
      <c r="AK86" s="13">
        <f t="shared" si="89"/>
        <v>2.6568987209435707E-12</v>
      </c>
      <c r="AL86" s="20">
        <f t="shared" si="58"/>
        <v>4.959485612423072E-12</v>
      </c>
      <c r="AM86" s="59">
        <f t="shared" si="59"/>
        <v>293.33333333333826</v>
      </c>
      <c r="AN86" s="59">
        <f ca="1">AVERAGE(OFFSET($AM$3,0,0,'Données projet'!$E$10+1,1))-AVERAGE(OFFSET($H$3,0,0,'Données projet'!$E$10+1,1))</f>
        <v>347.02720636703873</v>
      </c>
      <c r="AO86" s="59">
        <f t="shared" si="90"/>
        <v>394.03759949558702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151.95437756402373</v>
      </c>
      <c r="AV86" s="21">
        <f>EXP(-LN(2)/25)*AV85+(1-EXP(-LN(2)/25))/(LN(2)/25)*Calculateur!AQ86*Calculateur!AS86*VLOOKUP('Données projet'!$B$10,Paramètres!$A$1:$I$89,3,0)*0.475*44/12</f>
        <v>70.040323929100822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221.99470149312455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-3.4106051316484809E-13</v>
      </c>
      <c r="BE86" s="13">
        <f>BD86*VLOOKUP('Données projet'!$B$11,Paramètres!$A$1:$I$89,3,0)*VLOOKUP('Données projet'!$B$11,Paramètres!$A$1:$I$89,5,0)</f>
        <v>-2.0395418687257919E-13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378.75660696651238</v>
      </c>
      <c r="BJ86" s="59">
        <f t="shared" si="92"/>
        <v>371.70674704563288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150.31695421591405</v>
      </c>
      <c r="BQ86" s="21">
        <f>EXP(-LN(2)/25)*BQ85+(1-EXP(-LN(2)/25))/(LN(2)/25)*Calculateur!BL86*Calculateur!BN86*VLOOKUP('Données projet'!$B$11,Paramètres!$A$1:$I$89,3,0)*0.475*44/12</f>
        <v>67.673448415604881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217.99040263151892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4.4444444444444446</v>
      </c>
      <c r="BY86" s="12">
        <f>IF('Données projet'!$A$114&gt;35,BY85+BX86-CG85,IF(A86&lt;'Données projet'!$A$114,$BV$205^A86,IF(A86='Données projet'!$A$114,'Données projet'!$B$114,BY85+BX86-CG85)))</f>
        <v>140.88888888888897</v>
      </c>
      <c r="BZ86" s="13">
        <f>BY86*VLOOKUP('Données projet'!$B$12,Paramètres!$A$1:$I$89,3,0)*VLOOKUP('Données projet'!$B$12,Paramètres!$A$1:$I$89,5,0)</f>
        <v>142.86133333333345</v>
      </c>
      <c r="CA86" s="13">
        <f t="shared" si="93"/>
        <v>36.951722943376375</v>
      </c>
      <c r="CB86" s="20">
        <f t="shared" si="64"/>
        <v>313.17440634860293</v>
      </c>
      <c r="CC86" s="59">
        <f t="shared" si="65"/>
        <v>606.5077396819363</v>
      </c>
      <c r="CD86" s="59">
        <f ca="1">AVERAGE(OFFSET($CC$3,0,0,'Données projet'!$E$12+1,1))-AVERAGE(OFFSET($H$3,0,0,'Données projet'!$E$12+1,1))</f>
        <v>410.75375635525211</v>
      </c>
      <c r="CE86" s="59">
        <f t="shared" si="94"/>
        <v>183.55513001437367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22.361773718008838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22.361773718008838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5.8888888888888893</v>
      </c>
      <c r="CT86" s="12">
        <f>IF('Données projet'!$A$140&gt;35,CT85+CS86-DB85,IF(A86&lt;'Données projet'!$A$140,$CQ$205^A86,IF(A86='Données projet'!$A$140,'Données projet'!$B$140,CT85+CS86-DB85)))</f>
        <v>218.11111111111114</v>
      </c>
      <c r="CU86" s="17">
        <f>CT86*VLOOKUP('Données projet'!$B$13,Paramètres!$A$1:$I$89,3,0)*VLOOKUP('Données projet'!$B$13,Paramètres!$A$1:$I$89,5,0)</f>
        <v>197.34693333333337</v>
      </c>
      <c r="CV86" s="13">
        <f t="shared" si="95"/>
        <v>49.160651584571333</v>
      </c>
      <c r="CW86" s="20">
        <f t="shared" si="67"/>
        <v>429.33404373201734</v>
      </c>
      <c r="CX86" s="59">
        <f t="shared" si="68"/>
        <v>722.66737706535059</v>
      </c>
      <c r="CY86" s="59">
        <f ca="1">AVERAGE(OFFSET($CX$3,0,0,'Données projet'!$E$13+1,1))-AVERAGE(OFFSET($H$3,0,0,'Données projet'!$E$13+1,1))</f>
        <v>436.12708882925142</v>
      </c>
      <c r="CZ86" s="59">
        <f t="shared" si="96"/>
        <v>217.65884352525285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22.68046394095224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22.68046394095224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11.8</v>
      </c>
      <c r="DO86" s="12">
        <f>IF('Données projet'!$A$166&gt;35,DO85+DN86-DW85,IF(A86&lt;'Données projet'!$A$166,$DL$205^A86,IF(A86='Données projet'!$A$166,'Données projet'!$B$166,DO85+DN86-DW85)))</f>
        <v>495.40000000000032</v>
      </c>
      <c r="DP86" s="17">
        <f>DO86*VLOOKUP('Données projet'!$B$14,Paramètres!$A$1:$I$89,3,0)*VLOOKUP('Données projet'!$B$14,Paramètres!$A$1:$I$89,5,0)</f>
        <v>471.42264000000029</v>
      </c>
      <c r="DQ86" s="13">
        <f t="shared" si="97"/>
        <v>106.11518261277051</v>
      </c>
      <c r="DR86" s="20">
        <f t="shared" si="70"/>
        <v>1005.8783743839091</v>
      </c>
      <c r="DS86" s="59">
        <f t="shared" si="71"/>
        <v>1299.2117077172425</v>
      </c>
      <c r="DT86" s="59">
        <f ca="1">AVERAGE(OFFSET($DS$3,0,0,'Données projet'!$E$14+1,1))-AVERAGE(OFFSET($H$3,0,0,'Données projet'!$E$14+1,1))</f>
        <v>735.50267870886194</v>
      </c>
      <c r="DU86" s="59">
        <f t="shared" si="98"/>
        <v>525.80345400853275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69.181084856785759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69.181084856785759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4.4444444444444446</v>
      </c>
      <c r="EJ86" s="12">
        <f>IF('Données projet'!$A$192&gt;35,EJ85+EI86-ER85,IF(A86&lt;'Données projet'!$A$192,$EG$205^A86,IF(A86='Données projet'!$A$192,'Données projet'!$B$192,EJ85+EI86-ER85)))</f>
        <v>140.88888888888897</v>
      </c>
      <c r="EK86" s="17">
        <f>EJ86*VLOOKUP('Données projet'!$B$15,Paramètres!$A$1:$I$89,3,0)*VLOOKUP('Données projet'!$B$15,Paramètres!$A$1:$I$89,5,0)</f>
        <v>90.112533333333374</v>
      </c>
      <c r="EL86" s="13">
        <f t="shared" si="99"/>
        <v>24.592363349986893</v>
      </c>
      <c r="EM86" s="20">
        <f t="shared" si="73"/>
        <v>199.77769505678279</v>
      </c>
      <c r="EN86" s="59">
        <f t="shared" si="74"/>
        <v>493.11102839011608</v>
      </c>
      <c r="EO86" s="59">
        <f ca="1">AVERAGE(OFFSET($EN$3,0,0,'Données projet'!$E$15+1,1))-AVERAGE(OFFSET($H$3,0,0,'Données projet'!$E$15+1,1))</f>
        <v>274.14900959323484</v>
      </c>
      <c r="EP86" s="59">
        <f t="shared" si="100"/>
        <v>130.44590390921582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14.105118806744041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14.105118806744041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6.9000000000000057</v>
      </c>
      <c r="FE86" s="12">
        <f>IF('Données projet'!$A$218&gt;35,FE85+FD86-FM85,IF(A86&lt;'Données projet'!$A$218,$FB$205^A86,IF(A86='Données projet'!$A$218,'Données projet'!$B$218,FE85+FD86-FM85)))</f>
        <v>547.9</v>
      </c>
      <c r="FF86" s="17">
        <f>FE86*VLOOKUP('Données projet'!$B$16,Paramètres!$A$1:$I$89,3,0)*VLOOKUP('Données projet'!$B$16,Paramètres!$A$1:$I$89,5,0)</f>
        <v>327.64420000000001</v>
      </c>
      <c r="FG86" s="13">
        <f t="shared" si="101"/>
        <v>76.941686259817288</v>
      </c>
      <c r="FH86" s="20">
        <f t="shared" si="76"/>
        <v>704.65375190251507</v>
      </c>
      <c r="FI86" s="59">
        <f t="shared" si="77"/>
        <v>997.98708523584833</v>
      </c>
      <c r="FJ86" s="59">
        <f ca="1">AVERAGE(OFFSET($FI$3,0,0,'Données projet'!$E$16+1,1))-AVERAGE(OFFSET($H$3,0,0,'Données projet'!$E$16+1,1))</f>
        <v>405.42845699663462</v>
      </c>
      <c r="FK86" s="59">
        <f t="shared" si="102"/>
        <v>292.26503163353146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52.357674842325835</v>
      </c>
      <c r="FR86" s="21">
        <f>EXP(-LN(2)/25)*FR85+(1-EXP(-LN(2)/25))/(LN(2)/25)*Calculateur!FM86*Calculateur!FO86*VLOOKUP('Données projet'!$B$16,Paramètres!$A$1:$I$89,3,0)*0.475*44/12</f>
        <v>27.147486040446747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79.505160882772586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6.9000000000000057</v>
      </c>
      <c r="FZ86" s="12">
        <f>IF('Données projet'!$A$244&gt;35,FZ85+FY86-GH85,IF(A86&lt;'Données projet'!$A$244,$FW$205^A86,IF(A86='Données projet'!$A$244,'Données projet'!$B$244,FZ85+FY86-GH85)))</f>
        <v>547.9</v>
      </c>
      <c r="GA86" s="17">
        <f>FZ86*VLOOKUP('Données projet'!$B$17,Paramètres!$A$1:$I$89,3,0)*VLOOKUP('Données projet'!$B$17,Paramètres!$A$1:$I$89,5,0)</f>
        <v>327.64420000000001</v>
      </c>
      <c r="GB86" s="13">
        <f t="shared" si="103"/>
        <v>76.941686259817288</v>
      </c>
      <c r="GC86" s="20">
        <f t="shared" si="79"/>
        <v>704.65375190251507</v>
      </c>
      <c r="GD86" s="59">
        <f t="shared" si="80"/>
        <v>997.98708523584833</v>
      </c>
      <c r="GE86" s="59">
        <f ca="1">AVERAGE(OFFSET($GD$3,0,0,'Données projet'!$E$17+1,1))-AVERAGE(OFFSET($H$3,0,0,'Données projet'!$E$17+1,1))</f>
        <v>405.42845699663462</v>
      </c>
      <c r="GF86" s="59">
        <f t="shared" si="104"/>
        <v>292.26503163353146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52.357674842325835</v>
      </c>
      <c r="GM86" s="21">
        <f>EXP(-LN(2)/25)*GM85+(1-EXP(-LN(2)/25))/(LN(2)/25)*Calculateur!GH86*Calculateur!GJ86*VLOOKUP('Données projet'!$B$17,Paramètres!$A$1:$I$89,3,0)*0.475*44/12</f>
        <v>27.147486040446747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79.505160882772586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-5.3205440053716299E-14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198.26255998041</v>
      </c>
      <c r="T87" s="59">
        <f t="shared" si="88"/>
        <v>238.62101708181166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68.246406393937434</v>
      </c>
      <c r="AA87" s="21">
        <f>EXP(-LN(2)/25)*AA86+(1-EXP(-LN(2)/25))/(LN(2)/25)*Calculateur!V87*Calculateur!X87*VLOOKUP('Données projet'!$B$9,Paramètres!$A$1:$I$89,3,0)*0.475*44/12</f>
        <v>32.008451414591427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100.25485780852887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3.4106051316484809E-13</v>
      </c>
      <c r="AJ87" s="13">
        <f>AI87*VLOOKUP('Données projet'!$B$10,Paramètres!$A$1:$I$89,3,0)*VLOOKUP('Données projet'!$B$10,Paramètres!$A$1:$I$89,5,0)</f>
        <v>1.9065282685915009E-13</v>
      </c>
      <c r="AK87" s="13">
        <f t="shared" si="89"/>
        <v>2.6568987209435707E-12</v>
      </c>
      <c r="AL87" s="20">
        <f t="shared" si="58"/>
        <v>4.959485612423072E-12</v>
      </c>
      <c r="AM87" s="59">
        <f t="shared" si="59"/>
        <v>293.33333333333826</v>
      </c>
      <c r="AN87" s="59">
        <f ca="1">AVERAGE(OFFSET($AM$3,0,0,'Données projet'!$E$10+1,1))-AVERAGE(OFFSET($H$3,0,0,'Données projet'!$E$10+1,1))</f>
        <v>347.02720636703873</v>
      </c>
      <c r="AO87" s="59">
        <f t="shared" si="90"/>
        <v>394.03759949558702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148.97464490301186</v>
      </c>
      <c r="AV87" s="21">
        <f>EXP(-LN(2)/25)*AV86+(1-EXP(-LN(2)/25))/(LN(2)/25)*Calculateur!AQ87*Calculateur!AS87*VLOOKUP('Données projet'!$B$10,Paramètres!$A$1:$I$89,3,0)*0.475*44/12</f>
        <v>68.125067587998998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217.09971249101085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-3.4106051316484809E-13</v>
      </c>
      <c r="BE87" s="13">
        <f>BD87*VLOOKUP('Données projet'!$B$11,Paramètres!$A$1:$I$89,3,0)*VLOOKUP('Données projet'!$B$11,Paramètres!$A$1:$I$89,5,0)</f>
        <v>-2.0395418687257919E-13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378.75660696651238</v>
      </c>
      <c r="BJ87" s="59">
        <f t="shared" si="92"/>
        <v>371.70674704563288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147.36933042802897</v>
      </c>
      <c r="BQ87" s="21">
        <f>EXP(-LN(2)/25)*BQ86+(1-EXP(-LN(2)/25))/(LN(2)/25)*Calculateur!BL87*Calculateur!BN87*VLOOKUP('Données projet'!$B$11,Paramètres!$A$1:$I$89,3,0)*0.475*44/12</f>
        <v>65.822914409888185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213.19224483791714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4.4444444444444446</v>
      </c>
      <c r="BY87" s="12">
        <f>IF('Données projet'!$A$114&gt;35,BY86+BX87-CG86,IF(A87&lt;'Données projet'!$A$114,$BV$205^A87,IF(A87='Données projet'!$A$114,'Données projet'!$B$114,BY86+BX87-CG86)))</f>
        <v>145.33333333333343</v>
      </c>
      <c r="BZ87" s="13">
        <f>BY87*VLOOKUP('Données projet'!$B$12,Paramètres!$A$1:$I$89,3,0)*VLOOKUP('Données projet'!$B$12,Paramètres!$A$1:$I$89,5,0)</f>
        <v>147.36800000000011</v>
      </c>
      <c r="CA87" s="13">
        <f t="shared" si="93"/>
        <v>37.979839328959663</v>
      </c>
      <c r="CB87" s="20">
        <f t="shared" si="64"/>
        <v>322.81415349793821</v>
      </c>
      <c r="CC87" s="59">
        <f t="shared" si="65"/>
        <v>616.14748683127152</v>
      </c>
      <c r="CD87" s="59">
        <f ca="1">AVERAGE(OFFSET($CC$3,0,0,'Données projet'!$E$12+1,1))-AVERAGE(OFFSET($H$3,0,0,'Données projet'!$E$12+1,1))</f>
        <v>410.75375635525211</v>
      </c>
      <c r="CE87" s="59">
        <f t="shared" si="94"/>
        <v>183.55513001437367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21.92327297473388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21.92327297473388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>
        <f>VLOOKUP(A87,'Données projet'!$A$139:$I$159,2,0)</f>
        <v>224</v>
      </c>
      <c r="CR87" s="12">
        <f>VLOOKUP(A87,'Données projet'!$A$139:$I$159,9,0)</f>
        <v>5.8888888888888893</v>
      </c>
      <c r="CS87" s="12">
        <f t="array" ref="CS87">INDEX(CR:CR,MIN(IF(ISNUMBER(CR87:CR283),ROW(CR87:CR283),"")))</f>
        <v>5.8888888888888893</v>
      </c>
      <c r="CT87" s="12">
        <f>IF('Données projet'!$A$140&gt;35,CT86+CS87-DB86,IF(A87&lt;'Données projet'!$A$140,$CQ$205^A87,IF(A87='Données projet'!$A$140,'Données projet'!$B$140,CT86+CS87-DB86)))</f>
        <v>224.00000000000003</v>
      </c>
      <c r="CU87" s="17">
        <f>CT87*VLOOKUP('Données projet'!$B$13,Paramètres!$A$1:$I$89,3,0)*VLOOKUP('Données projet'!$B$13,Paramètres!$A$1:$I$89,5,0)</f>
        <v>202.67520000000002</v>
      </c>
      <c r="CV87" s="13">
        <f t="shared" si="95"/>
        <v>50.331640285313689</v>
      </c>
      <c r="CW87" s="20">
        <f t="shared" si="67"/>
        <v>440.653580163588</v>
      </c>
      <c r="CX87" s="59">
        <f t="shared" si="68"/>
        <v>733.98691349692126</v>
      </c>
      <c r="CY87" s="59">
        <f ca="1">AVERAGE(OFFSET($CX$3,0,0,'Données projet'!$E$13+1,1))-AVERAGE(OFFSET($H$3,0,0,'Données projet'!$E$13+1,1))</f>
        <v>436.12708882925142</v>
      </c>
      <c r="CZ87" s="59">
        <f t="shared" si="96"/>
        <v>217.65884352525285</v>
      </c>
      <c r="DA87" s="15">
        <f>IF(ISNA(VLOOKUP(A87,'Données projet'!$A$139:$I$159,3,0)),0,VLOOKUP(A87,'Données projet'!$A$139:$I$159,3,0))</f>
        <v>6</v>
      </c>
      <c r="DB87" s="15">
        <f>IF(ISNA(VLOOKUP(A87,'Données projet'!$A$139:$I$159,4,0)),0,VLOOKUP(A87,'Données projet'!$A$139:$I$159,4,0))</f>
        <v>36</v>
      </c>
      <c r="DC87" s="16">
        <f>IF(ISNA(VLOOKUP(A87,'Données projet'!$A$139:$I$159,5,0)),0%,VLOOKUP(A87,'Données projet'!$A$139:$I$159,5,0)*VLOOKUP('Données projet'!$B$13,Paramètres!$A$1:$I$89,7,0))</f>
        <v>0.25800000000000001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31.525846396027532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31.525846396027532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11.8</v>
      </c>
      <c r="DO87" s="12">
        <f>IF('Données projet'!$A$166&gt;35,DO86+DN87-DW86,IF(A87&lt;'Données projet'!$A$166,$DL$205^A87,IF(A87='Données projet'!$A$166,'Données projet'!$B$166,DO86+DN87-DW86)))</f>
        <v>507.20000000000033</v>
      </c>
      <c r="DP87" s="17">
        <f>DO87*VLOOKUP('Données projet'!$B$14,Paramètres!$A$1:$I$89,3,0)*VLOOKUP('Données projet'!$B$14,Paramètres!$A$1:$I$89,5,0)</f>
        <v>482.65152000000029</v>
      </c>
      <c r="DQ87" s="13">
        <f t="shared" si="97"/>
        <v>108.34547625745931</v>
      </c>
      <c r="DR87" s="20">
        <f t="shared" si="70"/>
        <v>1029.3197684817421</v>
      </c>
      <c r="DS87" s="59">
        <f t="shared" si="71"/>
        <v>1322.6531018150754</v>
      </c>
      <c r="DT87" s="59">
        <f ca="1">AVERAGE(OFFSET($DS$3,0,0,'Données projet'!$E$14+1,1))-AVERAGE(OFFSET($H$3,0,0,'Données projet'!$E$14+1,1))</f>
        <v>735.50267870886194</v>
      </c>
      <c r="DU87" s="59">
        <f t="shared" si="98"/>
        <v>525.80345400853275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67.824485979039409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67.824485979039409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4.4444444444444446</v>
      </c>
      <c r="EJ87" s="12">
        <f>IF('Données projet'!$A$192&gt;35,EJ86+EI87-ER86,IF(A87&lt;'Données projet'!$A$192,$EG$205^A87,IF(A87='Données projet'!$A$192,'Données projet'!$B$192,EJ86+EI87-ER86)))</f>
        <v>145.33333333333343</v>
      </c>
      <c r="EK87" s="17">
        <f>EJ87*VLOOKUP('Données projet'!$B$15,Paramètres!$A$1:$I$89,3,0)*VLOOKUP('Données projet'!$B$15,Paramètres!$A$1:$I$89,5,0)</f>
        <v>92.955200000000062</v>
      </c>
      <c r="EL87" s="13">
        <f t="shared" si="99"/>
        <v>25.276602397759685</v>
      </c>
      <c r="EM87" s="20">
        <f t="shared" si="73"/>
        <v>205.92038917609821</v>
      </c>
      <c r="EN87" s="59">
        <f t="shared" si="74"/>
        <v>499.25372250943155</v>
      </c>
      <c r="EO87" s="59">
        <f ca="1">AVERAGE(OFFSET($EN$3,0,0,'Données projet'!$E$15+1,1))-AVERAGE(OFFSET($H$3,0,0,'Données projet'!$E$15+1,1))</f>
        <v>274.14900959323484</v>
      </c>
      <c r="EP87" s="59">
        <f t="shared" si="100"/>
        <v>130.44590390921582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13.828526030216761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13.828526030216761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6.9000000000000057</v>
      </c>
      <c r="FE87" s="12">
        <f>IF('Données projet'!$A$218&gt;35,FE86+FD87-FM86,IF(A87&lt;'Données projet'!$A$218,$FB$205^A87,IF(A87='Données projet'!$A$218,'Données projet'!$B$218,FE86+FD87-FM86)))</f>
        <v>554.79999999999995</v>
      </c>
      <c r="FF87" s="17">
        <f>FE87*VLOOKUP('Données projet'!$B$16,Paramètres!$A$1:$I$89,3,0)*VLOOKUP('Données projet'!$B$16,Paramètres!$A$1:$I$89,5,0)</f>
        <v>331.7704</v>
      </c>
      <c r="FG87" s="13">
        <f t="shared" si="101"/>
        <v>77.797241883601728</v>
      </c>
      <c r="FH87" s="20">
        <f t="shared" si="76"/>
        <v>713.33030961393968</v>
      </c>
      <c r="FI87" s="59">
        <f t="shared" si="77"/>
        <v>1006.663642947273</v>
      </c>
      <c r="FJ87" s="59">
        <f ca="1">AVERAGE(OFFSET($FI$3,0,0,'Données projet'!$E$16+1,1))-AVERAGE(OFFSET($H$3,0,0,'Données projet'!$E$16+1,1))</f>
        <v>405.42845699663462</v>
      </c>
      <c r="FK87" s="59">
        <f t="shared" si="102"/>
        <v>292.26503163353146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51.330972773696161</v>
      </c>
      <c r="FR87" s="21">
        <f>EXP(-LN(2)/25)*FR86+(1-EXP(-LN(2)/25))/(LN(2)/25)*Calculateur!FM87*Calculateur!FO87*VLOOKUP('Données projet'!$B$16,Paramètres!$A$1:$I$89,3,0)*0.475*44/12</f>
        <v>26.405136607046487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77.736109380742647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6.9000000000000057</v>
      </c>
      <c r="FZ87" s="12">
        <f>IF('Données projet'!$A$244&gt;35,FZ86+FY87-GH86,IF(A87&lt;'Données projet'!$A$244,$FW$205^A87,IF(A87='Données projet'!$A$244,'Données projet'!$B$244,FZ86+FY87-GH86)))</f>
        <v>554.79999999999995</v>
      </c>
      <c r="GA87" s="17">
        <f>FZ87*VLOOKUP('Données projet'!$B$17,Paramètres!$A$1:$I$89,3,0)*VLOOKUP('Données projet'!$B$17,Paramètres!$A$1:$I$89,5,0)</f>
        <v>331.7704</v>
      </c>
      <c r="GB87" s="13">
        <f t="shared" si="103"/>
        <v>77.797241883601728</v>
      </c>
      <c r="GC87" s="20">
        <f t="shared" si="79"/>
        <v>713.33030961393968</v>
      </c>
      <c r="GD87" s="59">
        <f t="shared" si="80"/>
        <v>1006.663642947273</v>
      </c>
      <c r="GE87" s="59">
        <f ca="1">AVERAGE(OFFSET($GD$3,0,0,'Données projet'!$E$17+1,1))-AVERAGE(OFFSET($H$3,0,0,'Données projet'!$E$17+1,1))</f>
        <v>405.42845699663462</v>
      </c>
      <c r="GF87" s="59">
        <f t="shared" si="104"/>
        <v>292.26503163353146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51.330972773696161</v>
      </c>
      <c r="GM87" s="21">
        <f>EXP(-LN(2)/25)*GM86+(1-EXP(-LN(2)/25))/(LN(2)/25)*Calculateur!GH87*Calculateur!GJ87*VLOOKUP('Données projet'!$B$17,Paramètres!$A$1:$I$89,3,0)*0.475*44/12</f>
        <v>26.405136607046487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77.736109380742647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-5.3205440053716299E-14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198.26255998041</v>
      </c>
      <c r="T88" s="59">
        <f t="shared" si="88"/>
        <v>238.62101708181166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66.908135990749969</v>
      </c>
      <c r="AA88" s="21">
        <f>EXP(-LN(2)/25)*AA87+(1-EXP(-LN(2)/25))/(LN(2)/25)*Calculateur!V88*Calculateur!X88*VLOOKUP('Données projet'!$B$9,Paramètres!$A$1:$I$89,3,0)*0.475*44/12</f>
        <v>31.133178627408121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98.041314618158083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3.4106051316484809E-13</v>
      </c>
      <c r="AJ88" s="13">
        <f>AI88*VLOOKUP('Données projet'!$B$10,Paramètres!$A$1:$I$89,3,0)*VLOOKUP('Données projet'!$B$10,Paramètres!$A$1:$I$89,5,0)</f>
        <v>1.9065282685915009E-13</v>
      </c>
      <c r="AK88" s="13">
        <f t="shared" si="89"/>
        <v>2.6568987209435707E-12</v>
      </c>
      <c r="AL88" s="20">
        <f t="shared" si="58"/>
        <v>4.959485612423072E-12</v>
      </c>
      <c r="AM88" s="59">
        <f t="shared" si="59"/>
        <v>293.33333333333826</v>
      </c>
      <c r="AN88" s="59">
        <f ca="1">AVERAGE(OFFSET($AM$3,0,0,'Données projet'!$E$10+1,1))-AVERAGE(OFFSET($H$3,0,0,'Données projet'!$E$10+1,1))</f>
        <v>347.02720636703873</v>
      </c>
      <c r="AO88" s="59">
        <f t="shared" si="90"/>
        <v>394.03759949558702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146.05334298202496</v>
      </c>
      <c r="AV88" s="21">
        <f>EXP(-LN(2)/25)*AV87+(1-EXP(-LN(2)/25))/(LN(2)/25)*Calculateur!AQ88*Calculateur!AS88*VLOOKUP('Données projet'!$B$10,Paramètres!$A$1:$I$89,3,0)*0.475*44/12</f>
        <v>66.262184032263562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212.31552701428853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-3.4106051316484809E-13</v>
      </c>
      <c r="BE88" s="13">
        <f>BD88*VLOOKUP('Données projet'!$B$11,Paramètres!$A$1:$I$89,3,0)*VLOOKUP('Données projet'!$B$11,Paramètres!$A$1:$I$89,5,0)</f>
        <v>-2.0395418687257919E-13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378.75660696651238</v>
      </c>
      <c r="BJ88" s="59">
        <f t="shared" si="92"/>
        <v>371.70674704563288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144.47950774475134</v>
      </c>
      <c r="BQ88" s="21">
        <f>EXP(-LN(2)/25)*BQ87+(1-EXP(-LN(2)/25))/(LN(2)/25)*Calculateur!BL88*Calculateur!BN88*VLOOKUP('Données projet'!$B$11,Paramètres!$A$1:$I$89,3,0)*0.475*44/12</f>
        <v>64.022983353873158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208.50249109862449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4.4444444444444446</v>
      </c>
      <c r="BY88" s="12">
        <f>IF('Données projet'!$A$114&gt;35,BY87+BX88-CG87,IF(A88&lt;'Données projet'!$A$114,$BV$205^A88,IF(A88='Données projet'!$A$114,'Données projet'!$B$114,BY87+BX88-CG87)))</f>
        <v>149.77777777777789</v>
      </c>
      <c r="BZ88" s="13">
        <f>BY88*VLOOKUP('Données projet'!$B$12,Paramètres!$A$1:$I$89,3,0)*VLOOKUP('Données projet'!$B$12,Paramètres!$A$1:$I$89,5,0)</f>
        <v>151.87466666666677</v>
      </c>
      <c r="CA88" s="13">
        <f t="shared" si="93"/>
        <v>39.004301901686254</v>
      </c>
      <c r="CB88" s="20">
        <f t="shared" si="64"/>
        <v>332.44753692321484</v>
      </c>
      <c r="CC88" s="59">
        <f t="shared" si="65"/>
        <v>625.78087025654816</v>
      </c>
      <c r="CD88" s="59">
        <f ca="1">AVERAGE(OFFSET($CC$3,0,0,'Données projet'!$E$12+1,1))-AVERAGE(OFFSET($H$3,0,0,'Données projet'!$E$12+1,1))</f>
        <v>410.75375635525211</v>
      </c>
      <c r="CE88" s="59">
        <f t="shared" si="94"/>
        <v>183.55513001437367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21.493370963575501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21.493370963575501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5.7777777777777777</v>
      </c>
      <c r="CT88" s="12">
        <f>IF('Données projet'!$A$140&gt;35,CT87+CS88-DB87,IF(A88&lt;'Données projet'!$A$140,$CQ$205^A88,IF(A88='Données projet'!$A$140,'Données projet'!$B$140,CT87+CS88-DB87)))</f>
        <v>193.7777777777778</v>
      </c>
      <c r="CU88" s="17">
        <f>CT88*VLOOKUP('Données projet'!$B$13,Paramètres!$A$1:$I$89,3,0)*VLOOKUP('Données projet'!$B$13,Paramètres!$A$1:$I$89,5,0)</f>
        <v>175.33013333333335</v>
      </c>
      <c r="CV88" s="13">
        <f t="shared" si="95"/>
        <v>44.281642764467087</v>
      </c>
      <c r="CW88" s="20">
        <f t="shared" si="67"/>
        <v>382.49051003700242</v>
      </c>
      <c r="CX88" s="59">
        <f t="shared" si="68"/>
        <v>675.82384337033568</v>
      </c>
      <c r="CY88" s="59">
        <f ca="1">AVERAGE(OFFSET($CX$3,0,0,'Données projet'!$E$13+1,1))-AVERAGE(OFFSET($H$3,0,0,'Données projet'!$E$13+1,1))</f>
        <v>436.12708882925142</v>
      </c>
      <c r="CZ88" s="59">
        <f t="shared" si="96"/>
        <v>217.65884352525285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30.90764377706904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30.90764377706904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519</v>
      </c>
      <c r="DM88" s="12">
        <f>VLOOKUP(A88,'Données projet'!$A$165:$I$185,9,0)</f>
        <v>11.8</v>
      </c>
      <c r="DN88" s="12">
        <f t="array" ref="DN88">INDEX(DM:DM,MIN(IF(ISNUMBER(DM88:DM284),ROW(DM88:DM284),"")))</f>
        <v>11.8</v>
      </c>
      <c r="DO88" s="12">
        <f>IF('Données projet'!$A$166&gt;35,DO87+DN88-DW87,IF(A88&lt;'Données projet'!$A$166,$DL$205^A88,IF(A88='Données projet'!$A$166,'Données projet'!$B$166,DO87+DN88-DW87)))</f>
        <v>519.00000000000034</v>
      </c>
      <c r="DP88" s="17">
        <f>DO88*VLOOKUP('Données projet'!$B$14,Paramètres!$A$1:$I$89,3,0)*VLOOKUP('Données projet'!$B$14,Paramètres!$A$1:$I$89,5,0)</f>
        <v>493.88040000000035</v>
      </c>
      <c r="DQ88" s="13">
        <f t="shared" si="97"/>
        <v>110.56973776389034</v>
      </c>
      <c r="DR88" s="20">
        <f t="shared" si="70"/>
        <v>1052.7506566054428</v>
      </c>
      <c r="DS88" s="59">
        <f t="shared" si="71"/>
        <v>1346.0839899387761</v>
      </c>
      <c r="DT88" s="59">
        <f ca="1">AVERAGE(OFFSET($DS$3,0,0,'Données projet'!$E$14+1,1))-AVERAGE(OFFSET($H$3,0,0,'Données projet'!$E$14+1,1))</f>
        <v>735.50267870886194</v>
      </c>
      <c r="DU88" s="59">
        <f t="shared" si="98"/>
        <v>525.80345400853275</v>
      </c>
      <c r="DV88" s="15">
        <f>IF(ISNA(VLOOKUP(A88,'Données projet'!$A$165:$I$185,3,0)),0,VLOOKUP(A88,'Données projet'!$A$165:$I$185,3,0))</f>
        <v>15</v>
      </c>
      <c r="DW88" s="15">
        <f>IF(ISNA(VLOOKUP(A88,'Données projet'!$A$165:$I$185,4,0)),0,VLOOKUP(A88,'Données projet'!$A$165:$I$185,4,0))</f>
        <v>51</v>
      </c>
      <c r="DX88" s="16">
        <f>IF(ISNA(VLOOKUP(A88,'Données projet'!$A$165:$I$185,5,0)),0%,VLOOKUP(A88,'Données projet'!$A$165:$I$185,5,0)*VLOOKUP('Données projet'!$B$14,Paramètres!$A$1:$I$89,7,0))</f>
        <v>0.25800000000000001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80.336252715848119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80.336252715848119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4.4444444444444446</v>
      </c>
      <c r="EJ88" s="12">
        <f>IF('Données projet'!$A$192&gt;35,EJ87+EI88-ER87,IF(A88&lt;'Données projet'!$A$192,$EG$205^A88,IF(A88='Données projet'!$A$192,'Données projet'!$B$192,EJ87+EI88-ER87)))</f>
        <v>149.77777777777789</v>
      </c>
      <c r="EK88" s="17">
        <f>EJ88*VLOOKUP('Données projet'!$B$15,Paramètres!$A$1:$I$89,3,0)*VLOOKUP('Données projet'!$B$15,Paramètres!$A$1:$I$89,5,0)</f>
        <v>95.797866666666735</v>
      </c>
      <c r="EL88" s="13">
        <f t="shared" si="99"/>
        <v>25.95840973501322</v>
      </c>
      <c r="EM88" s="20">
        <f t="shared" si="73"/>
        <v>212.05884806625923</v>
      </c>
      <c r="EN88" s="59">
        <f t="shared" si="74"/>
        <v>505.39218139959257</v>
      </c>
      <c r="EO88" s="59">
        <f ca="1">AVERAGE(OFFSET($EN$3,0,0,'Données projet'!$E$15+1,1))-AVERAGE(OFFSET($H$3,0,0,'Données projet'!$E$15+1,1))</f>
        <v>274.14900959323484</v>
      </c>
      <c r="EP88" s="59">
        <f t="shared" si="100"/>
        <v>130.44590390921582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13.557357069332244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13.557357069332244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6.9000000000000057</v>
      </c>
      <c r="FE88" s="12">
        <f>IF('Données projet'!$A$218&gt;35,FE87+FD88-FM87,IF(A88&lt;'Données projet'!$A$218,$FB$205^A88,IF(A88='Données projet'!$A$218,'Données projet'!$B$218,FE87+FD88-FM87)))</f>
        <v>561.69999999999993</v>
      </c>
      <c r="FF88" s="17">
        <f>FE88*VLOOKUP('Données projet'!$B$16,Paramètres!$A$1:$I$89,3,0)*VLOOKUP('Données projet'!$B$16,Paramètres!$A$1:$I$89,5,0)</f>
        <v>335.89660000000003</v>
      </c>
      <c r="FG88" s="13">
        <f t="shared" si="101"/>
        <v>78.651559818783284</v>
      </c>
      <c r="FH88" s="20">
        <f t="shared" si="76"/>
        <v>722.00471168438105</v>
      </c>
      <c r="FI88" s="59">
        <f t="shared" si="77"/>
        <v>1015.3380450177144</v>
      </c>
      <c r="FJ88" s="59">
        <f ca="1">AVERAGE(OFFSET($FI$3,0,0,'Données projet'!$E$16+1,1))-AVERAGE(OFFSET($H$3,0,0,'Données projet'!$E$16+1,1))</f>
        <v>405.42845699663462</v>
      </c>
      <c r="FK88" s="59">
        <f t="shared" si="102"/>
        <v>292.26503163353146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50.324403706405882</v>
      </c>
      <c r="FR88" s="21">
        <f>EXP(-LN(2)/25)*FR87+(1-EXP(-LN(2)/25))/(LN(2)/25)*Calculateur!FM88*Calculateur!FO88*VLOOKUP('Données projet'!$B$16,Paramètres!$A$1:$I$89,3,0)*0.475*44/12</f>
        <v>25.683086757941016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76.007490464346901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6.9000000000000057</v>
      </c>
      <c r="FZ88" s="12">
        <f>IF('Données projet'!$A$244&gt;35,FZ87+FY88-GH87,IF(A88&lt;'Données projet'!$A$244,$FW$205^A88,IF(A88='Données projet'!$A$244,'Données projet'!$B$244,FZ87+FY88-GH87)))</f>
        <v>561.69999999999993</v>
      </c>
      <c r="GA88" s="17">
        <f>FZ88*VLOOKUP('Données projet'!$B$17,Paramètres!$A$1:$I$89,3,0)*VLOOKUP('Données projet'!$B$17,Paramètres!$A$1:$I$89,5,0)</f>
        <v>335.89660000000003</v>
      </c>
      <c r="GB88" s="13">
        <f t="shared" si="103"/>
        <v>78.651559818783284</v>
      </c>
      <c r="GC88" s="20">
        <f t="shared" si="79"/>
        <v>722.00471168438105</v>
      </c>
      <c r="GD88" s="59">
        <f t="shared" si="80"/>
        <v>1015.3380450177144</v>
      </c>
      <c r="GE88" s="59">
        <f ca="1">AVERAGE(OFFSET($GD$3,0,0,'Données projet'!$E$17+1,1))-AVERAGE(OFFSET($H$3,0,0,'Données projet'!$E$17+1,1))</f>
        <v>405.42845699663462</v>
      </c>
      <c r="GF88" s="59">
        <f t="shared" si="104"/>
        <v>292.26503163353146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50.324403706405882</v>
      </c>
      <c r="GM88" s="21">
        <f>EXP(-LN(2)/25)*GM87+(1-EXP(-LN(2)/25))/(LN(2)/25)*Calculateur!GH88*Calculateur!GJ88*VLOOKUP('Données projet'!$B$17,Paramètres!$A$1:$I$89,3,0)*0.475*44/12</f>
        <v>25.683086757941016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76.007490464346901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-5.3205440053716299E-14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198.26255998041</v>
      </c>
      <c r="T89" s="59">
        <f t="shared" si="88"/>
        <v>238.62101708181166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65.596108253904674</v>
      </c>
      <c r="AA89" s="21">
        <f>EXP(-LN(2)/25)*AA88+(1-EXP(-LN(2)/25))/(LN(2)/25)*Calculateur!V89*Calculateur!X89*VLOOKUP('Données projet'!$B$9,Paramètres!$A$1:$I$89,3,0)*0.475*44/12</f>
        <v>30.281840220618939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95.877948474523606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3.4106051316484809E-13</v>
      </c>
      <c r="AJ89" s="13">
        <f>AI89*VLOOKUP('Données projet'!$B$10,Paramètres!$A$1:$I$89,3,0)*VLOOKUP('Données projet'!$B$10,Paramètres!$A$1:$I$89,5,0)</f>
        <v>1.9065282685915009E-13</v>
      </c>
      <c r="AK89" s="13">
        <f t="shared" si="89"/>
        <v>2.6568987209435707E-12</v>
      </c>
      <c r="AL89" s="20">
        <f t="shared" si="58"/>
        <v>4.959485612423072E-12</v>
      </c>
      <c r="AM89" s="59">
        <f t="shared" si="59"/>
        <v>293.33333333333826</v>
      </c>
      <c r="AN89" s="59">
        <f ca="1">AVERAGE(OFFSET($AM$3,0,0,'Données projet'!$E$10+1,1))-AVERAGE(OFFSET($H$3,0,0,'Données projet'!$E$10+1,1))</f>
        <v>347.02720636703873</v>
      </c>
      <c r="AO89" s="59">
        <f t="shared" si="90"/>
        <v>394.03759949558702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143.18932600989038</v>
      </c>
      <c r="AV89" s="21">
        <f>EXP(-LN(2)/25)*AV88+(1-EXP(-LN(2)/25))/(LN(2)/25)*Calculateur!AQ89*Calculateur!AS89*VLOOKUP('Données projet'!$B$10,Paramètres!$A$1:$I$89,3,0)*0.475*44/12</f>
        <v>64.450241125324496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207.63956713521486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-3.4106051316484809E-13</v>
      </c>
      <c r="BE89" s="13">
        <f>BD89*VLOOKUP('Données projet'!$B$11,Paramètres!$A$1:$I$89,3,0)*VLOOKUP('Données projet'!$B$11,Paramètres!$A$1:$I$89,5,0)</f>
        <v>-2.0395418687257919E-13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378.75660696651238</v>
      </c>
      <c r="BJ89" s="59">
        <f t="shared" si="92"/>
        <v>371.70674704563288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141.64635272167499</v>
      </c>
      <c r="BQ89" s="21">
        <f>EXP(-LN(2)/25)*BQ88+(1-EXP(-LN(2)/25))/(LN(2)/25)*Calculateur!BL89*Calculateur!BN89*VLOOKUP('Données projet'!$B$11,Paramètres!$A$1:$I$89,3,0)*0.475*44/12</f>
        <v>62.272271507239125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203.9186242289141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4.4444444444444446</v>
      </c>
      <c r="BY89" s="12">
        <f>IF('Données projet'!$A$114&gt;35,BY88+BX89-CG88,IF(A89&lt;'Données projet'!$A$114,$BV$205^A89,IF(A89='Données projet'!$A$114,'Données projet'!$B$114,BY88+BX89-CG88)))</f>
        <v>154.22222222222234</v>
      </c>
      <c r="BZ89" s="13">
        <f>BY89*VLOOKUP('Données projet'!$B$12,Paramètres!$A$1:$I$89,3,0)*VLOOKUP('Données projet'!$B$12,Paramètres!$A$1:$I$89,5,0)</f>
        <v>156.38133333333346</v>
      </c>
      <c r="CA89" s="13">
        <f t="shared" si="93"/>
        <v>40.025231530759186</v>
      </c>
      <c r="CB89" s="20">
        <f t="shared" si="64"/>
        <v>342.07476713829465</v>
      </c>
      <c r="CC89" s="59">
        <f t="shared" si="65"/>
        <v>635.4081004716279</v>
      </c>
      <c r="CD89" s="59">
        <f ca="1">AVERAGE(OFFSET($CC$3,0,0,'Données projet'!$E$12+1,1))-AVERAGE(OFFSET($H$3,0,0,'Données projet'!$E$12+1,1))</f>
        <v>410.75375635525211</v>
      </c>
      <c r="CE89" s="59">
        <f t="shared" si="94"/>
        <v>183.55513001437367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21.071899068641603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21.071899068641603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5.7777777777777777</v>
      </c>
      <c r="CT89" s="12">
        <f>IF('Données projet'!$A$140&gt;35,CT88+CS89-DB88,IF(A89&lt;'Données projet'!$A$140,$CQ$205^A89,IF(A89='Données projet'!$A$140,'Données projet'!$B$140,CT88+CS89-DB88)))</f>
        <v>199.55555555555557</v>
      </c>
      <c r="CU89" s="17">
        <f>CT89*VLOOKUP('Données projet'!$B$13,Paramètres!$A$1:$I$89,3,0)*VLOOKUP('Données projet'!$B$13,Paramètres!$A$1:$I$89,5,0)</f>
        <v>180.55786666666668</v>
      </c>
      <c r="CV89" s="13">
        <f t="shared" si="95"/>
        <v>45.446278860104456</v>
      </c>
      <c r="CW89" s="20">
        <f t="shared" si="67"/>
        <v>393.6238867924597</v>
      </c>
      <c r="CX89" s="59">
        <f t="shared" si="68"/>
        <v>686.95722012579301</v>
      </c>
      <c r="CY89" s="59">
        <f ca="1">AVERAGE(OFFSET($CX$3,0,0,'Données projet'!$E$13+1,1))-AVERAGE(OFFSET($H$3,0,0,'Données projet'!$E$13+1,1))</f>
        <v>436.12708882925142</v>
      </c>
      <c r="CZ89" s="59">
        <f t="shared" si="96"/>
        <v>217.65884352525285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30.301563734401959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30.301563734401959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11.4</v>
      </c>
      <c r="DO89" s="12">
        <f>IF('Données projet'!$A$166&gt;35,DO88+DN89-DW88,IF(A89&lt;'Données projet'!$A$166,$DL$205^A89,IF(A89='Données projet'!$A$166,'Données projet'!$B$166,DO88+DN89-DW88)))</f>
        <v>479.40000000000032</v>
      </c>
      <c r="DP89" s="17">
        <f>DO89*VLOOKUP('Données projet'!$B$14,Paramètres!$A$1:$I$89,3,0)*VLOOKUP('Données projet'!$B$14,Paramètres!$A$1:$I$89,5,0)</f>
        <v>456.1970400000003</v>
      </c>
      <c r="DQ89" s="13">
        <f t="shared" si="97"/>
        <v>103.08113248911182</v>
      </c>
      <c r="DR89" s="20">
        <f t="shared" si="70"/>
        <v>974.07615041853694</v>
      </c>
      <c r="DS89" s="59">
        <f t="shared" si="71"/>
        <v>1267.4094837518703</v>
      </c>
      <c r="DT89" s="59">
        <f ca="1">AVERAGE(OFFSET($DS$3,0,0,'Données projet'!$E$14+1,1))-AVERAGE(OFFSET($H$3,0,0,'Données projet'!$E$14+1,1))</f>
        <v>735.50267870886194</v>
      </c>
      <c r="DU89" s="59">
        <f t="shared" si="98"/>
        <v>525.80345400853275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78.760907800366112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78.760907800366112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4.4444444444444446</v>
      </c>
      <c r="EJ89" s="12">
        <f>IF('Données projet'!$A$192&gt;35,EJ88+EI89-ER88,IF(A89&lt;'Données projet'!$A$192,$EG$205^A89,IF(A89='Données projet'!$A$192,'Données projet'!$B$192,EJ88+EI89-ER88)))</f>
        <v>154.22222222222234</v>
      </c>
      <c r="EK89" s="17">
        <f>EJ89*VLOOKUP('Données projet'!$B$15,Paramètres!$A$1:$I$89,3,0)*VLOOKUP('Données projet'!$B$15,Paramètres!$A$1:$I$89,5,0)</f>
        <v>98.640533333333408</v>
      </c>
      <c r="EL89" s="13">
        <f t="shared" si="99"/>
        <v>26.637865803446157</v>
      </c>
      <c r="EM89" s="20">
        <f t="shared" si="73"/>
        <v>218.19321182989106</v>
      </c>
      <c r="EN89" s="59">
        <f t="shared" si="74"/>
        <v>511.52654516322434</v>
      </c>
      <c r="EO89" s="59">
        <f ca="1">AVERAGE(OFFSET($EN$3,0,0,'Données projet'!$E$15+1,1))-AVERAGE(OFFSET($H$3,0,0,'Données projet'!$E$15+1,1))</f>
        <v>274.14900959323484</v>
      </c>
      <c r="EP89" s="59">
        <f t="shared" si="100"/>
        <v>130.44590390921582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13.291505566373939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13.291505566373939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6.9000000000000057</v>
      </c>
      <c r="FE89" s="12">
        <f>IF('Données projet'!$A$218&gt;35,FE88+FD89-FM88,IF(A89&lt;'Données projet'!$A$218,$FB$205^A89,IF(A89='Données projet'!$A$218,'Données projet'!$B$218,FE88+FD89-FM88)))</f>
        <v>568.59999999999991</v>
      </c>
      <c r="FF89" s="17">
        <f>FE89*VLOOKUP('Données projet'!$B$16,Paramètres!$A$1:$I$89,3,0)*VLOOKUP('Données projet'!$B$16,Paramètres!$A$1:$I$89,5,0)</f>
        <v>340.02280000000002</v>
      </c>
      <c r="FG89" s="13">
        <f t="shared" si="101"/>
        <v>79.504657027765873</v>
      </c>
      <c r="FH89" s="20">
        <f t="shared" si="76"/>
        <v>730.67698765669229</v>
      </c>
      <c r="FI89" s="59">
        <f t="shared" si="77"/>
        <v>1024.0103209900255</v>
      </c>
      <c r="FJ89" s="59">
        <f ca="1">AVERAGE(OFFSET($FI$3,0,0,'Données projet'!$E$16+1,1))-AVERAGE(OFFSET($H$3,0,0,'Données projet'!$E$16+1,1))</f>
        <v>405.42845699663462</v>
      </c>
      <c r="FK89" s="59">
        <f t="shared" si="102"/>
        <v>292.26503163353146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49.337572844578659</v>
      </c>
      <c r="FR89" s="21">
        <f>EXP(-LN(2)/25)*FR88+(1-EXP(-LN(2)/25))/(LN(2)/25)*Calculateur!FM89*Calculateur!FO89*VLOOKUP('Données projet'!$B$16,Paramètres!$A$1:$I$89,3,0)*0.475*44/12</f>
        <v>24.980781399930287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74.318354244508953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6.9000000000000057</v>
      </c>
      <c r="FZ89" s="12">
        <f>IF('Données projet'!$A$244&gt;35,FZ88+FY89-GH88,IF(A89&lt;'Données projet'!$A$244,$FW$205^A89,IF(A89='Données projet'!$A$244,'Données projet'!$B$244,FZ88+FY89-GH88)))</f>
        <v>568.59999999999991</v>
      </c>
      <c r="GA89" s="17">
        <f>FZ89*VLOOKUP('Données projet'!$B$17,Paramètres!$A$1:$I$89,3,0)*VLOOKUP('Données projet'!$B$17,Paramètres!$A$1:$I$89,5,0)</f>
        <v>340.02280000000002</v>
      </c>
      <c r="GB89" s="13">
        <f t="shared" si="103"/>
        <v>79.504657027765873</v>
      </c>
      <c r="GC89" s="20">
        <f t="shared" si="79"/>
        <v>730.67698765669229</v>
      </c>
      <c r="GD89" s="59">
        <f t="shared" si="80"/>
        <v>1024.0103209900255</v>
      </c>
      <c r="GE89" s="59">
        <f ca="1">AVERAGE(OFFSET($GD$3,0,0,'Données projet'!$E$17+1,1))-AVERAGE(OFFSET($H$3,0,0,'Données projet'!$E$17+1,1))</f>
        <v>405.42845699663462</v>
      </c>
      <c r="GF89" s="59">
        <f t="shared" si="104"/>
        <v>292.26503163353146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49.337572844578659</v>
      </c>
      <c r="GM89" s="21">
        <f>EXP(-LN(2)/25)*GM88+(1-EXP(-LN(2)/25))/(LN(2)/25)*Calculateur!GH89*Calculateur!GJ89*VLOOKUP('Données projet'!$B$17,Paramètres!$A$1:$I$89,3,0)*0.475*44/12</f>
        <v>24.980781399930287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74.318354244508953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-5.3205440053716299E-14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198.26255998041</v>
      </c>
      <c r="T90" s="59">
        <f t="shared" si="88"/>
        <v>238.62101708181166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64.309808580721011</v>
      </c>
      <c r="AA90" s="21">
        <f>EXP(-LN(2)/25)*AA89+(1-EXP(-LN(2)/25))/(LN(2)/25)*Calculateur!V90*Calculateur!X90*VLOOKUP('Données projet'!$B$9,Paramètres!$A$1:$I$89,3,0)*0.475*44/12</f>
        <v>29.453781707333349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93.76359028805436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3.4106051316484809E-13</v>
      </c>
      <c r="AJ90" s="13">
        <f>AI90*VLOOKUP('Données projet'!$B$10,Paramètres!$A$1:$I$89,3,0)*VLOOKUP('Données projet'!$B$10,Paramètres!$A$1:$I$89,5,0)</f>
        <v>1.9065282685915009E-13</v>
      </c>
      <c r="AK90" s="13">
        <f t="shared" si="89"/>
        <v>2.6568987209435707E-12</v>
      </c>
      <c r="AL90" s="20">
        <f t="shared" si="58"/>
        <v>4.959485612423072E-12</v>
      </c>
      <c r="AM90" s="59">
        <f t="shared" si="59"/>
        <v>293.33333333333826</v>
      </c>
      <c r="AN90" s="59">
        <f ca="1">AVERAGE(OFFSET($AM$3,0,0,'Données projet'!$E$10+1,1))-AVERAGE(OFFSET($H$3,0,0,'Données projet'!$E$10+1,1))</f>
        <v>347.02720636703873</v>
      </c>
      <c r="AO90" s="59">
        <f t="shared" si="90"/>
        <v>394.03759949558702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140.38147066370149</v>
      </c>
      <c r="AV90" s="21">
        <f>EXP(-LN(2)/25)*AV89+(1-EXP(-LN(2)/25))/(LN(2)/25)*Calculateur!AQ90*Calculateur!AS90*VLOOKUP('Données projet'!$B$10,Paramètres!$A$1:$I$89,3,0)*0.475*44/12</f>
        <v>62.687845892461617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203.0693165561631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-3.4106051316484809E-13</v>
      </c>
      <c r="BE90" s="13">
        <f>BD90*VLOOKUP('Données projet'!$B$11,Paramètres!$A$1:$I$89,3,0)*VLOOKUP('Données projet'!$B$11,Paramètres!$A$1:$I$89,5,0)</f>
        <v>-2.0395418687257919E-13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378.75660696651238</v>
      </c>
      <c r="BJ90" s="59">
        <f t="shared" si="92"/>
        <v>371.70674704563288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138.86875414054722</v>
      </c>
      <c r="BQ90" s="21">
        <f>EXP(-LN(2)/25)*BQ89+(1-EXP(-LN(2)/25))/(LN(2)/25)*Calculateur!BL90*Calculateur!BN90*VLOOKUP('Données projet'!$B$11,Paramètres!$A$1:$I$89,3,0)*0.475*44/12</f>
        <v>60.569432968117241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199.43818710866447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4.4444444444444446</v>
      </c>
      <c r="BY90" s="12">
        <f>IF('Données projet'!$A$114&gt;35,BY89+BX90-CG89,IF(A90&lt;'Données projet'!$A$114,$BV$205^A90,IF(A90='Données projet'!$A$114,'Données projet'!$B$114,BY89+BX90-CG89)))</f>
        <v>158.6666666666668</v>
      </c>
      <c r="BZ90" s="13">
        <f>BY90*VLOOKUP('Données projet'!$B$12,Paramètres!$A$1:$I$89,3,0)*VLOOKUP('Données projet'!$B$12,Paramètres!$A$1:$I$89,5,0)</f>
        <v>160.88800000000015</v>
      </c>
      <c r="CA90" s="13">
        <f t="shared" si="93"/>
        <v>41.04274172267138</v>
      </c>
      <c r="CB90" s="20">
        <f t="shared" si="64"/>
        <v>351.69604183365294</v>
      </c>
      <c r="CC90" s="59">
        <f t="shared" si="65"/>
        <v>645.02937516698626</v>
      </c>
      <c r="CD90" s="59">
        <f ca="1">AVERAGE(OFFSET($CC$3,0,0,'Données projet'!$E$12+1,1))-AVERAGE(OFFSET($H$3,0,0,'Données projet'!$E$12+1,1))</f>
        <v>410.75375635525211</v>
      </c>
      <c r="CE90" s="59">
        <f t="shared" si="94"/>
        <v>183.55513001437367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20.658691980494886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20.658691980494886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5.7777777777777777</v>
      </c>
      <c r="CT90" s="12">
        <f>IF('Données projet'!$A$140&gt;35,CT89+CS90-DB89,IF(A90&lt;'Données projet'!$A$140,$CQ$205^A90,IF(A90='Données projet'!$A$140,'Données projet'!$B$140,CT89+CS90-DB89)))</f>
        <v>205.33333333333334</v>
      </c>
      <c r="CU90" s="17">
        <f>CT90*VLOOKUP('Données projet'!$B$13,Paramètres!$A$1:$I$89,3,0)*VLOOKUP('Données projet'!$B$13,Paramètres!$A$1:$I$89,5,0)</f>
        <v>185.78560000000002</v>
      </c>
      <c r="CV90" s="13">
        <f t="shared" si="95"/>
        <v>46.606995978498198</v>
      </c>
      <c r="CW90" s="20">
        <f t="shared" si="67"/>
        <v>404.75043799588434</v>
      </c>
      <c r="CX90" s="59">
        <f t="shared" si="68"/>
        <v>698.0837713292176</v>
      </c>
      <c r="CY90" s="59">
        <f ca="1">AVERAGE(OFFSET($CX$3,0,0,'Données projet'!$E$13+1,1))-AVERAGE(OFFSET($H$3,0,0,'Données projet'!$E$13+1,1))</f>
        <v>436.12708882925142</v>
      </c>
      <c r="CZ90" s="59">
        <f t="shared" si="96"/>
        <v>217.65884352525285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29.707368551699258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29.707368551699258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11.4</v>
      </c>
      <c r="DO90" s="12">
        <f>IF('Données projet'!$A$166&gt;35,DO89+DN90-DW89,IF(A90&lt;'Données projet'!$A$166,$DL$205^A90,IF(A90='Données projet'!$A$166,'Données projet'!$B$166,DO89+DN90-DW89)))</f>
        <v>490.8000000000003</v>
      </c>
      <c r="DP90" s="17">
        <f>DO90*VLOOKUP('Données projet'!$B$14,Paramètres!$A$1:$I$89,3,0)*VLOOKUP('Données projet'!$B$14,Paramètres!$A$1:$I$89,5,0)</f>
        <v>467.04528000000022</v>
      </c>
      <c r="DQ90" s="13">
        <f t="shared" si="97"/>
        <v>105.24407760295497</v>
      </c>
      <c r="DR90" s="20">
        <f t="shared" si="70"/>
        <v>996.73729782514692</v>
      </c>
      <c r="DS90" s="59">
        <f t="shared" si="71"/>
        <v>1290.0706311584802</v>
      </c>
      <c r="DT90" s="59">
        <f ca="1">AVERAGE(OFFSET($DS$3,0,0,'Données projet'!$E$14+1,1))-AVERAGE(OFFSET($H$3,0,0,'Données projet'!$E$14+1,1))</f>
        <v>735.50267870886194</v>
      </c>
      <c r="DU90" s="59">
        <f t="shared" si="98"/>
        <v>525.80345400853275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77.216454437811194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77.216454437811194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4.4444444444444446</v>
      </c>
      <c r="EJ90" s="12">
        <f>IF('Données projet'!$A$192&gt;35,EJ89+EI90-ER89,IF(A90&lt;'Données projet'!$A$192,$EG$205^A90,IF(A90='Données projet'!$A$192,'Données projet'!$B$192,EJ89+EI90-ER89)))</f>
        <v>158.6666666666668</v>
      </c>
      <c r="EK90" s="17">
        <f>EJ90*VLOOKUP('Données projet'!$B$15,Paramètres!$A$1:$I$89,3,0)*VLOOKUP('Données projet'!$B$15,Paramètres!$A$1:$I$89,5,0)</f>
        <v>101.48320000000008</v>
      </c>
      <c r="EL90" s="13">
        <f t="shared" si="99"/>
        <v>27.315046144675847</v>
      </c>
      <c r="EM90" s="20">
        <f t="shared" si="73"/>
        <v>224.32361203531059</v>
      </c>
      <c r="EN90" s="59">
        <f t="shared" si="74"/>
        <v>517.65694536864385</v>
      </c>
      <c r="EO90" s="59">
        <f ca="1">AVERAGE(OFFSET($EN$3,0,0,'Données projet'!$E$15+1,1))-AVERAGE(OFFSET($H$3,0,0,'Données projet'!$E$15+1,1))</f>
        <v>274.14900959323484</v>
      </c>
      <c r="EP90" s="59">
        <f t="shared" si="100"/>
        <v>130.44590390921582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13.030867249235239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13.030867249235239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6.9000000000000057</v>
      </c>
      <c r="FE90" s="12">
        <f>IF('Données projet'!$A$218&gt;35,FE89+FD90-FM89,IF(A90&lt;'Données projet'!$A$218,$FB$205^A90,IF(A90='Données projet'!$A$218,'Données projet'!$B$218,FE89+FD90-FM89)))</f>
        <v>575.49999999999989</v>
      </c>
      <c r="FF90" s="17">
        <f>FE90*VLOOKUP('Données projet'!$B$16,Paramètres!$A$1:$I$89,3,0)*VLOOKUP('Données projet'!$B$16,Paramètres!$A$1:$I$89,5,0)</f>
        <v>344.14899999999994</v>
      </c>
      <c r="FG90" s="13">
        <f t="shared" si="101"/>
        <v>80.356550037589301</v>
      </c>
      <c r="FH90" s="20">
        <f t="shared" si="76"/>
        <v>739.34716631546792</v>
      </c>
      <c r="FI90" s="59">
        <f t="shared" si="77"/>
        <v>1032.6804996488013</v>
      </c>
      <c r="FJ90" s="59">
        <f ca="1">AVERAGE(OFFSET($FI$3,0,0,'Données projet'!$E$16+1,1))-AVERAGE(OFFSET($H$3,0,0,'Données projet'!$E$16+1,1))</f>
        <v>405.42845699663462</v>
      </c>
      <c r="FK90" s="59">
        <f t="shared" si="102"/>
        <v>292.26503163353146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48.370093134044474</v>
      </c>
      <c r="FR90" s="21">
        <f>EXP(-LN(2)/25)*FR89+(1-EXP(-LN(2)/25))/(LN(2)/25)*Calculateur!FM90*Calculateur!FO90*VLOOKUP('Données projet'!$B$16,Paramètres!$A$1:$I$89,3,0)*0.475*44/12</f>
        <v>24.297680618866995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72.667773752911472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6.9000000000000057</v>
      </c>
      <c r="FZ90" s="12">
        <f>IF('Données projet'!$A$244&gt;35,FZ89+FY90-GH89,IF(A90&lt;'Données projet'!$A$244,$FW$205^A90,IF(A90='Données projet'!$A$244,'Données projet'!$B$244,FZ89+FY90-GH89)))</f>
        <v>575.49999999999989</v>
      </c>
      <c r="GA90" s="17">
        <f>FZ90*VLOOKUP('Données projet'!$B$17,Paramètres!$A$1:$I$89,3,0)*VLOOKUP('Données projet'!$B$17,Paramètres!$A$1:$I$89,5,0)</f>
        <v>344.14899999999994</v>
      </c>
      <c r="GB90" s="13">
        <f t="shared" si="103"/>
        <v>80.356550037589301</v>
      </c>
      <c r="GC90" s="20">
        <f t="shared" si="79"/>
        <v>739.34716631546792</v>
      </c>
      <c r="GD90" s="59">
        <f t="shared" si="80"/>
        <v>1032.6804996488013</v>
      </c>
      <c r="GE90" s="59">
        <f ca="1">AVERAGE(OFFSET($GD$3,0,0,'Données projet'!$E$17+1,1))-AVERAGE(OFFSET($H$3,0,0,'Données projet'!$E$17+1,1))</f>
        <v>405.42845699663462</v>
      </c>
      <c r="GF90" s="59">
        <f t="shared" si="104"/>
        <v>292.26503163353146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48.370093134044474</v>
      </c>
      <c r="GM90" s="21">
        <f>EXP(-LN(2)/25)*GM89+(1-EXP(-LN(2)/25))/(LN(2)/25)*Calculateur!GH90*Calculateur!GJ90*VLOOKUP('Données projet'!$B$17,Paramètres!$A$1:$I$89,3,0)*0.475*44/12</f>
        <v>24.297680618866995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72.667773752911472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-5.3205440053716299E-14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198.26255998041</v>
      </c>
      <c r="T91" s="59">
        <f t="shared" si="88"/>
        <v>238.62101708181166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63.048732459563148</v>
      </c>
      <c r="AA91" s="21">
        <f>EXP(-LN(2)/25)*AA90+(1-EXP(-LN(2)/25))/(LN(2)/25)*Calculateur!V91*Calculateur!X91*VLOOKUP('Données projet'!$B$9,Paramètres!$A$1:$I$89,3,0)*0.475*44/12</f>
        <v>28.648366497639255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91.6970989572024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3.4106051316484809E-13</v>
      </c>
      <c r="AJ91" s="13">
        <f>AI91*VLOOKUP('Données projet'!$B$10,Paramètres!$A$1:$I$89,3,0)*VLOOKUP('Données projet'!$B$10,Paramètres!$A$1:$I$89,5,0)</f>
        <v>1.9065282685915009E-13</v>
      </c>
      <c r="AK91" s="13">
        <f t="shared" si="89"/>
        <v>2.6568987209435707E-12</v>
      </c>
      <c r="AL91" s="20">
        <f t="shared" si="58"/>
        <v>4.959485612423072E-12</v>
      </c>
      <c r="AM91" s="59">
        <f t="shared" si="59"/>
        <v>293.33333333333826</v>
      </c>
      <c r="AN91" s="59">
        <f ca="1">AVERAGE(OFFSET($AM$3,0,0,'Données projet'!$E$10+1,1))-AVERAGE(OFFSET($H$3,0,0,'Données projet'!$E$10+1,1))</f>
        <v>347.02720636703873</v>
      </c>
      <c r="AO91" s="59">
        <f t="shared" si="90"/>
        <v>394.03759949558702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137.62867564822872</v>
      </c>
      <c r="AV91" s="21">
        <f>EXP(-LN(2)/25)*AV90+(1-EXP(-LN(2)/25))/(LN(2)/25)*Calculateur!AQ91*Calculateur!AS91*VLOOKUP('Données projet'!$B$10,Paramètres!$A$1:$I$89,3,0)*0.475*44/12</f>
        <v>60.973643449921717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198.60231909815045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-3.4106051316484809E-13</v>
      </c>
      <c r="BE91" s="13">
        <f>BD91*VLOOKUP('Données projet'!$B$11,Paramètres!$A$1:$I$89,3,0)*VLOOKUP('Données projet'!$B$11,Paramètres!$A$1:$I$89,5,0)</f>
        <v>-2.0395418687257919E-13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378.75660696651238</v>
      </c>
      <c r="BJ91" s="59">
        <f t="shared" si="92"/>
        <v>371.70674704563288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136.14562257342754</v>
      </c>
      <c r="BQ91" s="21">
        <f>EXP(-LN(2)/25)*BQ90+(1-EXP(-LN(2)/25))/(LN(2)/25)*Calculateur!BL91*Calculateur!BN91*VLOOKUP('Données projet'!$B$11,Paramètres!$A$1:$I$89,3,0)*0.475*44/12</f>
        <v>58.913158638396027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195.05878121182357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4.4444444444444446</v>
      </c>
      <c r="BY91" s="12">
        <f>IF('Données projet'!$A$114&gt;35,BY90+BX91-CG90,IF(A91&lt;'Données projet'!$A$114,$BV$205^A91,IF(A91='Données projet'!$A$114,'Données projet'!$B$114,BY90+BX91-CG90)))</f>
        <v>163.11111111111126</v>
      </c>
      <c r="BZ91" s="13">
        <f>BY91*VLOOKUP('Données projet'!$B$12,Paramètres!$A$1:$I$89,3,0)*VLOOKUP('Données projet'!$B$12,Paramètres!$A$1:$I$89,5,0)</f>
        <v>165.39466666666684</v>
      </c>
      <c r="CA91" s="13">
        <f t="shared" si="93"/>
        <v>42.056939263220535</v>
      </c>
      <c r="CB91" s="20">
        <f t="shared" si="64"/>
        <v>361.31154699455379</v>
      </c>
      <c r="CC91" s="59">
        <f t="shared" si="65"/>
        <v>654.64488032788711</v>
      </c>
      <c r="CD91" s="59">
        <f ca="1">AVERAGE(OFFSET($CC$3,0,0,'Données projet'!$E$12+1,1))-AVERAGE(OFFSET($H$3,0,0,'Données projet'!$E$12+1,1))</f>
        <v>410.75375635525211</v>
      </c>
      <c r="CE91" s="59">
        <f t="shared" si="94"/>
        <v>183.55513001437367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20.253587631315288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20.253587631315288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5.7777777777777777</v>
      </c>
      <c r="CT91" s="12">
        <f>IF('Données projet'!$A$140&gt;35,CT90+CS91-DB90,IF(A91&lt;'Données projet'!$A$140,$CQ$205^A91,IF(A91='Données projet'!$A$140,'Données projet'!$B$140,CT90+CS91-DB90)))</f>
        <v>211.11111111111111</v>
      </c>
      <c r="CU91" s="17">
        <f>CT91*VLOOKUP('Données projet'!$B$13,Paramètres!$A$1:$I$89,3,0)*VLOOKUP('Données projet'!$B$13,Paramètres!$A$1:$I$89,5,0)</f>
        <v>191.01333333333335</v>
      </c>
      <c r="CV91" s="13">
        <f t="shared" si="95"/>
        <v>47.763917061299928</v>
      </c>
      <c r="CW91" s="20">
        <f t="shared" si="67"/>
        <v>415.87037777065296</v>
      </c>
      <c r="CX91" s="59">
        <f t="shared" si="68"/>
        <v>709.20371110398628</v>
      </c>
      <c r="CY91" s="59">
        <f ca="1">AVERAGE(OFFSET($CX$3,0,0,'Données projet'!$E$13+1,1))-AVERAGE(OFFSET($H$3,0,0,'Données projet'!$E$13+1,1))</f>
        <v>436.12708882925142</v>
      </c>
      <c r="CZ91" s="59">
        <f t="shared" si="96"/>
        <v>217.65884352525285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29.124825174106078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29.124825174106078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11.4</v>
      </c>
      <c r="DO91" s="12">
        <f>IF('Données projet'!$A$166&gt;35,DO90+DN91-DW90,IF(A91&lt;'Données projet'!$A$166,$DL$205^A91,IF(A91='Données projet'!$A$166,'Données projet'!$B$166,DO90+DN91-DW90)))</f>
        <v>502.20000000000027</v>
      </c>
      <c r="DP91" s="17">
        <f>DO91*VLOOKUP('Données projet'!$B$14,Paramètres!$A$1:$I$89,3,0)*VLOOKUP('Données projet'!$B$14,Paramètres!$A$1:$I$89,5,0)</f>
        <v>477.89352000000025</v>
      </c>
      <c r="DQ91" s="13">
        <f t="shared" si="97"/>
        <v>107.40118217561701</v>
      </c>
      <c r="DR91" s="20">
        <f t="shared" si="70"/>
        <v>1019.3882729558667</v>
      </c>
      <c r="DS91" s="59">
        <f t="shared" si="71"/>
        <v>1312.7216062892001</v>
      </c>
      <c r="DT91" s="59">
        <f ca="1">AVERAGE(OFFSET($DS$3,0,0,'Données projet'!$E$14+1,1))-AVERAGE(OFFSET($H$3,0,0,'Données projet'!$E$14+1,1))</f>
        <v>735.50267870886194</v>
      </c>
      <c r="DU91" s="59">
        <f t="shared" si="98"/>
        <v>525.80345400853275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75.702286863672441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75.702286863672441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4.4444444444444446</v>
      </c>
      <c r="EJ91" s="12">
        <f>IF('Données projet'!$A$192&gt;35,EJ90+EI91-ER90,IF(A91&lt;'Données projet'!$A$192,$EG$205^A91,IF(A91='Données projet'!$A$192,'Données projet'!$B$192,EJ90+EI91-ER90)))</f>
        <v>163.11111111111126</v>
      </c>
      <c r="EK91" s="17">
        <f>EJ91*VLOOKUP('Données projet'!$B$15,Paramètres!$A$1:$I$89,3,0)*VLOOKUP('Données projet'!$B$15,Paramètres!$A$1:$I$89,5,0)</f>
        <v>104.32586666666676</v>
      </c>
      <c r="EL91" s="13">
        <f t="shared" si="99"/>
        <v>27.990021827516578</v>
      </c>
      <c r="EM91" s="20">
        <f t="shared" si="73"/>
        <v>230.45017246070259</v>
      </c>
      <c r="EN91" s="59">
        <f t="shared" si="74"/>
        <v>523.78350579403593</v>
      </c>
      <c r="EO91" s="59">
        <f ca="1">AVERAGE(OFFSET($EN$3,0,0,'Données projet'!$E$15+1,1))-AVERAGE(OFFSET($H$3,0,0,'Données projet'!$E$15+1,1))</f>
        <v>274.14900959323484</v>
      </c>
      <c r="EP91" s="59">
        <f t="shared" si="100"/>
        <v>130.44590390921582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12.775339890521954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12.775339890521954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6.9000000000000057</v>
      </c>
      <c r="FE91" s="12">
        <f>IF('Données projet'!$A$218&gt;35,FE90+FD91-FM90,IF(A91&lt;'Données projet'!$A$218,$FB$205^A91,IF(A91='Données projet'!$A$218,'Données projet'!$B$218,FE90+FD91-FM90)))</f>
        <v>582.39999999999986</v>
      </c>
      <c r="FF91" s="17">
        <f>FE91*VLOOKUP('Données projet'!$B$16,Paramètres!$A$1:$I$89,3,0)*VLOOKUP('Données projet'!$B$16,Paramètres!$A$1:$I$89,5,0)</f>
        <v>348.27519999999993</v>
      </c>
      <c r="FG91" s="13">
        <f t="shared" si="101"/>
        <v>81.20725495618683</v>
      </c>
      <c r="FH91" s="20">
        <f t="shared" si="76"/>
        <v>748.0152757153586</v>
      </c>
      <c r="FI91" s="59">
        <f t="shared" si="77"/>
        <v>1041.348609048692</v>
      </c>
      <c r="FJ91" s="59">
        <f ca="1">AVERAGE(OFFSET($FI$3,0,0,'Données projet'!$E$16+1,1))-AVERAGE(OFFSET($H$3,0,0,'Données projet'!$E$16+1,1))</f>
        <v>405.42845699663462</v>
      </c>
      <c r="FK91" s="59">
        <f t="shared" si="102"/>
        <v>292.26503163353146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47.421585110529513</v>
      </c>
      <c r="FR91" s="21">
        <f>EXP(-LN(2)/25)*FR90+(1-EXP(-LN(2)/25))/(LN(2)/25)*Calculateur!FM91*Calculateur!FO91*VLOOKUP('Données projet'!$B$16,Paramètres!$A$1:$I$89,3,0)*0.475*44/12</f>
        <v>23.633259264584588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71.054844375114101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6.9000000000000057</v>
      </c>
      <c r="FZ91" s="12">
        <f>IF('Données projet'!$A$244&gt;35,FZ90+FY91-GH90,IF(A91&lt;'Données projet'!$A$244,$FW$205^A91,IF(A91='Données projet'!$A$244,'Données projet'!$B$244,FZ90+FY91-GH90)))</f>
        <v>582.39999999999986</v>
      </c>
      <c r="GA91" s="17">
        <f>FZ91*VLOOKUP('Données projet'!$B$17,Paramètres!$A$1:$I$89,3,0)*VLOOKUP('Données projet'!$B$17,Paramètres!$A$1:$I$89,5,0)</f>
        <v>348.27519999999993</v>
      </c>
      <c r="GB91" s="13">
        <f t="shared" si="103"/>
        <v>81.20725495618683</v>
      </c>
      <c r="GC91" s="20">
        <f t="shared" si="79"/>
        <v>748.0152757153586</v>
      </c>
      <c r="GD91" s="59">
        <f t="shared" si="80"/>
        <v>1041.348609048692</v>
      </c>
      <c r="GE91" s="59">
        <f ca="1">AVERAGE(OFFSET($GD$3,0,0,'Données projet'!$E$17+1,1))-AVERAGE(OFFSET($H$3,0,0,'Données projet'!$E$17+1,1))</f>
        <v>405.42845699663462</v>
      </c>
      <c r="GF91" s="59">
        <f t="shared" si="104"/>
        <v>292.26503163353146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47.421585110529513</v>
      </c>
      <c r="GM91" s="21">
        <f>EXP(-LN(2)/25)*GM90+(1-EXP(-LN(2)/25))/(LN(2)/25)*Calculateur!GH91*Calculateur!GJ91*VLOOKUP('Données projet'!$B$17,Paramètres!$A$1:$I$89,3,0)*0.475*44/12</f>
        <v>23.633259264584588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71.054844375114101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-5.3205440053716299E-14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198.26255998041</v>
      </c>
      <c r="T92" s="59">
        <f t="shared" si="88"/>
        <v>238.62101708181166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61.812385271960707</v>
      </c>
      <c r="AA92" s="21">
        <f>EXP(-LN(2)/25)*AA91+(1-EXP(-LN(2)/25))/(LN(2)/25)*Calculateur!V92*Calculateur!X92*VLOOKUP('Données projet'!$B$9,Paramètres!$A$1:$I$89,3,0)*0.475*44/12</f>
        <v>27.864975409209194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89.677360681169901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3.4106051316484809E-13</v>
      </c>
      <c r="AJ92" s="13">
        <f>AI92*VLOOKUP('Données projet'!$B$10,Paramètres!$A$1:$I$89,3,0)*VLOOKUP('Données projet'!$B$10,Paramètres!$A$1:$I$89,5,0)</f>
        <v>1.9065282685915009E-13</v>
      </c>
      <c r="AK92" s="13">
        <f t="shared" si="89"/>
        <v>2.6568987209435707E-12</v>
      </c>
      <c r="AL92" s="20">
        <f t="shared" si="58"/>
        <v>4.959485612423072E-12</v>
      </c>
      <c r="AM92" s="59">
        <f t="shared" si="59"/>
        <v>293.33333333333826</v>
      </c>
      <c r="AN92" s="59">
        <f ca="1">AVERAGE(OFFSET($AM$3,0,0,'Données projet'!$E$10+1,1))-AVERAGE(OFFSET($H$3,0,0,'Données projet'!$E$10+1,1))</f>
        <v>347.02720636703873</v>
      </c>
      <c r="AO92" s="59">
        <f t="shared" si="90"/>
        <v>394.03759949558702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134.9298612639702</v>
      </c>
      <c r="AV92" s="21">
        <f>EXP(-LN(2)/25)*AV91+(1-EXP(-LN(2)/25))/(LN(2)/25)*Calculateur!AQ92*Calculateur!AS92*VLOOKUP('Données projet'!$B$10,Paramètres!$A$1:$I$89,3,0)*0.475*44/12</f>
        <v>59.306315963319058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194.23617722728926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-3.4106051316484809E-13</v>
      </c>
      <c r="BE92" s="13">
        <f>BD92*VLOOKUP('Données projet'!$B$11,Paramètres!$A$1:$I$89,3,0)*VLOOKUP('Données projet'!$B$11,Paramètres!$A$1:$I$89,5,0)</f>
        <v>-2.0395418687257919E-13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378.75660696651238</v>
      </c>
      <c r="BJ92" s="59">
        <f t="shared" si="92"/>
        <v>371.70674704563288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133.47588995539283</v>
      </c>
      <c r="BQ92" s="21">
        <f>EXP(-LN(2)/25)*BQ91+(1-EXP(-LN(2)/25))/(LN(2)/25)*Calculateur!BL92*Calculateur!BN92*VLOOKUP('Données projet'!$B$11,Paramètres!$A$1:$I$89,3,0)*0.475*44/12</f>
        <v>57.302175217320723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190.77806517271355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4.4444444444444446</v>
      </c>
      <c r="BY92" s="12">
        <f>IF('Données projet'!$A$114&gt;35,BY91+BX92-CG91,IF(A92&lt;'Données projet'!$A$114,$BV$205^A92,IF(A92='Données projet'!$A$114,'Données projet'!$B$114,BY91+BX92-CG91)))</f>
        <v>167.55555555555571</v>
      </c>
      <c r="BZ92" s="13">
        <f>BY92*VLOOKUP('Données projet'!$B$12,Paramètres!$A$1:$I$89,3,0)*VLOOKUP('Données projet'!$B$12,Paramètres!$A$1:$I$89,5,0)</f>
        <v>169.9013333333335</v>
      </c>
      <c r="CA92" s="13">
        <f t="shared" si="93"/>
        <v>43.067924787581937</v>
      </c>
      <c r="CB92" s="20">
        <f t="shared" si="64"/>
        <v>370.92145789392771</v>
      </c>
      <c r="CC92" s="59">
        <f t="shared" si="65"/>
        <v>664.25479122726097</v>
      </c>
      <c r="CD92" s="59">
        <f ca="1">AVERAGE(OFFSET($CC$3,0,0,'Données projet'!$E$12+1,1))-AVERAGE(OFFSET($H$3,0,0,'Données projet'!$E$12+1,1))</f>
        <v>410.75375635525211</v>
      </c>
      <c r="CE92" s="59">
        <f t="shared" si="94"/>
        <v>183.55513001437367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19.856427131333845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19.856427131333845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5.7777777777777777</v>
      </c>
      <c r="CT92" s="12">
        <f>IF('Données projet'!$A$140&gt;35,CT91+CS92-DB91,IF(A92&lt;'Données projet'!$A$140,$CQ$205^A92,IF(A92='Données projet'!$A$140,'Données projet'!$B$140,CT91+CS92-DB91)))</f>
        <v>216.88888888888889</v>
      </c>
      <c r="CU92" s="17">
        <f>CT92*VLOOKUP('Données projet'!$B$13,Paramètres!$A$1:$I$89,3,0)*VLOOKUP('Données projet'!$B$13,Paramètres!$A$1:$I$89,5,0)</f>
        <v>196.24106666666665</v>
      </c>
      <c r="CV92" s="13">
        <f t="shared" si="95"/>
        <v>48.917157937717533</v>
      </c>
      <c r="CW92" s="20">
        <f t="shared" si="67"/>
        <v>426.98390785263581</v>
      </c>
      <c r="CX92" s="59">
        <f t="shared" si="68"/>
        <v>720.31724118596912</v>
      </c>
      <c r="CY92" s="59">
        <f ca="1">AVERAGE(OFFSET($CX$3,0,0,'Données projet'!$E$13+1,1))-AVERAGE(OFFSET($H$3,0,0,'Données projet'!$E$13+1,1))</f>
        <v>436.12708882925142</v>
      </c>
      <c r="CZ92" s="59">
        <f t="shared" si="96"/>
        <v>217.65884352525285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28.553705116831125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28.553705116831125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11.4</v>
      </c>
      <c r="DO92" s="12">
        <f>IF('Données projet'!$A$166&gt;35,DO91+DN92-DW91,IF(A92&lt;'Données projet'!$A$166,$DL$205^A92,IF(A92='Données projet'!$A$166,'Données projet'!$B$166,DO91+DN92-DW91)))</f>
        <v>513.60000000000025</v>
      </c>
      <c r="DP92" s="17">
        <f>DO92*VLOOKUP('Données projet'!$B$14,Paramètres!$A$1:$I$89,3,0)*VLOOKUP('Données projet'!$B$14,Paramètres!$A$1:$I$89,5,0)</f>
        <v>488.74176000000028</v>
      </c>
      <c r="DQ92" s="13">
        <f t="shared" si="97"/>
        <v>109.55259405079042</v>
      </c>
      <c r="DR92" s="20">
        <f t="shared" si="70"/>
        <v>1042.0293333051272</v>
      </c>
      <c r="DS92" s="59">
        <f t="shared" si="71"/>
        <v>1335.3626666384605</v>
      </c>
      <c r="DT92" s="59">
        <f ca="1">AVERAGE(OFFSET($DS$3,0,0,'Données projet'!$E$14+1,1))-AVERAGE(OFFSET($H$3,0,0,'Données projet'!$E$14+1,1))</f>
        <v>735.50267870886194</v>
      </c>
      <c r="DU92" s="59">
        <f t="shared" si="98"/>
        <v>525.80345400853275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74.217811192111526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74.217811192111526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4.4444444444444446</v>
      </c>
      <c r="EJ92" s="12">
        <f>IF('Données projet'!$A$192&gt;35,EJ91+EI92-ER91,IF(A92&lt;'Données projet'!$A$192,$EG$205^A92,IF(A92='Données projet'!$A$192,'Données projet'!$B$192,EJ91+EI92-ER91)))</f>
        <v>167.55555555555571</v>
      </c>
      <c r="EK92" s="17">
        <f>EJ92*VLOOKUP('Données projet'!$B$15,Paramètres!$A$1:$I$89,3,0)*VLOOKUP('Données projet'!$B$15,Paramètres!$A$1:$I$89,5,0)</f>
        <v>107.16853333333344</v>
      </c>
      <c r="EL92" s="13">
        <f t="shared" si="99"/>
        <v>28.662859827378458</v>
      </c>
      <c r="EM92" s="20">
        <f t="shared" si="73"/>
        <v>236.57300975490656</v>
      </c>
      <c r="EN92" s="59">
        <f t="shared" si="74"/>
        <v>529.90634308823985</v>
      </c>
      <c r="EO92" s="59">
        <f ca="1">AVERAGE(OFFSET($EN$3,0,0,'Données projet'!$E$15+1,1))-AVERAGE(OFFSET($H$3,0,0,'Données projet'!$E$15+1,1))</f>
        <v>274.14900959323484</v>
      </c>
      <c r="EP92" s="59">
        <f t="shared" si="100"/>
        <v>130.44590390921582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12.524823267456737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12.524823267456737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6.9000000000000057</v>
      </c>
      <c r="FE92" s="12">
        <f>IF('Données projet'!$A$218&gt;35,FE91+FD92-FM91,IF(A92&lt;'Données projet'!$A$218,$FB$205^A92,IF(A92='Données projet'!$A$218,'Données projet'!$B$218,FE91+FD92-FM91)))</f>
        <v>589.29999999999984</v>
      </c>
      <c r="FF92" s="17">
        <f>FE92*VLOOKUP('Données projet'!$B$16,Paramètres!$A$1:$I$89,3,0)*VLOOKUP('Données projet'!$B$16,Paramètres!$A$1:$I$89,5,0)</f>
        <v>352.40139999999991</v>
      </c>
      <c r="FG92" s="13">
        <f t="shared" si="101"/>
        <v>82.056787487849775</v>
      </c>
      <c r="FH92" s="20">
        <f t="shared" si="76"/>
        <v>756.68134320800482</v>
      </c>
      <c r="FI92" s="59">
        <f t="shared" si="77"/>
        <v>1050.0146765413381</v>
      </c>
      <c r="FJ92" s="59">
        <f ca="1">AVERAGE(OFFSET($FI$3,0,0,'Données projet'!$E$16+1,1))-AVERAGE(OFFSET($H$3,0,0,'Données projet'!$E$16+1,1))</f>
        <v>405.42845699663462</v>
      </c>
      <c r="FK92" s="59">
        <f t="shared" si="102"/>
        <v>292.26503163353146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46.491676750822911</v>
      </c>
      <c r="FR92" s="21">
        <f>EXP(-LN(2)/25)*FR91+(1-EXP(-LN(2)/25))/(LN(2)/25)*Calculateur!FM92*Calculateur!FO92*VLOOKUP('Données projet'!$B$16,Paramètres!$A$1:$I$89,3,0)*0.475*44/12</f>
        <v>22.987006547175433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69.478683297998344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6.9000000000000057</v>
      </c>
      <c r="FZ92" s="12">
        <f>IF('Données projet'!$A$244&gt;35,FZ91+FY92-GH91,IF(A92&lt;'Données projet'!$A$244,$FW$205^A92,IF(A92='Données projet'!$A$244,'Données projet'!$B$244,FZ91+FY92-GH91)))</f>
        <v>589.29999999999984</v>
      </c>
      <c r="GA92" s="17">
        <f>FZ92*VLOOKUP('Données projet'!$B$17,Paramètres!$A$1:$I$89,3,0)*VLOOKUP('Données projet'!$B$17,Paramètres!$A$1:$I$89,5,0)</f>
        <v>352.40139999999991</v>
      </c>
      <c r="GB92" s="13">
        <f t="shared" si="103"/>
        <v>82.056787487849775</v>
      </c>
      <c r="GC92" s="20">
        <f t="shared" si="79"/>
        <v>756.68134320800482</v>
      </c>
      <c r="GD92" s="59">
        <f t="shared" si="80"/>
        <v>1050.0146765413381</v>
      </c>
      <c r="GE92" s="59">
        <f ca="1">AVERAGE(OFFSET($GD$3,0,0,'Données projet'!$E$17+1,1))-AVERAGE(OFFSET($H$3,0,0,'Données projet'!$E$17+1,1))</f>
        <v>405.42845699663462</v>
      </c>
      <c r="GF92" s="59">
        <f t="shared" si="104"/>
        <v>292.26503163353146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46.491676750822911</v>
      </c>
      <c r="GM92" s="21">
        <f>EXP(-LN(2)/25)*GM91+(1-EXP(-LN(2)/25))/(LN(2)/25)*Calculateur!GH92*Calculateur!GJ92*VLOOKUP('Données projet'!$B$17,Paramètres!$A$1:$I$89,3,0)*0.475*44/12</f>
        <v>22.987006547175433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69.478683297998344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-5.3205440053716299E-14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198.26255998041</v>
      </c>
      <c r="T93" s="59">
        <f t="shared" si="88"/>
        <v>238.62101708181166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60.600282098609824</v>
      </c>
      <c r="AA93" s="21">
        <f>EXP(-LN(2)/25)*AA92+(1-EXP(-LN(2)/25))/(LN(2)/25)*Calculateur!V93*Calculateur!X93*VLOOKUP('Données projet'!$B$9,Paramètres!$A$1:$I$89,3,0)*0.475*44/12</f>
        <v>27.103006191288998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87.703288289898822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3.4106051316484809E-13</v>
      </c>
      <c r="AJ93" s="13">
        <f>AI93*VLOOKUP('Données projet'!$B$10,Paramètres!$A$1:$I$89,3,0)*VLOOKUP('Données projet'!$B$10,Paramètres!$A$1:$I$89,5,0)</f>
        <v>1.9065282685915009E-13</v>
      </c>
      <c r="AK93" s="13">
        <f t="shared" si="89"/>
        <v>2.6568987209435707E-12</v>
      </c>
      <c r="AL93" s="20">
        <f t="shared" si="58"/>
        <v>4.959485612423072E-12</v>
      </c>
      <c r="AM93" s="59">
        <f t="shared" si="59"/>
        <v>293.33333333333826</v>
      </c>
      <c r="AN93" s="59">
        <f ca="1">AVERAGE(OFFSET($AM$3,0,0,'Données projet'!$E$10+1,1))-AVERAGE(OFFSET($H$3,0,0,'Données projet'!$E$10+1,1))</f>
        <v>347.02720636703873</v>
      </c>
      <c r="AO93" s="59">
        <f t="shared" si="90"/>
        <v>394.03759949558702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132.28396898367276</v>
      </c>
      <c r="AV93" s="21">
        <f>EXP(-LN(2)/25)*AV92+(1-EXP(-LN(2)/25))/(LN(2)/25)*Calculateur!AQ93*Calculateur!AS93*VLOOKUP('Données projet'!$B$10,Paramètres!$A$1:$I$89,3,0)*0.475*44/12</f>
        <v>57.684581634518487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189.96855061819124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-3.4106051316484809E-13</v>
      </c>
      <c r="BE93" s="13">
        <f>BD93*VLOOKUP('Données projet'!$B$11,Paramètres!$A$1:$I$89,3,0)*VLOOKUP('Données projet'!$B$11,Paramètres!$A$1:$I$89,5,0)</f>
        <v>-2.0395418687257919E-13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378.75660696651238</v>
      </c>
      <c r="BJ93" s="59">
        <f t="shared" si="92"/>
        <v>371.70674704563288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130.85850916562165</v>
      </c>
      <c r="BQ93" s="21">
        <f>EXP(-LN(2)/25)*BQ92+(1-EXP(-LN(2)/25))/(LN(2)/25)*Calculateur!BL93*Calculateur!BN93*VLOOKUP('Données projet'!$B$11,Paramètres!$A$1:$I$89,3,0)*0.475*44/12</f>
        <v>55.735244222612657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186.59375338823432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172</v>
      </c>
      <c r="BW93" s="12">
        <f>VLOOKUP(A93,'Données projet'!$A$113:$I$133,9,0)</f>
        <v>4.4444444444444446</v>
      </c>
      <c r="BX93" s="12">
        <f t="array" ref="BX93">INDEX(BW:BW,MIN(IF(ISNUMBER(BW93:BW289),ROW(BW93:BW289),"")))</f>
        <v>4.4444444444444446</v>
      </c>
      <c r="BY93" s="12">
        <f>IF('Données projet'!$A$114&gt;35,BY92+BX93-CG92,IF(A93&lt;'Données projet'!$A$114,$BV$205^A93,IF(A93='Données projet'!$A$114,'Données projet'!$B$114,BY92+BX93-CG92)))</f>
        <v>172.00000000000017</v>
      </c>
      <c r="BZ93" s="13">
        <f>BY93*VLOOKUP('Données projet'!$B$12,Paramètres!$A$1:$I$89,3,0)*VLOOKUP('Données projet'!$B$12,Paramètres!$A$1:$I$89,5,0)</f>
        <v>174.40800000000019</v>
      </c>
      <c r="CA93" s="13">
        <f t="shared" si="93"/>
        <v>44.075793288194866</v>
      </c>
      <c r="CB93" s="20">
        <f t="shared" si="64"/>
        <v>380.5259399769397</v>
      </c>
      <c r="CC93" s="59">
        <f t="shared" si="65"/>
        <v>673.85927331027301</v>
      </c>
      <c r="CD93" s="59">
        <f ca="1">AVERAGE(OFFSET($CC$3,0,0,'Données projet'!$E$12+1,1))-AVERAGE(OFFSET($H$3,0,0,'Données projet'!$E$12+1,1))</f>
        <v>410.75375635525211</v>
      </c>
      <c r="CE93" s="59">
        <f t="shared" si="94"/>
        <v>183.55513001437367</v>
      </c>
      <c r="CF93" s="15">
        <f>IF(ISNA(VLOOKUP(A93,'Données projet'!$A$113:$I$133,3,0)),0,VLOOKUP(A93,'Données projet'!$A$113:$I$133,3,0))</f>
        <v>5</v>
      </c>
      <c r="CG93" s="15">
        <f>IF(ISNA(VLOOKUP(A93,'Données projet'!$A$113:$I$133,4,0)),0,VLOOKUP(A93,'Données projet'!$A$113:$I$133,4,0))</f>
        <v>26</v>
      </c>
      <c r="CH93" s="16">
        <f>IF(ISNA(VLOOKUP(A93,'Données projet'!$A$113:$I$133,5,0)),0%,VLOOKUP(A93,'Données projet'!$A$113:$I$133,5,0)*VLOOKUP('Données projet'!$B$12,Paramètres!$A$1:$I$89,7,0))</f>
        <v>0.25800000000000001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26.98636694670278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26.98636694670278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5.7777777777777777</v>
      </c>
      <c r="CT93" s="12">
        <f>IF('Données projet'!$A$140&gt;35,CT92+CS93-DB92,IF(A93&lt;'Données projet'!$A$140,$CQ$205^A93,IF(A93='Données projet'!$A$140,'Données projet'!$B$140,CT92+CS93-DB92)))</f>
        <v>222.66666666666666</v>
      </c>
      <c r="CU93" s="17">
        <f>CT93*VLOOKUP('Données projet'!$B$13,Paramètres!$A$1:$I$89,3,0)*VLOOKUP('Données projet'!$B$13,Paramètres!$A$1:$I$89,5,0)</f>
        <v>201.46879999999999</v>
      </c>
      <c r="CV93" s="13">
        <f t="shared" si="95"/>
        <v>50.066827914349915</v>
      </c>
      <c r="CW93" s="20">
        <f t="shared" si="67"/>
        <v>438.09121861749276</v>
      </c>
      <c r="CX93" s="59">
        <f t="shared" si="68"/>
        <v>731.42455195082607</v>
      </c>
      <c r="CY93" s="59">
        <f ca="1">AVERAGE(OFFSET($CX$3,0,0,'Données projet'!$E$13+1,1))-AVERAGE(OFFSET($H$3,0,0,'Données projet'!$E$13+1,1))</f>
        <v>436.12708882925142</v>
      </c>
      <c r="CZ93" s="59">
        <f t="shared" si="96"/>
        <v>217.65884352525285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27.993784375530495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27.993784375530495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525</v>
      </c>
      <c r="DM93" s="12">
        <f>VLOOKUP(A93,'Données projet'!$A$165:$I$185,9,0)</f>
        <v>11.4</v>
      </c>
      <c r="DN93" s="12">
        <f t="array" ref="DN93">INDEX(DM:DM,MIN(IF(ISNUMBER(DM93:DM289),ROW(DM93:DM289),"")))</f>
        <v>11.4</v>
      </c>
      <c r="DO93" s="12">
        <f>IF('Données projet'!$A$166&gt;35,DO92+DN93-DW92,IF(A93&lt;'Données projet'!$A$166,$DL$205^A93,IF(A93='Données projet'!$A$166,'Données projet'!$B$166,DO92+DN93-DW92)))</f>
        <v>525.00000000000023</v>
      </c>
      <c r="DP93" s="17">
        <f>DO93*VLOOKUP('Données projet'!$B$14,Paramètres!$A$1:$I$89,3,0)*VLOOKUP('Données projet'!$B$14,Paramètres!$A$1:$I$89,5,0)</f>
        <v>499.5900000000002</v>
      </c>
      <c r="DQ93" s="13">
        <f t="shared" si="97"/>
        <v>111.69845413428877</v>
      </c>
      <c r="DR93" s="20">
        <f t="shared" si="70"/>
        <v>1064.6607242838866</v>
      </c>
      <c r="DS93" s="59">
        <f t="shared" si="71"/>
        <v>1357.9940576172198</v>
      </c>
      <c r="DT93" s="59">
        <f ca="1">AVERAGE(OFFSET($DS$3,0,0,'Données projet'!$E$14+1,1))-AVERAGE(OFFSET($H$3,0,0,'Données projet'!$E$14+1,1))</f>
        <v>735.50267870886194</v>
      </c>
      <c r="DU93" s="59">
        <f t="shared" si="98"/>
        <v>525.80345400853275</v>
      </c>
      <c r="DV93" s="15">
        <f>IF(ISNA(VLOOKUP(A93,'Données projet'!$A$165:$I$185,3,0)),0,VLOOKUP(A93,'Données projet'!$A$165:$I$185,3,0))</f>
        <v>16</v>
      </c>
      <c r="DW93" s="15">
        <f>IF(ISNA(VLOOKUP(A93,'Données projet'!$A$165:$I$185,4,0)),0,VLOOKUP(A93,'Données projet'!$A$165:$I$185,4,0))</f>
        <v>49</v>
      </c>
      <c r="DX93" s="16">
        <f>IF(ISNA(VLOOKUP(A93,'Données projet'!$A$165:$I$185,5,0)),0%,VLOOKUP(A93,'Données projet'!$A$165:$I$185,5,0)*VLOOKUP('Données projet'!$B$14,Paramètres!$A$1:$I$89,7,0))</f>
        <v>0.25800000000000001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86.061394464642831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86.061394464642831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172</v>
      </c>
      <c r="EH93" s="12">
        <f>VLOOKUP(A93,'Données projet'!$A$191:$I$211,9,0)</f>
        <v>4.4444444444444446</v>
      </c>
      <c r="EI93" s="12">
        <f t="array" ref="EI93">INDEX(EH:EH,MIN(IF(ISNUMBER(EH93:EH289),ROW(EH93:EH289),"")))</f>
        <v>4.4444444444444446</v>
      </c>
      <c r="EJ93" s="12">
        <f>IF('Données projet'!$A$192&gt;35,EJ92+EI93-ER92,IF(A93&lt;'Données projet'!$A$192,$EG$205^A93,IF(A93='Données projet'!$A$192,'Données projet'!$B$192,EJ92+EI93-ER92)))</f>
        <v>172.00000000000017</v>
      </c>
      <c r="EK93" s="17">
        <f>EJ93*VLOOKUP('Données projet'!$B$15,Paramètres!$A$1:$I$89,3,0)*VLOOKUP('Données projet'!$B$15,Paramètres!$A$1:$I$89,5,0)</f>
        <v>110.0112000000001</v>
      </c>
      <c r="EL93" s="13">
        <f t="shared" si="99"/>
        <v>29.33362336427934</v>
      </c>
      <c r="EM93" s="20">
        <f t="shared" si="73"/>
        <v>242.69223402612002</v>
      </c>
      <c r="EN93" s="59">
        <f t="shared" si="74"/>
        <v>536.02556735945336</v>
      </c>
      <c r="EO93" s="59">
        <f ca="1">AVERAGE(OFFSET($EN$3,0,0,'Données projet'!$E$15+1,1))-AVERAGE(OFFSET($H$3,0,0,'Données projet'!$E$15+1,1))</f>
        <v>274.14900959323484</v>
      </c>
      <c r="EP93" s="59">
        <f t="shared" si="100"/>
        <v>130.44590390921582</v>
      </c>
      <c r="EQ93" s="15">
        <f>IF(ISNA(VLOOKUP(A93,'Données projet'!$A$191:$I$211,3,0)),0,VLOOKUP(A93,'Données projet'!$A$191:$I$211,3,0))</f>
        <v>5</v>
      </c>
      <c r="ER93" s="15">
        <f>IF(ISNA(VLOOKUP(A93,'Données projet'!$A$191:$I$211,4,0)),0,VLOOKUP(A93,'Données projet'!$A$191:$I$211,4,0))</f>
        <v>26</v>
      </c>
      <c r="ES93" s="16">
        <f>IF(ISNA(VLOOKUP(A93,'Données projet'!$A$191:$I$211,5,0)),0%,VLOOKUP(A93,'Données projet'!$A$191:$I$211,5,0)*VLOOKUP('Données projet'!$B$15,Paramètres!$A$1:$I$89,7,0))</f>
        <v>0.25800000000000001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17.022169920227913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17.022169920227913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>
        <f>VLOOKUP(A93,'Données projet'!$A$217:$I$237,2,0)</f>
        <v>596.20000000000005</v>
      </c>
      <c r="FC93" s="12">
        <f>VLOOKUP(A93,'Données projet'!$A$217:$I$237,9,0)</f>
        <v>6.9000000000000057</v>
      </c>
      <c r="FD93" s="12">
        <f t="array" ref="FD93">INDEX(FC:FC,MIN(IF(ISNUMBER(FC93:FC289),ROW(FC93:FC289),"")))</f>
        <v>6.9000000000000057</v>
      </c>
      <c r="FE93" s="12">
        <f>IF('Données projet'!$A$218&gt;35,FE92+FD93-FM92,IF(A93&lt;'Données projet'!$A$218,$FB$205^A93,IF(A93='Données projet'!$A$218,'Données projet'!$B$218,FE92+FD93-FM92)))</f>
        <v>596.19999999999982</v>
      </c>
      <c r="FF93" s="17">
        <f>FE93*VLOOKUP('Données projet'!$B$16,Paramètres!$A$1:$I$89,3,0)*VLOOKUP('Données projet'!$B$16,Paramètres!$A$1:$I$89,5,0)</f>
        <v>356.52759999999995</v>
      </c>
      <c r="FG93" s="13">
        <f t="shared" si="101"/>
        <v>82.905162947947815</v>
      </c>
      <c r="FH93" s="20">
        <f t="shared" si="76"/>
        <v>765.34539546767564</v>
      </c>
      <c r="FI93" s="59">
        <f t="shared" si="77"/>
        <v>1058.6787288010089</v>
      </c>
      <c r="FJ93" s="59">
        <f ca="1">AVERAGE(OFFSET($FI$3,0,0,'Données projet'!$E$16+1,1))-AVERAGE(OFFSET($H$3,0,0,'Données projet'!$E$16+1,1))</f>
        <v>405.42845699663462</v>
      </c>
      <c r="FK93" s="59">
        <f t="shared" si="102"/>
        <v>292.26503163353146</v>
      </c>
      <c r="FL93" s="15">
        <f>IF(ISNA(VLOOKUP(A93,'Données projet'!$A$217:$I$237,3,0)),0,VLOOKUP(A93,'Données projet'!$A$217:$I$237,3,0))</f>
        <v>12</v>
      </c>
      <c r="FM93" s="15">
        <f>IF(ISNA(VLOOKUP(A93,'Données projet'!$A$217:$I$237,4,0)),0,VLOOKUP(A93,'Données projet'!$A$217:$I$237,4,0))</f>
        <v>596.20000000000005</v>
      </c>
      <c r="FN93" s="16">
        <f>IF(ISNA(VLOOKUP(A93,'Données projet'!$A$217:$I$237,5,0)),0%,VLOOKUP(A93,'Données projet'!$A$217:$I$237,5,0)*VLOOKUP('Données projet'!$B$16,Paramètres!$A$1:$I$89,7,0))</f>
        <v>0.315</v>
      </c>
      <c r="FO93" s="16">
        <f>IF(ISNA(VLOOKUP(A93,'Données projet'!$A$217:$I$237,6,0)),0%,VLOOKUP(A93,'Données projet'!$A$217:$I$237,6,0)*VLOOKUP('Données projet'!$B$16,Paramètres!$A$1:$I$89,7,0))</f>
        <v>0.13500000000000001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194.56140841295945</v>
      </c>
      <c r="FR93" s="21">
        <f>EXP(-LN(2)/25)*FR92+(1-EXP(-LN(2)/25))/(LN(2)/25)*Calculateur!FM93*Calculateur!FO93*VLOOKUP('Données projet'!$B$16,Paramètres!$A$1:$I$89,3,0)*0.475*44/12</f>
        <v>85.956200727697791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280.51760914065721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>
        <f>VLOOKUP(A93,'Données projet'!$A$243:$I$263,2,0)</f>
        <v>596.20000000000005</v>
      </c>
      <c r="FX93" s="12">
        <f>VLOOKUP(A93,'Données projet'!$A$243:$I$263,9,0)</f>
        <v>6.9000000000000057</v>
      </c>
      <c r="FY93" s="12">
        <f t="array" ref="FY93">INDEX(FX:FX,MIN(IF(ISNUMBER(FX93:FX289),ROW(FX93:FX289),"")))</f>
        <v>6.9000000000000057</v>
      </c>
      <c r="FZ93" s="12">
        <f>IF('Données projet'!$A$244&gt;35,FZ92+FY93-GH92,IF(A93&lt;'Données projet'!$A$244,$FW$205^A93,IF(A93='Données projet'!$A$244,'Données projet'!$B$244,FZ92+FY93-GH92)))</f>
        <v>596.19999999999982</v>
      </c>
      <c r="GA93" s="17">
        <f>FZ93*VLOOKUP('Données projet'!$B$17,Paramètres!$A$1:$I$89,3,0)*VLOOKUP('Données projet'!$B$17,Paramètres!$A$1:$I$89,5,0)</f>
        <v>356.52759999999995</v>
      </c>
      <c r="GB93" s="13">
        <f t="shared" si="103"/>
        <v>82.905162947947815</v>
      </c>
      <c r="GC93" s="20">
        <f t="shared" si="79"/>
        <v>765.34539546767564</v>
      </c>
      <c r="GD93" s="59">
        <f t="shared" si="80"/>
        <v>1058.6787288010089</v>
      </c>
      <c r="GE93" s="59">
        <f ca="1">AVERAGE(OFFSET($GD$3,0,0,'Données projet'!$E$17+1,1))-AVERAGE(OFFSET($H$3,0,0,'Données projet'!$E$17+1,1))</f>
        <v>405.42845699663462</v>
      </c>
      <c r="GF93" s="59">
        <f t="shared" si="104"/>
        <v>292.26503163353146</v>
      </c>
      <c r="GG93" s="15">
        <f>IF(ISNA(VLOOKUP(A93,'Données projet'!$A$243:$I$263,3,0)),0,VLOOKUP(A93,'Données projet'!$A$243:$I$263,3,0))</f>
        <v>12</v>
      </c>
      <c r="GH93" s="15">
        <f>IF(ISNA(VLOOKUP(A93,'Données projet'!$A$243:$I$263,4,0)),0,VLOOKUP(A93,'Données projet'!$A$243:$I$263,4,0))</f>
        <v>596.20000000000005</v>
      </c>
      <c r="GI93" s="16">
        <f>IF(ISNA(VLOOKUP(A93,'Données projet'!$A$243:$I$263,5,0)),0%,VLOOKUP(A93,'Données projet'!$A$243:$I$263,5,0)*VLOOKUP('Données projet'!$B$17,Paramètres!$A$1:$I$89,7,0))</f>
        <v>0.315</v>
      </c>
      <c r="GJ93" s="16">
        <f>IF(ISNA(VLOOKUP(A93,'Données projet'!$A$243:$I$263,6,0)),0%,VLOOKUP(A93,'Données projet'!$A$243:$I$263,6,0)*VLOOKUP('Données projet'!$B$17,Paramètres!$A$1:$I$89,7,0))</f>
        <v>0.13500000000000001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194.56140841295945</v>
      </c>
      <c r="GM93" s="21">
        <f>EXP(-LN(2)/25)*GM92+(1-EXP(-LN(2)/25))/(LN(2)/25)*Calculateur!GH93*Calculateur!GJ93*VLOOKUP('Données projet'!$B$17,Paramètres!$A$1:$I$89,3,0)*0.475*44/12</f>
        <v>85.956200727697791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280.51760914065721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-5.3205440053716299E-14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198.26255998041</v>
      </c>
      <c r="T94" s="59">
        <f t="shared" si="88"/>
        <v>238.62101708181166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59.41194752917842</v>
      </c>
      <c r="AA94" s="21">
        <f>EXP(-LN(2)/25)*AA93+(1-EXP(-LN(2)/25))/(LN(2)/25)*Calculateur!V94*Calculateur!X94*VLOOKUP('Données projet'!$B$9,Paramètres!$A$1:$I$89,3,0)*0.475*44/12</f>
        <v>26.361873061703051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85.773820590881471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3.4106051316484809E-13</v>
      </c>
      <c r="AJ94" s="13">
        <f>AI94*VLOOKUP('Données projet'!$B$10,Paramètres!$A$1:$I$89,3,0)*VLOOKUP('Données projet'!$B$10,Paramètres!$A$1:$I$89,5,0)</f>
        <v>1.9065282685915009E-13</v>
      </c>
      <c r="AK94" s="13">
        <f t="shared" si="89"/>
        <v>2.6568987209435707E-12</v>
      </c>
      <c r="AL94" s="20">
        <f t="shared" si="58"/>
        <v>4.959485612423072E-12</v>
      </c>
      <c r="AM94" s="59">
        <f t="shared" si="59"/>
        <v>293.33333333333826</v>
      </c>
      <c r="AN94" s="59">
        <f ca="1">AVERAGE(OFFSET($AM$3,0,0,'Données projet'!$E$10+1,1))-AVERAGE(OFFSET($H$3,0,0,'Données projet'!$E$10+1,1))</f>
        <v>347.02720636703873</v>
      </c>
      <c r="AO94" s="59">
        <f t="shared" si="90"/>
        <v>394.03759949558702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129.68996103715702</v>
      </c>
      <c r="AV94" s="21">
        <f>EXP(-LN(2)/25)*AV93+(1-EXP(-LN(2)/25))/(LN(2)/25)*Calculateur!AQ94*Calculateur!AS94*VLOOKUP('Données projet'!$B$10,Paramètres!$A$1:$I$89,3,0)*0.475*44/12</f>
        <v>56.10719371622227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185.79715475337929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-3.4106051316484809E-13</v>
      </c>
      <c r="BE94" s="13">
        <f>BD94*VLOOKUP('Données projet'!$B$11,Paramètres!$A$1:$I$89,3,0)*VLOOKUP('Données projet'!$B$11,Paramètres!$A$1:$I$89,5,0)</f>
        <v>-2.0395418687257919E-13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378.75660696651238</v>
      </c>
      <c r="BJ94" s="59">
        <f t="shared" si="92"/>
        <v>371.70674704563288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128.29245361669325</v>
      </c>
      <c r="BQ94" s="21">
        <f>EXP(-LN(2)/25)*BQ93+(1-EXP(-LN(2)/25))/(LN(2)/25)*Calculateur!BL94*Calculateur!BN94*VLOOKUP('Données projet'!$B$11,Paramètres!$A$1:$I$89,3,0)*0.475*44/12</f>
        <v>54.211161038356202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182.50361465504946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4.333333333333333</v>
      </c>
      <c r="BY94" s="12">
        <f>IF('Données projet'!$A$114&gt;35,BY93+BX94-CG93,IF(A94&lt;'Données projet'!$A$114,$BV$205^A94,IF(A94='Données projet'!$A$114,'Données projet'!$B$114,BY93+BX94-CG93)))</f>
        <v>150.33333333333351</v>
      </c>
      <c r="BZ94" s="13">
        <f>BY94*VLOOKUP('Données projet'!$B$12,Paramètres!$A$1:$I$89,3,0)*VLOOKUP('Données projet'!$B$12,Paramètres!$A$1:$I$89,5,0)</f>
        <v>152.43800000000019</v>
      </c>
      <c r="CA94" s="13">
        <f t="shared" si="93"/>
        <v>39.132108917404096</v>
      </c>
      <c r="CB94" s="20">
        <f t="shared" si="64"/>
        <v>333.65127303114576</v>
      </c>
      <c r="CC94" s="59">
        <f t="shared" si="65"/>
        <v>626.98460636447908</v>
      </c>
      <c r="CD94" s="59">
        <f ca="1">AVERAGE(OFFSET($CC$3,0,0,'Données projet'!$E$12+1,1))-AVERAGE(OFFSET($H$3,0,0,'Données projet'!$E$12+1,1))</f>
        <v>410.75375635525211</v>
      </c>
      <c r="CE94" s="59">
        <f t="shared" si="94"/>
        <v>183.55513001437367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26.45718075093648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26.45718075093648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5.7777777777777777</v>
      </c>
      <c r="CT94" s="12">
        <f>IF('Données projet'!$A$140&gt;35,CT93+CS94-DB93,IF(A94&lt;'Données projet'!$A$140,$CQ$205^A94,IF(A94='Données projet'!$A$140,'Données projet'!$B$140,CT93+CS94-DB93)))</f>
        <v>228.44444444444443</v>
      </c>
      <c r="CU94" s="17">
        <f>CT94*VLOOKUP('Données projet'!$B$13,Paramètres!$A$1:$I$89,3,0)*VLOOKUP('Données projet'!$B$13,Paramètres!$A$1:$I$89,5,0)</f>
        <v>206.69653333333332</v>
      </c>
      <c r="CV94" s="13">
        <f t="shared" si="95"/>
        <v>51.213030302078494</v>
      </c>
      <c r="CW94" s="20">
        <f t="shared" si="67"/>
        <v>449.19248999834218</v>
      </c>
      <c r="CX94" s="59">
        <f t="shared" si="68"/>
        <v>742.5258233316755</v>
      </c>
      <c r="CY94" s="59">
        <f ca="1">AVERAGE(OFFSET($CX$3,0,0,'Données projet'!$E$13+1,1))-AVERAGE(OFFSET($H$3,0,0,'Données projet'!$E$13+1,1))</f>
        <v>436.12708882925142</v>
      </c>
      <c r="CZ94" s="59">
        <f t="shared" si="96"/>
        <v>217.65884352525285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27.444843338448841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27.444843338448841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10.6</v>
      </c>
      <c r="DO94" s="12">
        <f>IF('Données projet'!$A$166&gt;35,DO93+DN94-DW93,IF(A94&lt;'Données projet'!$A$166,$DL$205^A94,IF(A94='Données projet'!$A$166,'Données projet'!$B$166,DO93+DN94-DW93)))</f>
        <v>486.60000000000025</v>
      </c>
      <c r="DP94" s="17">
        <f>DO94*VLOOKUP('Données projet'!$B$14,Paramètres!$A$1:$I$89,3,0)*VLOOKUP('Données projet'!$B$14,Paramètres!$A$1:$I$89,5,0)</f>
        <v>463.04856000000024</v>
      </c>
      <c r="DQ94" s="13">
        <f t="shared" si="97"/>
        <v>104.44789067080914</v>
      </c>
      <c r="DR94" s="20">
        <f t="shared" si="70"/>
        <v>988.38965158499298</v>
      </c>
      <c r="DS94" s="59">
        <f t="shared" si="71"/>
        <v>1281.7229849183263</v>
      </c>
      <c r="DT94" s="59">
        <f ca="1">AVERAGE(OFFSET($DS$3,0,0,'Données projet'!$E$14+1,1))-AVERAGE(OFFSET($H$3,0,0,'Données projet'!$E$14+1,1))</f>
        <v>735.50267870886194</v>
      </c>
      <c r="DU94" s="59">
        <f t="shared" si="98"/>
        <v>525.80345400853275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84.373783011458627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84.373783011458627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4.333333333333333</v>
      </c>
      <c r="EJ94" s="12">
        <f>IF('Données projet'!$A$192&gt;35,EJ93+EI94-ER93,IF(A94&lt;'Données projet'!$A$192,$EG$205^A94,IF(A94='Données projet'!$A$192,'Données projet'!$B$192,EJ93+EI94-ER93)))</f>
        <v>150.33333333333351</v>
      </c>
      <c r="EK94" s="17">
        <f>EJ94*VLOOKUP('Données projet'!$B$15,Paramètres!$A$1:$I$89,3,0)*VLOOKUP('Données projet'!$B$15,Paramètres!$A$1:$I$89,5,0)</f>
        <v>96.153200000000112</v>
      </c>
      <c r="EL94" s="13">
        <f t="shared" si="99"/>
        <v>26.043468734130201</v>
      </c>
      <c r="EM94" s="20">
        <f t="shared" si="73"/>
        <v>212.82586471194361</v>
      </c>
      <c r="EN94" s="59">
        <f t="shared" si="74"/>
        <v>506.15919804527692</v>
      </c>
      <c r="EO94" s="59">
        <f ca="1">AVERAGE(OFFSET($EN$3,0,0,'Données projet'!$E$15+1,1))-AVERAGE(OFFSET($H$3,0,0,'Données projet'!$E$15+1,1))</f>
        <v>274.14900959323484</v>
      </c>
      <c r="EP94" s="59">
        <f t="shared" si="100"/>
        <v>130.44590390921582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16.68837555059071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16.68837555059071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-2.2737367544323206E-13</v>
      </c>
      <c r="FF94" s="17">
        <f>FE94*VLOOKUP('Données projet'!$B$16,Paramètres!$A$1:$I$89,3,0)*VLOOKUP('Données projet'!$B$16,Paramètres!$A$1:$I$89,5,0)</f>
        <v>-1.3596945791505279E-13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405.42845699663462</v>
      </c>
      <c r="FK94" s="59">
        <f t="shared" si="102"/>
        <v>292.26503163353146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190.74617786472268</v>
      </c>
      <c r="FR94" s="21">
        <f>EXP(-LN(2)/25)*FR93+(1-EXP(-LN(2)/25))/(LN(2)/25)*Calculateur!FM94*Calculateur!FO94*VLOOKUP('Données projet'!$B$16,Paramètres!$A$1:$I$89,3,0)*0.475*44/12</f>
        <v>83.60572389855875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274.35190176328143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-2.2737367544323206E-13</v>
      </c>
      <c r="GA94" s="17">
        <f>FZ94*VLOOKUP('Données projet'!$B$17,Paramètres!$A$1:$I$89,3,0)*VLOOKUP('Données projet'!$B$17,Paramètres!$A$1:$I$89,5,0)</f>
        <v>-1.3596945791505279E-13</v>
      </c>
      <c r="GB94" s="13" t="e">
        <f t="shared" si="103"/>
        <v>#NUM!</v>
      </c>
      <c r="GC94" s="20" t="e">
        <f t="shared" si="79"/>
        <v>#NUM!</v>
      </c>
      <c r="GD94" s="59" t="e">
        <f t="shared" si="80"/>
        <v>#NUM!</v>
      </c>
      <c r="GE94" s="59">
        <f ca="1">AVERAGE(OFFSET($GD$3,0,0,'Données projet'!$E$17+1,1))-AVERAGE(OFFSET($H$3,0,0,'Données projet'!$E$17+1,1))</f>
        <v>405.42845699663462</v>
      </c>
      <c r="GF94" s="59">
        <f t="shared" si="104"/>
        <v>292.26503163353146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190.74617786472268</v>
      </c>
      <c r="GM94" s="21">
        <f>EXP(-LN(2)/25)*GM93+(1-EXP(-LN(2)/25))/(LN(2)/25)*Calculateur!GH94*Calculateur!GJ94*VLOOKUP('Données projet'!$B$17,Paramètres!$A$1:$I$89,3,0)*0.475*44/12</f>
        <v>83.60572389855875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274.35190176328143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-5.3205440053716299E-14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198.26255998041</v>
      </c>
      <c r="T95" s="59">
        <f t="shared" si="88"/>
        <v>238.62101708181166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58.24691547584105</v>
      </c>
      <c r="AA95" s="21">
        <f>EXP(-LN(2)/25)*AA94+(1-EXP(-LN(2)/25))/(LN(2)/25)*Calculateur!V95*Calculateur!X95*VLOOKUP('Données projet'!$B$9,Paramètres!$A$1:$I$89,3,0)*0.475*44/12</f>
        <v>25.641006256520129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83.887921732361178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3.4106051316484809E-13</v>
      </c>
      <c r="AJ95" s="13">
        <f>AI95*VLOOKUP('Données projet'!$B$10,Paramètres!$A$1:$I$89,3,0)*VLOOKUP('Données projet'!$B$10,Paramètres!$A$1:$I$89,5,0)</f>
        <v>1.9065282685915009E-13</v>
      </c>
      <c r="AK95" s="13">
        <f t="shared" si="89"/>
        <v>2.6568987209435707E-12</v>
      </c>
      <c r="AL95" s="20">
        <f t="shared" si="58"/>
        <v>4.959485612423072E-12</v>
      </c>
      <c r="AM95" s="59">
        <f t="shared" si="59"/>
        <v>293.33333333333826</v>
      </c>
      <c r="AN95" s="59">
        <f ca="1">AVERAGE(OFFSET($AM$3,0,0,'Données projet'!$E$10+1,1))-AVERAGE(OFFSET($H$3,0,0,'Données projet'!$E$10+1,1))</f>
        <v>347.02720636703873</v>
      </c>
      <c r="AO95" s="59">
        <f t="shared" si="90"/>
        <v>394.03759949558702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127.14682000428382</v>
      </c>
      <c r="AV95" s="21">
        <f>EXP(-LN(2)/25)*AV94+(1-EXP(-LN(2)/25))/(LN(2)/25)*Calculateur!AQ95*Calculateur!AS95*VLOOKUP('Données projet'!$B$10,Paramètres!$A$1:$I$89,3,0)*0.475*44/12</f>
        <v>54.57293955350309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181.71975955778692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-3.4106051316484809E-13</v>
      </c>
      <c r="BE95" s="13">
        <f>BD95*VLOOKUP('Données projet'!$B$11,Paramètres!$A$1:$I$89,3,0)*VLOOKUP('Données projet'!$B$11,Paramètres!$A$1:$I$89,5,0)</f>
        <v>-2.0395418687257919E-13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378.75660696651238</v>
      </c>
      <c r="BJ95" s="59">
        <f t="shared" si="92"/>
        <v>371.70674704563288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125.77671685193999</v>
      </c>
      <c r="BQ95" s="21">
        <f>EXP(-LN(2)/25)*BQ94+(1-EXP(-LN(2)/25))/(LN(2)/25)*Calculateur!BL95*Calculateur!BN95*VLOOKUP('Données projet'!$B$11,Paramètres!$A$1:$I$89,3,0)*0.475*44/12</f>
        <v>52.728753988921291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178.50547084086128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4.333333333333333</v>
      </c>
      <c r="BY95" s="12">
        <f>IF('Données projet'!$A$114&gt;35,BY94+BX95-CG94,IF(A95&lt;'Données projet'!$A$114,$BV$205^A95,IF(A95='Données projet'!$A$114,'Données projet'!$B$114,BY94+BX95-CG94)))</f>
        <v>154.66666666666686</v>
      </c>
      <c r="BZ95" s="13">
        <f>BY95*VLOOKUP('Données projet'!$B$12,Paramètres!$A$1:$I$89,3,0)*VLOOKUP('Données projet'!$B$12,Paramètres!$A$1:$I$89,5,0)</f>
        <v>156.83200000000019</v>
      </c>
      <c r="CA95" s="13">
        <f t="shared" si="93"/>
        <v>40.127134611967058</v>
      </c>
      <c r="CB95" s="20">
        <f t="shared" si="64"/>
        <v>343.03715944917622</v>
      </c>
      <c r="CC95" s="59">
        <f t="shared" si="65"/>
        <v>636.37049278250947</v>
      </c>
      <c r="CD95" s="59">
        <f ca="1">AVERAGE(OFFSET($CC$3,0,0,'Données projet'!$E$12+1,1))-AVERAGE(OFFSET($H$3,0,0,'Données projet'!$E$12+1,1))</f>
        <v>410.75375635525211</v>
      </c>
      <c r="CE95" s="59">
        <f t="shared" si="94"/>
        <v>183.55513001437367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25.938371573697449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25.938371573697449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5.7777777777777777</v>
      </c>
      <c r="CT95" s="12">
        <f>IF('Données projet'!$A$140&gt;35,CT94+CS95-DB94,IF(A95&lt;'Données projet'!$A$140,$CQ$205^A95,IF(A95='Données projet'!$A$140,'Données projet'!$B$140,CT94+CS95-DB94)))</f>
        <v>234.2222222222222</v>
      </c>
      <c r="CU95" s="17">
        <f>CT95*VLOOKUP('Données projet'!$B$13,Paramètres!$A$1:$I$89,3,0)*VLOOKUP('Données projet'!$B$13,Paramètres!$A$1:$I$89,5,0)</f>
        <v>211.92426666666663</v>
      </c>
      <c r="CV95" s="13">
        <f t="shared" si="95"/>
        <v>52.355862888154732</v>
      </c>
      <c r="CW95" s="20">
        <f t="shared" si="67"/>
        <v>460.28789230798048</v>
      </c>
      <c r="CX95" s="59">
        <f t="shared" si="68"/>
        <v>753.6212256413138</v>
      </c>
      <c r="CY95" s="59">
        <f ca="1">AVERAGE(OFFSET($CX$3,0,0,'Données projet'!$E$13+1,1))-AVERAGE(OFFSET($H$3,0,0,'Données projet'!$E$13+1,1))</f>
        <v>436.12708882925142</v>
      </c>
      <c r="CZ95" s="59">
        <f t="shared" si="96"/>
        <v>217.65884352525285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26.906666700283388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26.906666700283388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10.6</v>
      </c>
      <c r="DO95" s="12">
        <f>IF('Données projet'!$A$166&gt;35,DO94+DN95-DW94,IF(A95&lt;'Données projet'!$A$166,$DL$205^A95,IF(A95='Données projet'!$A$166,'Données projet'!$B$166,DO94+DN95-DW94)))</f>
        <v>497.20000000000027</v>
      </c>
      <c r="DP95" s="17">
        <f>DO95*VLOOKUP('Données projet'!$B$14,Paramètres!$A$1:$I$89,3,0)*VLOOKUP('Données projet'!$B$14,Paramètres!$A$1:$I$89,5,0)</f>
        <v>473.13552000000021</v>
      </c>
      <c r="DQ95" s="13">
        <f t="shared" si="97"/>
        <v>106.45579309705606</v>
      </c>
      <c r="DR95" s="20">
        <f t="shared" si="70"/>
        <v>1009.4548703107063</v>
      </c>
      <c r="DS95" s="59">
        <f t="shared" si="71"/>
        <v>1302.7882036440396</v>
      </c>
      <c r="DT95" s="59">
        <f ca="1">AVERAGE(OFFSET($DS$3,0,0,'Données projet'!$E$14+1,1))-AVERAGE(OFFSET($H$3,0,0,'Données projet'!$E$14+1,1))</f>
        <v>735.50267870886194</v>
      </c>
      <c r="DU95" s="59">
        <f t="shared" si="98"/>
        <v>525.80345400853275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82.719264589530013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82.719264589530013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4.333333333333333</v>
      </c>
      <c r="EJ95" s="12">
        <f>IF('Données projet'!$A$192&gt;35,EJ94+EI95-ER94,IF(A95&lt;'Données projet'!$A$192,$EG$205^A95,IF(A95='Données projet'!$A$192,'Données projet'!$B$192,EJ94+EI95-ER94)))</f>
        <v>154.66666666666686</v>
      </c>
      <c r="EK95" s="17">
        <f>EJ95*VLOOKUP('Données projet'!$B$15,Paramètres!$A$1:$I$89,3,0)*VLOOKUP('Données projet'!$B$15,Paramètres!$A$1:$I$89,5,0)</f>
        <v>98.924800000000118</v>
      </c>
      <c r="EL95" s="13">
        <f t="shared" si="99"/>
        <v>26.705685038922333</v>
      </c>
      <c r="EM95" s="20">
        <f t="shared" si="73"/>
        <v>218.80642810945656</v>
      </c>
      <c r="EN95" s="59">
        <f t="shared" si="74"/>
        <v>512.1397614427899</v>
      </c>
      <c r="EO95" s="59">
        <f ca="1">AVERAGE(OFFSET($EN$3,0,0,'Données projet'!$E$15+1,1))-AVERAGE(OFFSET($H$3,0,0,'Données projet'!$E$15+1,1))</f>
        <v>274.14900959323484</v>
      </c>
      <c r="EP95" s="59">
        <f t="shared" si="100"/>
        <v>130.44590390921582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16.361126684947628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16.361126684947628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-2.2737367544323206E-13</v>
      </c>
      <c r="FF95" s="17">
        <f>FE95*VLOOKUP('Données projet'!$B$16,Paramètres!$A$1:$I$89,3,0)*VLOOKUP('Données projet'!$B$16,Paramètres!$A$1:$I$89,5,0)</f>
        <v>-1.3596945791505279E-13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405.42845699663462</v>
      </c>
      <c r="FK95" s="59">
        <f t="shared" si="102"/>
        <v>292.26503163353146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187.005761660476</v>
      </c>
      <c r="FR95" s="21">
        <f>EXP(-LN(2)/25)*FR94+(1-EXP(-LN(2)/25))/(LN(2)/25)*Calculateur!FM95*Calculateur!FO95*VLOOKUP('Données projet'!$B$16,Paramètres!$A$1:$I$89,3,0)*0.475*44/12</f>
        <v>81.319520981918728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268.32528264239471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-2.2737367544323206E-13</v>
      </c>
      <c r="GA95" s="17">
        <f>FZ95*VLOOKUP('Données projet'!$B$17,Paramètres!$A$1:$I$89,3,0)*VLOOKUP('Données projet'!$B$17,Paramètres!$A$1:$I$89,5,0)</f>
        <v>-1.3596945791505279E-13</v>
      </c>
      <c r="GB95" s="13" t="e">
        <f t="shared" si="103"/>
        <v>#NUM!</v>
      </c>
      <c r="GC95" s="20" t="e">
        <f t="shared" si="79"/>
        <v>#NUM!</v>
      </c>
      <c r="GD95" s="59" t="e">
        <f t="shared" si="80"/>
        <v>#NUM!</v>
      </c>
      <c r="GE95" s="59">
        <f ca="1">AVERAGE(OFFSET($GD$3,0,0,'Données projet'!$E$17+1,1))-AVERAGE(OFFSET($H$3,0,0,'Données projet'!$E$17+1,1))</f>
        <v>405.42845699663462</v>
      </c>
      <c r="GF95" s="59">
        <f t="shared" si="104"/>
        <v>292.26503163353146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187.005761660476</v>
      </c>
      <c r="GM95" s="21">
        <f>EXP(-LN(2)/25)*GM94+(1-EXP(-LN(2)/25))/(LN(2)/25)*Calculateur!GH95*Calculateur!GJ95*VLOOKUP('Données projet'!$B$17,Paramètres!$A$1:$I$89,3,0)*0.475*44/12</f>
        <v>81.319520981918728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268.32528264239471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-5.3205440053716299E-14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198.26255998041</v>
      </c>
      <c r="T96" s="59">
        <f t="shared" si="88"/>
        <v>238.62101708181166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57.104728990470235</v>
      </c>
      <c r="AA96" s="21">
        <f>EXP(-LN(2)/25)*AA95+(1-EXP(-LN(2)/25))/(LN(2)/25)*Calculateur!V96*Calculateur!X96*VLOOKUP('Données projet'!$B$9,Paramètres!$A$1:$I$89,3,0)*0.475*44/12</f>
        <v>24.939851592033669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82.044580582503897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3.4106051316484809E-13</v>
      </c>
      <c r="AJ96" s="13">
        <f>AI96*VLOOKUP('Données projet'!$B$10,Paramètres!$A$1:$I$89,3,0)*VLOOKUP('Données projet'!$B$10,Paramètres!$A$1:$I$89,5,0)</f>
        <v>1.9065282685915009E-13</v>
      </c>
      <c r="AK96" s="13">
        <f t="shared" si="89"/>
        <v>2.6568987209435707E-12</v>
      </c>
      <c r="AL96" s="20">
        <f t="shared" si="58"/>
        <v>4.959485612423072E-12</v>
      </c>
      <c r="AM96" s="59">
        <f t="shared" si="59"/>
        <v>293.33333333333826</v>
      </c>
      <c r="AN96" s="59">
        <f ca="1">AVERAGE(OFFSET($AM$3,0,0,'Données projet'!$E$10+1,1))-AVERAGE(OFFSET($H$3,0,0,'Données projet'!$E$10+1,1))</f>
        <v>347.02720636703873</v>
      </c>
      <c r="AO96" s="59">
        <f t="shared" si="90"/>
        <v>394.03759949558702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124.65354841590241</v>
      </c>
      <c r="AV96" s="21">
        <f>EXP(-LN(2)/25)*AV95+(1-EXP(-LN(2)/25))/(LN(2)/25)*Calculateur!AQ96*Calculateur!AS96*VLOOKUP('Données projet'!$B$10,Paramètres!$A$1:$I$89,3,0)*0.475*44/12</f>
        <v>53.080639651546385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177.7341880674488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-3.4106051316484809E-13</v>
      </c>
      <c r="BE96" s="13">
        <f>BD96*VLOOKUP('Données projet'!$B$11,Paramètres!$A$1:$I$89,3,0)*VLOOKUP('Données projet'!$B$11,Paramètres!$A$1:$I$89,5,0)</f>
        <v>-2.0395418687257919E-13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378.75660696651238</v>
      </c>
      <c r="BJ96" s="59">
        <f t="shared" si="92"/>
        <v>371.70674704563288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123.31031215069564</v>
      </c>
      <c r="BQ96" s="21">
        <f>EXP(-LN(2)/25)*BQ95+(1-EXP(-LN(2)/25))/(LN(2)/25)*Calculateur!BL96*Calculateur!BN96*VLOOKUP('Données projet'!$B$11,Paramètres!$A$1:$I$89,3,0)*0.475*44/12</f>
        <v>51.286883438209578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174.59719558890521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4.333333333333333</v>
      </c>
      <c r="BY96" s="12">
        <f>IF('Données projet'!$A$114&gt;35,BY95+BX96-CG95,IF(A96&lt;'Données projet'!$A$114,$BV$205^A96,IF(A96='Données projet'!$A$114,'Données projet'!$B$114,BY95+BX96-CG95)))</f>
        <v>159.0000000000002</v>
      </c>
      <c r="BZ96" s="13">
        <f>BY96*VLOOKUP('Données projet'!$B$12,Paramètres!$A$1:$I$89,3,0)*VLOOKUP('Données projet'!$B$12,Paramètres!$A$1:$I$89,5,0)</f>
        <v>161.22600000000023</v>
      </c>
      <c r="CA96" s="13">
        <f t="shared" si="93"/>
        <v>41.118920159482563</v>
      </c>
      <c r="CB96" s="20">
        <f t="shared" si="64"/>
        <v>352.41740261109913</v>
      </c>
      <c r="CC96" s="59">
        <f t="shared" si="65"/>
        <v>645.75073594443245</v>
      </c>
      <c r="CD96" s="59">
        <f ca="1">AVERAGE(OFFSET($CC$3,0,0,'Données projet'!$E$12+1,1))-AVERAGE(OFFSET($H$3,0,0,'Données projet'!$E$12+1,1))</f>
        <v>410.75375635525211</v>
      </c>
      <c r="CE96" s="59">
        <f t="shared" si="94"/>
        <v>183.55513001437367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25.429735927981724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25.429735927981724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>
        <f>VLOOKUP(A96,'Données projet'!$A$139:$I$159,2,0)</f>
        <v>240</v>
      </c>
      <c r="CR96" s="12">
        <f>VLOOKUP(A96,'Données projet'!$A$139:$I$159,9,0)</f>
        <v>5.7777777777777777</v>
      </c>
      <c r="CS96" s="12">
        <f t="array" ref="CS96">INDEX(CR:CR,MIN(IF(ISNUMBER(CR96:CR292),ROW(CR96:CR292),"")))</f>
        <v>5.7777777777777777</v>
      </c>
      <c r="CT96" s="12">
        <f>IF('Données projet'!$A$140&gt;35,CT95+CS96-DB95,IF(A96&lt;'Données projet'!$A$140,$CQ$205^A96,IF(A96='Données projet'!$A$140,'Données projet'!$B$140,CT95+CS96-DB95)))</f>
        <v>239.99999999999997</v>
      </c>
      <c r="CU96" s="17">
        <f>CT96*VLOOKUP('Données projet'!$B$13,Paramètres!$A$1:$I$89,3,0)*VLOOKUP('Données projet'!$B$13,Paramètres!$A$1:$I$89,5,0)</f>
        <v>217.15199999999996</v>
      </c>
      <c r="CV96" s="13">
        <f t="shared" si="95"/>
        <v>53.495418360394225</v>
      </c>
      <c r="CW96" s="20">
        <f t="shared" si="67"/>
        <v>471.37758697768658</v>
      </c>
      <c r="CX96" s="59">
        <f t="shared" si="68"/>
        <v>764.71092031101989</v>
      </c>
      <c r="CY96" s="59">
        <f ca="1">AVERAGE(OFFSET($CX$3,0,0,'Données projet'!$E$13+1,1))-AVERAGE(OFFSET($H$3,0,0,'Données projet'!$E$13+1,1))</f>
        <v>436.12708882925142</v>
      </c>
      <c r="CZ96" s="59">
        <f t="shared" si="96"/>
        <v>217.65884352525285</v>
      </c>
      <c r="DA96" s="15">
        <f>IF(ISNA(VLOOKUP(A96,'Données projet'!$A$139:$I$159,3,0)),0,VLOOKUP(A96,'Données projet'!$A$139:$I$159,3,0))</f>
        <v>7</v>
      </c>
      <c r="DB96" s="15">
        <f>IF(ISNA(VLOOKUP(A96,'Données projet'!$A$139:$I$159,4,0)),0,VLOOKUP(A96,'Données projet'!$A$139:$I$159,4,0))</f>
        <v>34</v>
      </c>
      <c r="DC96" s="16">
        <f>IF(ISNA(VLOOKUP(A96,'Données projet'!$A$139:$I$159,5,0)),0%,VLOOKUP(A96,'Données projet'!$A$139:$I$159,5,0)*VLOOKUP('Données projet'!$B$13,Paramètres!$A$1:$I$89,7,0))</f>
        <v>0.25800000000000001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35.153057423686221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35.153057423686221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10.6</v>
      </c>
      <c r="DO96" s="12">
        <f>IF('Données projet'!$A$166&gt;35,DO95+DN96-DW95,IF(A96&lt;'Données projet'!$A$166,$DL$205^A96,IF(A96='Données projet'!$A$166,'Données projet'!$B$166,DO95+DN96-DW95)))</f>
        <v>507.8000000000003</v>
      </c>
      <c r="DP96" s="17">
        <f>DO96*VLOOKUP('Données projet'!$B$14,Paramètres!$A$1:$I$89,3,0)*VLOOKUP('Données projet'!$B$14,Paramètres!$A$1:$I$89,5,0)</f>
        <v>483.22248000000025</v>
      </c>
      <c r="DQ96" s="13">
        <f t="shared" si="97"/>
        <v>108.45871853809791</v>
      </c>
      <c r="DR96" s="20">
        <f t="shared" si="70"/>
        <v>1030.5114207871877</v>
      </c>
      <c r="DS96" s="59">
        <f t="shared" si="71"/>
        <v>1323.844754120521</v>
      </c>
      <c r="DT96" s="59">
        <f ca="1">AVERAGE(OFFSET($DS$3,0,0,'Données projet'!$E$14+1,1))-AVERAGE(OFFSET($H$3,0,0,'Données projet'!$E$14+1,1))</f>
        <v>735.50267870886194</v>
      </c>
      <c r="DU96" s="59">
        <f t="shared" si="98"/>
        <v>525.80345400853275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81.097190264698838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81.097190264698838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4.333333333333333</v>
      </c>
      <c r="EJ96" s="12">
        <f>IF('Données projet'!$A$192&gt;35,EJ95+EI96-ER95,IF(A96&lt;'Données projet'!$A$192,$EG$205^A96,IF(A96='Données projet'!$A$192,'Données projet'!$B$192,EJ95+EI96-ER95)))</f>
        <v>159.0000000000002</v>
      </c>
      <c r="EK96" s="17">
        <f>EJ96*VLOOKUP('Données projet'!$B$15,Paramètres!$A$1:$I$89,3,0)*VLOOKUP('Données projet'!$B$15,Paramètres!$A$1:$I$89,5,0)</f>
        <v>101.69640000000014</v>
      </c>
      <c r="EL96" s="13">
        <f t="shared" si="99"/>
        <v>27.365744938893496</v>
      </c>
      <c r="EM96" s="20">
        <f t="shared" si="73"/>
        <v>224.78323576857306</v>
      </c>
      <c r="EN96" s="59">
        <f t="shared" si="74"/>
        <v>518.11656910190641</v>
      </c>
      <c r="EO96" s="59">
        <f ca="1">AVERAGE(OFFSET($EN$3,0,0,'Données projet'!$E$15+1,1))-AVERAGE(OFFSET($H$3,0,0,'Données projet'!$E$15+1,1))</f>
        <v>274.14900959323484</v>
      </c>
      <c r="EP96" s="59">
        <f t="shared" si="100"/>
        <v>130.44590390921582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16.04029496995771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16.04029496995771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-2.2737367544323206E-13</v>
      </c>
      <c r="FF96" s="17">
        <f>FE96*VLOOKUP('Données projet'!$B$16,Paramètres!$A$1:$I$89,3,0)*VLOOKUP('Données projet'!$B$16,Paramètres!$A$1:$I$89,5,0)</f>
        <v>-1.3596945791505279E-13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405.42845699663462</v>
      </c>
      <c r="FK96" s="59">
        <f t="shared" si="102"/>
        <v>292.26503163353146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183.33869273656597</v>
      </c>
      <c r="FR96" s="21">
        <f>EXP(-LN(2)/25)*FR95+(1-EXP(-LN(2)/25))/(LN(2)/25)*Calculateur!FM96*Calculateur!FO96*VLOOKUP('Données projet'!$B$16,Paramètres!$A$1:$I$89,3,0)*0.475*44/12</f>
        <v>79.095834404260415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262.43452714082639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-2.2737367544323206E-13</v>
      </c>
      <c r="GA96" s="17">
        <f>FZ96*VLOOKUP('Données projet'!$B$17,Paramètres!$A$1:$I$89,3,0)*VLOOKUP('Données projet'!$B$17,Paramètres!$A$1:$I$89,5,0)</f>
        <v>-1.3596945791505279E-13</v>
      </c>
      <c r="GB96" s="13" t="e">
        <f t="shared" si="103"/>
        <v>#NUM!</v>
      </c>
      <c r="GC96" s="20" t="e">
        <f t="shared" si="79"/>
        <v>#NUM!</v>
      </c>
      <c r="GD96" s="59" t="e">
        <f t="shared" si="80"/>
        <v>#NUM!</v>
      </c>
      <c r="GE96" s="59">
        <f ca="1">AVERAGE(OFFSET($GD$3,0,0,'Données projet'!$E$17+1,1))-AVERAGE(OFFSET($H$3,0,0,'Données projet'!$E$17+1,1))</f>
        <v>405.42845699663462</v>
      </c>
      <c r="GF96" s="59">
        <f t="shared" si="104"/>
        <v>292.26503163353146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183.33869273656597</v>
      </c>
      <c r="GM96" s="21">
        <f>EXP(-LN(2)/25)*GM95+(1-EXP(-LN(2)/25))/(LN(2)/25)*Calculateur!GH96*Calculateur!GJ96*VLOOKUP('Données projet'!$B$17,Paramètres!$A$1:$I$89,3,0)*0.475*44/12</f>
        <v>79.095834404260415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262.43452714082639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-5.3205440053716299E-14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198.26255998041</v>
      </c>
      <c r="T97" s="59">
        <f t="shared" si="88"/>
        <v>238.62101708181166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55.984940085412575</v>
      </c>
      <c r="AA97" s="21">
        <f>EXP(-LN(2)/25)*AA96+(1-EXP(-LN(2)/25))/(LN(2)/25)*Calculateur!V97*Calculateur!X97*VLOOKUP('Données projet'!$B$9,Paramètres!$A$1:$I$89,3,0)*0.475*44/12</f>
        <v>24.257870038719712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80.242810124132291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3.4106051316484809E-13</v>
      </c>
      <c r="AJ97" s="13">
        <f>AI97*VLOOKUP('Données projet'!$B$10,Paramètres!$A$1:$I$89,3,0)*VLOOKUP('Données projet'!$B$10,Paramètres!$A$1:$I$89,5,0)</f>
        <v>1.9065282685915009E-13</v>
      </c>
      <c r="AK97" s="13">
        <f t="shared" si="89"/>
        <v>2.6568987209435707E-12</v>
      </c>
      <c r="AL97" s="20">
        <f t="shared" si="58"/>
        <v>4.959485612423072E-12</v>
      </c>
      <c r="AM97" s="59">
        <f t="shared" si="59"/>
        <v>293.33333333333826</v>
      </c>
      <c r="AN97" s="59">
        <f ca="1">AVERAGE(OFFSET($AM$3,0,0,'Données projet'!$E$10+1,1))-AVERAGE(OFFSET($H$3,0,0,'Données projet'!$E$10+1,1))</f>
        <v>347.02720636703873</v>
      </c>
      <c r="AO97" s="59">
        <f t="shared" si="90"/>
        <v>394.03759949558702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122.20916836262364</v>
      </c>
      <c r="AV97" s="21">
        <f>EXP(-LN(2)/25)*AV96+(1-EXP(-LN(2)/25))/(LN(2)/25)*Calculateur!AQ97*Calculateur!AS97*VLOOKUP('Données projet'!$B$10,Paramètres!$A$1:$I$89,3,0)*0.475*44/12</f>
        <v>51.629146768885327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173.83831513150898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-3.4106051316484809E-13</v>
      </c>
      <c r="BE97" s="13">
        <f>BD97*VLOOKUP('Données projet'!$B$11,Paramètres!$A$1:$I$89,3,0)*VLOOKUP('Données projet'!$B$11,Paramètres!$A$1:$I$89,5,0)</f>
        <v>-2.0395418687257919E-13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378.75660696651238</v>
      </c>
      <c r="BJ97" s="59">
        <f t="shared" si="92"/>
        <v>371.70674704563288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120.89227214128435</v>
      </c>
      <c r="BQ97" s="21">
        <f>EXP(-LN(2)/25)*BQ96+(1-EXP(-LN(2)/25))/(LN(2)/25)*Calculateur!BL97*Calculateur!BN97*VLOOKUP('Données projet'!$B$11,Paramètres!$A$1:$I$89,3,0)*0.475*44/12</f>
        <v>49.884440913531755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170.7767130548161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4.333333333333333</v>
      </c>
      <c r="BY97" s="12">
        <f>IF('Données projet'!$A$114&gt;35,BY96+BX97-CG96,IF(A97&lt;'Données projet'!$A$114,$BV$205^A97,IF(A97='Données projet'!$A$114,'Données projet'!$B$114,BY96+BX97-CG96)))</f>
        <v>163.33333333333354</v>
      </c>
      <c r="BZ97" s="13">
        <f>BY97*VLOOKUP('Données projet'!$B$12,Paramètres!$A$1:$I$89,3,0)*VLOOKUP('Données projet'!$B$12,Paramètres!$A$1:$I$89,5,0)</f>
        <v>165.6200000000002</v>
      </c>
      <c r="CA97" s="13">
        <f t="shared" si="93"/>
        <v>42.107564013127686</v>
      </c>
      <c r="CB97" s="20">
        <f t="shared" si="64"/>
        <v>361.79217398953114</v>
      </c>
      <c r="CC97" s="59">
        <f t="shared" si="65"/>
        <v>655.12550732286445</v>
      </c>
      <c r="CD97" s="59">
        <f ca="1">AVERAGE(OFFSET($CC$3,0,0,'Données projet'!$E$12+1,1))-AVERAGE(OFFSET($H$3,0,0,'Données projet'!$E$12+1,1))</f>
        <v>410.75375635525211</v>
      </c>
      <c r="CE97" s="59">
        <f t="shared" si="94"/>
        <v>183.55513001437367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24.931074317041375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24.931074317041375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5.6</v>
      </c>
      <c r="CT97" s="12">
        <f>IF('Données projet'!$A$140&gt;35,CT96+CS97-DB96,IF(A97&lt;'Données projet'!$A$140,$CQ$205^A97,IF(A97='Données projet'!$A$140,'Données projet'!$B$140,CT96+CS97-DB96)))</f>
        <v>211.59999999999997</v>
      </c>
      <c r="CU97" s="17">
        <f>CT97*VLOOKUP('Données projet'!$B$13,Paramètres!$A$1:$I$89,3,0)*VLOOKUP('Données projet'!$B$13,Paramètres!$A$1:$I$89,5,0)</f>
        <v>191.45567999999994</v>
      </c>
      <c r="CV97" s="13">
        <f t="shared" si="95"/>
        <v>47.861639935303188</v>
      </c>
      <c r="CW97" s="20">
        <f t="shared" si="67"/>
        <v>416.81099888731961</v>
      </c>
      <c r="CX97" s="59">
        <f t="shared" si="68"/>
        <v>710.14433222065293</v>
      </c>
      <c r="CY97" s="59">
        <f ca="1">AVERAGE(OFFSET($CX$3,0,0,'Données projet'!$E$13+1,1))-AVERAGE(OFFSET($H$3,0,0,'Données projet'!$E$13+1,1))</f>
        <v>436.12708882925142</v>
      </c>
      <c r="CZ97" s="59">
        <f t="shared" si="96"/>
        <v>217.65884352525285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34.463727408855618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34.463727408855618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10.6</v>
      </c>
      <c r="DO97" s="12">
        <f>IF('Données projet'!$A$166&gt;35,DO96+DN97-DW96,IF(A97&lt;'Données projet'!$A$166,$DL$205^A97,IF(A97='Données projet'!$A$166,'Données projet'!$B$166,DO96+DN97-DW96)))</f>
        <v>518.40000000000032</v>
      </c>
      <c r="DP97" s="17">
        <f>DO97*VLOOKUP('Données projet'!$B$14,Paramètres!$A$1:$I$89,3,0)*VLOOKUP('Données projet'!$B$14,Paramètres!$A$1:$I$89,5,0)</f>
        <v>493.30944000000028</v>
      </c>
      <c r="DQ97" s="13">
        <f t="shared" si="97"/>
        <v>110.45678285446706</v>
      </c>
      <c r="DR97" s="20">
        <f t="shared" si="70"/>
        <v>1051.5595048048638</v>
      </c>
      <c r="DS97" s="59">
        <f t="shared" si="71"/>
        <v>1344.892838138197</v>
      </c>
      <c r="DT97" s="59">
        <f ca="1">AVERAGE(OFFSET($DS$3,0,0,'Données projet'!$E$14+1,1))-AVERAGE(OFFSET($H$3,0,0,'Données projet'!$E$14+1,1))</f>
        <v>735.50267870886194</v>
      </c>
      <c r="DU97" s="59">
        <f t="shared" si="98"/>
        <v>525.80345400853275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79.506923828009946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79.506923828009946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4.333333333333333</v>
      </c>
      <c r="EJ97" s="12">
        <f>IF('Données projet'!$A$192&gt;35,EJ96+EI97-ER96,IF(A97&lt;'Données projet'!$A$192,$EG$205^A97,IF(A97='Données projet'!$A$192,'Données projet'!$B$192,EJ96+EI97-ER96)))</f>
        <v>163.33333333333354</v>
      </c>
      <c r="EK97" s="17">
        <f>EJ97*VLOOKUP('Données projet'!$B$15,Paramètres!$A$1:$I$89,3,0)*VLOOKUP('Données projet'!$B$15,Paramètres!$A$1:$I$89,5,0)</f>
        <v>104.46800000000015</v>
      </c>
      <c r="EL97" s="13">
        <f t="shared" si="99"/>
        <v>28.023713957275362</v>
      </c>
      <c r="EM97" s="20">
        <f t="shared" si="73"/>
        <v>230.75640180892151</v>
      </c>
      <c r="EN97" s="59">
        <f t="shared" si="74"/>
        <v>524.08973514225477</v>
      </c>
      <c r="EO97" s="59">
        <f ca="1">AVERAGE(OFFSET($EN$3,0,0,'Données projet'!$E$15+1,1))-AVERAGE(OFFSET($H$3,0,0,'Données projet'!$E$15+1,1))</f>
        <v>274.14900959323484</v>
      </c>
      <c r="EP97" s="59">
        <f t="shared" si="100"/>
        <v>130.44590390921582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15.72575456921072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15.72575456921072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-2.2737367544323206E-13</v>
      </c>
      <c r="FF97" s="17">
        <f>FE97*VLOOKUP('Données projet'!$B$16,Paramètres!$A$1:$I$89,3,0)*VLOOKUP('Données projet'!$B$16,Paramètres!$A$1:$I$89,5,0)</f>
        <v>-1.3596945791505279E-13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405.42845699663462</v>
      </c>
      <c r="FK97" s="59">
        <f t="shared" si="102"/>
        <v>292.26503163353146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179.74353279756264</v>
      </c>
      <c r="FR97" s="21">
        <f>EXP(-LN(2)/25)*FR96+(1-EXP(-LN(2)/25))/(LN(2)/25)*Calculateur!FM97*Calculateur!FO97*VLOOKUP('Données projet'!$B$16,Paramètres!$A$1:$I$89,3,0)*0.475*44/12</f>
        <v>76.93295465300676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256.67648745056943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-2.2737367544323206E-13</v>
      </c>
      <c r="GA97" s="17">
        <f>FZ97*VLOOKUP('Données projet'!$B$17,Paramètres!$A$1:$I$89,3,0)*VLOOKUP('Données projet'!$B$17,Paramètres!$A$1:$I$89,5,0)</f>
        <v>-1.3596945791505279E-13</v>
      </c>
      <c r="GB97" s="13" t="e">
        <f t="shared" si="103"/>
        <v>#NUM!</v>
      </c>
      <c r="GC97" s="20" t="e">
        <f t="shared" si="79"/>
        <v>#NUM!</v>
      </c>
      <c r="GD97" s="59" t="e">
        <f t="shared" si="80"/>
        <v>#NUM!</v>
      </c>
      <c r="GE97" s="59">
        <f ca="1">AVERAGE(OFFSET($GD$3,0,0,'Données projet'!$E$17+1,1))-AVERAGE(OFFSET($H$3,0,0,'Données projet'!$E$17+1,1))</f>
        <v>405.42845699663462</v>
      </c>
      <c r="GF97" s="59">
        <f t="shared" si="104"/>
        <v>292.26503163353146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179.74353279756264</v>
      </c>
      <c r="GM97" s="21">
        <f>EXP(-LN(2)/25)*GM96+(1-EXP(-LN(2)/25))/(LN(2)/25)*Calculateur!GH97*Calculateur!GJ97*VLOOKUP('Données projet'!$B$17,Paramètres!$A$1:$I$89,3,0)*0.475*44/12</f>
        <v>76.93295465300676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256.67648745056943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-5.3205440053716299E-14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198.26255998041</v>
      </c>
      <c r="T98" s="59">
        <f t="shared" si="88"/>
        <v>238.62101708181166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54.887109557779304</v>
      </c>
      <c r="AA98" s="21">
        <f>EXP(-LN(2)/25)*AA97+(1-EXP(-LN(2)/25))/(LN(2)/25)*Calculateur!V98*Calculateur!X98*VLOOKUP('Données projet'!$B$9,Paramètres!$A$1:$I$89,3,0)*0.475*44/12</f>
        <v>23.594537306844977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78.481646864624281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3.4106051316484809E-13</v>
      </c>
      <c r="AJ98" s="13">
        <f>AI98*VLOOKUP('Données projet'!$B$10,Paramètres!$A$1:$I$89,3,0)*VLOOKUP('Données projet'!$B$10,Paramètres!$A$1:$I$89,5,0)</f>
        <v>1.9065282685915009E-13</v>
      </c>
      <c r="AK98" s="13">
        <f t="shared" si="89"/>
        <v>2.6568987209435707E-12</v>
      </c>
      <c r="AL98" s="20">
        <f t="shared" si="58"/>
        <v>4.959485612423072E-12</v>
      </c>
      <c r="AM98" s="59">
        <f t="shared" si="59"/>
        <v>293.33333333333826</v>
      </c>
      <c r="AN98" s="59">
        <f ca="1">AVERAGE(OFFSET($AM$3,0,0,'Données projet'!$E$10+1,1))-AVERAGE(OFFSET($H$3,0,0,'Données projet'!$E$10+1,1))</f>
        <v>347.02720636703873</v>
      </c>
      <c r="AO98" s="59">
        <f t="shared" si="90"/>
        <v>394.03759949558702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119.81272111126506</v>
      </c>
      <c r="AV98" s="21">
        <f>EXP(-LN(2)/25)*AV97+(1-EXP(-LN(2)/25))/(LN(2)/25)*Calculateur!AQ98*Calculateur!AS98*VLOOKUP('Données projet'!$B$10,Paramètres!$A$1:$I$89,3,0)*0.475*44/12</f>
        <v>50.217345035431329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170.03006614669638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-3.4106051316484809E-13</v>
      </c>
      <c r="BE98" s="13">
        <f>BD98*VLOOKUP('Données projet'!$B$11,Paramètres!$A$1:$I$89,3,0)*VLOOKUP('Données projet'!$B$11,Paramètres!$A$1:$I$89,5,0)</f>
        <v>-2.0395418687257919E-13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378.75660696651238</v>
      </c>
      <c r="BJ98" s="59">
        <f t="shared" si="92"/>
        <v>371.70674704563288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118.52164842159884</v>
      </c>
      <c r="BQ98" s="21">
        <f>EXP(-LN(2)/25)*BQ97+(1-EXP(-LN(2)/25))/(LN(2)/25)*Calculateur!BL98*Calculateur!BN98*VLOOKUP('Données projet'!$B$11,Paramètres!$A$1:$I$89,3,0)*0.475*44/12</f>
        <v>48.520348253442492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167.04199667504133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4.333333333333333</v>
      </c>
      <c r="BY98" s="12">
        <f>IF('Données projet'!$A$114&gt;35,BY97+BX98-CG97,IF(A98&lt;'Données projet'!$A$114,$BV$205^A98,IF(A98='Données projet'!$A$114,'Données projet'!$B$114,BY97+BX98-CG97)))</f>
        <v>167.66666666666688</v>
      </c>
      <c r="BZ98" s="13">
        <f>BY98*VLOOKUP('Données projet'!$B$12,Paramètres!$A$1:$I$89,3,0)*VLOOKUP('Données projet'!$B$12,Paramètres!$A$1:$I$89,5,0)</f>
        <v>170.01400000000024</v>
      </c>
      <c r="CA98" s="13">
        <f t="shared" si="93"/>
        <v>43.093159104565139</v>
      </c>
      <c r="CB98" s="20">
        <f t="shared" si="64"/>
        <v>371.16163544045133</v>
      </c>
      <c r="CC98" s="59">
        <f t="shared" si="65"/>
        <v>664.49496877378465</v>
      </c>
      <c r="CD98" s="59">
        <f ca="1">AVERAGE(OFFSET($CC$3,0,0,'Données projet'!$E$12+1,1))-AVERAGE(OFFSET($H$3,0,0,'Données projet'!$E$12+1,1))</f>
        <v>410.75375635525211</v>
      </c>
      <c r="CE98" s="59">
        <f t="shared" si="94"/>
        <v>183.55513001437367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24.442191156138016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24.442191156138016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5.6</v>
      </c>
      <c r="CT98" s="12">
        <f>IF('Données projet'!$A$140&gt;35,CT97+CS98-DB97,IF(A98&lt;'Données projet'!$A$140,$CQ$205^A98,IF(A98='Données projet'!$A$140,'Données projet'!$B$140,CT97+CS98-DB97)))</f>
        <v>217.19999999999996</v>
      </c>
      <c r="CU98" s="17">
        <f>CT98*VLOOKUP('Données projet'!$B$13,Paramètres!$A$1:$I$89,3,0)*VLOOKUP('Données projet'!$B$13,Paramètres!$A$1:$I$89,5,0)</f>
        <v>196.52255999999997</v>
      </c>
      <c r="CV98" s="13">
        <f t="shared" si="95"/>
        <v>48.979153257338155</v>
      </c>
      <c r="CW98" s="20">
        <f t="shared" si="67"/>
        <v>427.58215058986383</v>
      </c>
      <c r="CX98" s="59">
        <f t="shared" si="68"/>
        <v>720.91548392319714</v>
      </c>
      <c r="CY98" s="59">
        <f ca="1">AVERAGE(OFFSET($CX$3,0,0,'Données projet'!$E$13+1,1))-AVERAGE(OFFSET($H$3,0,0,'Données projet'!$E$13+1,1))</f>
        <v>436.12708882925142</v>
      </c>
      <c r="CZ98" s="59">
        <f t="shared" si="96"/>
        <v>217.65884352525285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33.787914735166048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33.787914735166048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529</v>
      </c>
      <c r="DM98" s="12">
        <f>VLOOKUP(A98,'Données projet'!$A$165:$I$185,9,0)</f>
        <v>10.6</v>
      </c>
      <c r="DN98" s="12">
        <f t="array" ref="DN98">INDEX(DM:DM,MIN(IF(ISNUMBER(DM98:DM294),ROW(DM98:DM294),"")))</f>
        <v>10.6</v>
      </c>
      <c r="DO98" s="12">
        <f>IF('Données projet'!$A$166&gt;35,DO97+DN98-DW97,IF(A98&lt;'Données projet'!$A$166,$DL$205^A98,IF(A98='Données projet'!$A$166,'Données projet'!$B$166,DO97+DN98-DW97)))</f>
        <v>529.00000000000034</v>
      </c>
      <c r="DP98" s="17">
        <f>DO98*VLOOKUP('Données projet'!$B$14,Paramètres!$A$1:$I$89,3,0)*VLOOKUP('Données projet'!$B$14,Paramètres!$A$1:$I$89,5,0)</f>
        <v>503.39640000000037</v>
      </c>
      <c r="DQ98" s="13">
        <f t="shared" si="97"/>
        <v>112.45009689772813</v>
      </c>
      <c r="DR98" s="20">
        <f t="shared" si="70"/>
        <v>1072.5993154302103</v>
      </c>
      <c r="DS98" s="59">
        <f t="shared" si="71"/>
        <v>1365.9326487635435</v>
      </c>
      <c r="DT98" s="59">
        <f ca="1">AVERAGE(OFFSET($DS$3,0,0,'Données projet'!$E$14+1,1))-AVERAGE(OFFSET($H$3,0,0,'Données projet'!$E$14+1,1))</f>
        <v>735.50267870886194</v>
      </c>
      <c r="DU98" s="59">
        <f t="shared" si="98"/>
        <v>525.80345400853275</v>
      </c>
      <c r="DV98" s="15">
        <f>IF(ISNA(VLOOKUP(A98,'Données projet'!$A$165:$I$185,3,0)),0,VLOOKUP(A98,'Données projet'!$A$165:$I$185,3,0))</f>
        <v>17</v>
      </c>
      <c r="DW98" s="15">
        <f>IF(ISNA(VLOOKUP(A98,'Données projet'!$A$165:$I$185,4,0)),0,VLOOKUP(A98,'Données projet'!$A$165:$I$185,4,0))</f>
        <v>48</v>
      </c>
      <c r="DX98" s="16">
        <f>IF(ISNA(VLOOKUP(A98,'Données projet'!$A$165:$I$185,5,0)),0%,VLOOKUP(A98,'Données projet'!$A$165:$I$185,5,0)*VLOOKUP('Données projet'!$B$14,Paramètres!$A$1:$I$89,7,0))</f>
        <v>0.25800000000000001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90.975383699595255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90.975383699595255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4.333333333333333</v>
      </c>
      <c r="EJ98" s="12">
        <f>IF('Données projet'!$A$192&gt;35,EJ97+EI98-ER97,IF(A98&lt;'Données projet'!$A$192,$EG$205^A98,IF(A98='Données projet'!$A$192,'Données projet'!$B$192,EJ97+EI98-ER97)))</f>
        <v>167.66666666666688</v>
      </c>
      <c r="EK98" s="17">
        <f>EJ98*VLOOKUP('Données projet'!$B$15,Paramètres!$A$1:$I$89,3,0)*VLOOKUP('Données projet'!$B$15,Paramètres!$A$1:$I$89,5,0)</f>
        <v>107.23960000000015</v>
      </c>
      <c r="EL98" s="13">
        <f t="shared" si="99"/>
        <v>28.679653942583652</v>
      </c>
      <c r="EM98" s="20">
        <f t="shared" si="73"/>
        <v>236.7260339500001</v>
      </c>
      <c r="EN98" s="59">
        <f t="shared" si="74"/>
        <v>530.05936728333336</v>
      </c>
      <c r="EO98" s="59">
        <f ca="1">AVERAGE(OFFSET($EN$3,0,0,'Données projet'!$E$15+1,1))-AVERAGE(OFFSET($H$3,0,0,'Données projet'!$E$15+1,1))</f>
        <v>274.14900959323484</v>
      </c>
      <c r="EP98" s="59">
        <f t="shared" si="100"/>
        <v>130.44590390921582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15.417382113871676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15.417382113871676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-2.2737367544323206E-13</v>
      </c>
      <c r="FF98" s="17">
        <f>FE98*VLOOKUP('Données projet'!$B$16,Paramètres!$A$1:$I$89,3,0)*VLOOKUP('Données projet'!$B$16,Paramètres!$A$1:$I$89,5,0)</f>
        <v>-1.3596945791505279E-13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405.42845699663462</v>
      </c>
      <c r="FK98" s="59">
        <f t="shared" si="102"/>
        <v>292.26503163353146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176.21887175213212</v>
      </c>
      <c r="FR98" s="21">
        <f>EXP(-LN(2)/25)*FR97+(1-EXP(-LN(2)/25))/(LN(2)/25)*Calculateur!FM98*Calculateur!FO98*VLOOKUP('Données projet'!$B$16,Paramètres!$A$1:$I$89,3,0)*0.475*44/12</f>
        <v>74.829218962292032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251.04809071442415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-2.2737367544323206E-13</v>
      </c>
      <c r="GA98" s="17">
        <f>FZ98*VLOOKUP('Données projet'!$B$17,Paramètres!$A$1:$I$89,3,0)*VLOOKUP('Données projet'!$B$17,Paramètres!$A$1:$I$89,5,0)</f>
        <v>-1.3596945791505279E-13</v>
      </c>
      <c r="GB98" s="13" t="e">
        <f t="shared" si="103"/>
        <v>#NUM!</v>
      </c>
      <c r="GC98" s="20" t="e">
        <f t="shared" si="79"/>
        <v>#NUM!</v>
      </c>
      <c r="GD98" s="59" t="e">
        <f t="shared" si="80"/>
        <v>#NUM!</v>
      </c>
      <c r="GE98" s="59">
        <f ca="1">AVERAGE(OFFSET($GD$3,0,0,'Données projet'!$E$17+1,1))-AVERAGE(OFFSET($H$3,0,0,'Données projet'!$E$17+1,1))</f>
        <v>405.42845699663462</v>
      </c>
      <c r="GF98" s="59">
        <f t="shared" si="104"/>
        <v>292.26503163353146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176.21887175213212</v>
      </c>
      <c r="GM98" s="21">
        <f>EXP(-LN(2)/25)*GM97+(1-EXP(-LN(2)/25))/(LN(2)/25)*Calculateur!GH98*Calculateur!GJ98*VLOOKUP('Données projet'!$B$17,Paramètres!$A$1:$I$89,3,0)*0.475*44/12</f>
        <v>74.829218962292032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251.04809071442415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-5.3205440053716299E-14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198.26255998041</v>
      </c>
      <c r="T99" s="59">
        <f t="shared" si="88"/>
        <v>238.62101708181166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53.810806817182424</v>
      </c>
      <c r="AA99" s="21">
        <f>EXP(-LN(2)/25)*AA98+(1-EXP(-LN(2)/25))/(LN(2)/25)*Calculateur!V99*Calculateur!X99*VLOOKUP('Données projet'!$B$9,Paramètres!$A$1:$I$89,3,0)*0.475*44/12</f>
        <v>22.949343443406509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76.760150260588929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3.4106051316484809E-13</v>
      </c>
      <c r="AJ99" s="13">
        <f>AI99*VLOOKUP('Données projet'!$B$10,Paramètres!$A$1:$I$89,3,0)*VLOOKUP('Données projet'!$B$10,Paramètres!$A$1:$I$89,5,0)</f>
        <v>1.9065282685915009E-13</v>
      </c>
      <c r="AK99" s="13">
        <f t="shared" si="89"/>
        <v>2.6568987209435707E-12</v>
      </c>
      <c r="AL99" s="20">
        <f t="shared" si="58"/>
        <v>4.959485612423072E-12</v>
      </c>
      <c r="AM99" s="59">
        <f t="shared" si="59"/>
        <v>293.33333333333826</v>
      </c>
      <c r="AN99" s="59">
        <f ca="1">AVERAGE(OFFSET($AM$3,0,0,'Données projet'!$E$10+1,1))-AVERAGE(OFFSET($H$3,0,0,'Données projet'!$E$10+1,1))</f>
        <v>347.02720636703873</v>
      </c>
      <c r="AO99" s="59">
        <f t="shared" si="90"/>
        <v>394.03759949558702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117.46326672881713</v>
      </c>
      <c r="AV99" s="21">
        <f>EXP(-LN(2)/25)*AV98+(1-EXP(-LN(2)/25))/(LN(2)/25)*Calculateur!AQ99*Calculateur!AS99*VLOOKUP('Données projet'!$B$10,Paramètres!$A$1:$I$89,3,0)*0.475*44/12</f>
        <v>48.844149094622054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166.30741582343919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-3.4106051316484809E-13</v>
      </c>
      <c r="BE99" s="13">
        <f>BD99*VLOOKUP('Données projet'!$B$11,Paramètres!$A$1:$I$89,3,0)*VLOOKUP('Données projet'!$B$11,Paramètres!$A$1:$I$89,5,0)</f>
        <v>-2.0395418687257919E-13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378.75660696651238</v>
      </c>
      <c r="BJ99" s="59">
        <f t="shared" si="92"/>
        <v>371.70674704563288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116.19751118711868</v>
      </c>
      <c r="BQ99" s="21">
        <f>EXP(-LN(2)/25)*BQ98+(1-EXP(-LN(2)/25))/(LN(2)/25)*Calculateur!BL99*Calculateur!BN99*VLOOKUP('Données projet'!$B$11,Paramètres!$A$1:$I$89,3,0)*0.475*44/12</f>
        <v>47.193556778877884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163.39106796599657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4.333333333333333</v>
      </c>
      <c r="BY99" s="12">
        <f>IF('Données projet'!$A$114&gt;35,BY98+BX99-CG98,IF(A99&lt;'Données projet'!$A$114,$BV$205^A99,IF(A99='Données projet'!$A$114,'Données projet'!$B$114,BY98+BX99-CG98)))</f>
        <v>172.00000000000023</v>
      </c>
      <c r="BZ99" s="13">
        <f>BY99*VLOOKUP('Données projet'!$B$12,Paramètres!$A$1:$I$89,3,0)*VLOOKUP('Données projet'!$B$12,Paramètres!$A$1:$I$89,5,0)</f>
        <v>174.40800000000024</v>
      </c>
      <c r="CA99" s="13">
        <f t="shared" si="93"/>
        <v>44.075793288194866</v>
      </c>
      <c r="CB99" s="20">
        <f t="shared" si="64"/>
        <v>380.52593997693975</v>
      </c>
      <c r="CC99" s="59">
        <f t="shared" si="65"/>
        <v>673.85927331027301</v>
      </c>
      <c r="CD99" s="59">
        <f ca="1">AVERAGE(OFFSET($CC$3,0,0,'Données projet'!$E$12+1,1))-AVERAGE(OFFSET($H$3,0,0,'Données projet'!$E$12+1,1))</f>
        <v>410.75375635525211</v>
      </c>
      <c r="CE99" s="59">
        <f t="shared" si="94"/>
        <v>183.55513001437367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23.962894695830684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23.962894695830684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5.6</v>
      </c>
      <c r="CT99" s="12">
        <f>IF('Données projet'!$A$140&gt;35,CT98+CS99-DB98,IF(A99&lt;'Données projet'!$A$140,$CQ$205^A99,IF(A99='Données projet'!$A$140,'Données projet'!$B$140,CT98+CS99-DB98)))</f>
        <v>222.79999999999995</v>
      </c>
      <c r="CU99" s="17">
        <f>CT99*VLOOKUP('Données projet'!$B$13,Paramètres!$A$1:$I$89,3,0)*VLOOKUP('Données projet'!$B$13,Paramètres!$A$1:$I$89,5,0)</f>
        <v>201.58943999999994</v>
      </c>
      <c r="CV99" s="13">
        <f t="shared" si="95"/>
        <v>50.093317439945402</v>
      </c>
      <c r="CW99" s="20">
        <f t="shared" si="67"/>
        <v>438.34746920790479</v>
      </c>
      <c r="CX99" s="59">
        <f t="shared" si="68"/>
        <v>731.68080254123811</v>
      </c>
      <c r="CY99" s="59">
        <f ca="1">AVERAGE(OFFSET($CX$3,0,0,'Données projet'!$E$13+1,1))-AVERAGE(OFFSET($H$3,0,0,'Données projet'!$E$13+1,1))</f>
        <v>436.12708882925142</v>
      </c>
      <c r="CZ99" s="59">
        <f t="shared" si="96"/>
        <v>217.65884352525285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33.125354335802498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33.125354335802498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10.199999999999999</v>
      </c>
      <c r="DO99" s="12">
        <f>IF('Données projet'!$A$166&gt;35,DO98+DN99-DW98,IF(A99&lt;'Données projet'!$A$166,$DL$205^A99,IF(A99='Données projet'!$A$166,'Données projet'!$B$166,DO98+DN99-DW98)))</f>
        <v>491.20000000000039</v>
      </c>
      <c r="DP99" s="17">
        <f>DO99*VLOOKUP('Données projet'!$B$14,Paramètres!$A$1:$I$89,3,0)*VLOOKUP('Données projet'!$B$14,Paramètres!$A$1:$I$89,5,0)</f>
        <v>467.42592000000036</v>
      </c>
      <c r="DQ99" s="13">
        <f t="shared" si="97"/>
        <v>105.31986346877453</v>
      </c>
      <c r="DR99" s="20">
        <f t="shared" si="70"/>
        <v>997.5322395414496</v>
      </c>
      <c r="DS99" s="59">
        <f t="shared" si="71"/>
        <v>1290.8655728747829</v>
      </c>
      <c r="DT99" s="59">
        <f ca="1">AVERAGE(OFFSET($DS$3,0,0,'Données projet'!$E$14+1,1))-AVERAGE(OFFSET($H$3,0,0,'Données projet'!$E$14+1,1))</f>
        <v>735.50267870886194</v>
      </c>
      <c r="DU99" s="59">
        <f t="shared" si="98"/>
        <v>525.80345400853275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89.191411914751114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89.191411914751114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4.333333333333333</v>
      </c>
      <c r="EJ99" s="12">
        <f>IF('Données projet'!$A$192&gt;35,EJ98+EI99-ER98,IF(A99&lt;'Données projet'!$A$192,$EG$205^A99,IF(A99='Données projet'!$A$192,'Données projet'!$B$192,EJ98+EI99-ER98)))</f>
        <v>172.00000000000023</v>
      </c>
      <c r="EK99" s="17">
        <f>EJ99*VLOOKUP('Données projet'!$B$15,Paramètres!$A$1:$I$89,3,0)*VLOOKUP('Données projet'!$B$15,Paramètres!$A$1:$I$89,5,0)</f>
        <v>110.01120000000016</v>
      </c>
      <c r="EL99" s="13">
        <f t="shared" si="99"/>
        <v>29.33362336427934</v>
      </c>
      <c r="EM99" s="20">
        <f t="shared" si="73"/>
        <v>242.69223402612013</v>
      </c>
      <c r="EN99" s="59">
        <f t="shared" si="74"/>
        <v>536.02556735945348</v>
      </c>
      <c r="EO99" s="59">
        <f ca="1">AVERAGE(OFFSET($EN$3,0,0,'Données projet'!$E$15+1,1))-AVERAGE(OFFSET($H$3,0,0,'Données projet'!$E$15+1,1))</f>
        <v>274.14900959323484</v>
      </c>
      <c r="EP99" s="59">
        <f t="shared" si="100"/>
        <v>130.44590390921582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15.115056654293207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15.115056654293207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-2.2737367544323206E-13</v>
      </c>
      <c r="FF99" s="17">
        <f>FE99*VLOOKUP('Données projet'!$B$16,Paramètres!$A$1:$I$89,3,0)*VLOOKUP('Données projet'!$B$16,Paramètres!$A$1:$I$89,5,0)</f>
        <v>-1.3596945791505279E-13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405.42845699663462</v>
      </c>
      <c r="FK99" s="59">
        <f t="shared" si="102"/>
        <v>292.26503163353146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172.76332715997151</v>
      </c>
      <c r="FR99" s="21">
        <f>EXP(-LN(2)/25)*FR98+(1-EXP(-LN(2)/25))/(LN(2)/25)*Calculateur!FM99*Calculateur!FO99*VLOOKUP('Données projet'!$B$16,Paramètres!$A$1:$I$89,3,0)*0.475*44/12</f>
        <v>72.783010034670554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245.54633719464206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-2.2737367544323206E-13</v>
      </c>
      <c r="GA99" s="17">
        <f>FZ99*VLOOKUP('Données projet'!$B$17,Paramètres!$A$1:$I$89,3,0)*VLOOKUP('Données projet'!$B$17,Paramètres!$A$1:$I$89,5,0)</f>
        <v>-1.3596945791505279E-13</v>
      </c>
      <c r="GB99" s="13" t="e">
        <f t="shared" si="103"/>
        <v>#NUM!</v>
      </c>
      <c r="GC99" s="20" t="e">
        <f t="shared" si="79"/>
        <v>#NUM!</v>
      </c>
      <c r="GD99" s="59" t="e">
        <f t="shared" si="80"/>
        <v>#NUM!</v>
      </c>
      <c r="GE99" s="59">
        <f ca="1">AVERAGE(OFFSET($GD$3,0,0,'Données projet'!$E$17+1,1))-AVERAGE(OFFSET($H$3,0,0,'Données projet'!$E$17+1,1))</f>
        <v>405.42845699663462</v>
      </c>
      <c r="GF99" s="59">
        <f t="shared" si="104"/>
        <v>292.26503163353146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172.76332715997151</v>
      </c>
      <c r="GM99" s="21">
        <f>EXP(-LN(2)/25)*GM98+(1-EXP(-LN(2)/25))/(LN(2)/25)*Calculateur!GH99*Calculateur!GJ99*VLOOKUP('Données projet'!$B$17,Paramètres!$A$1:$I$89,3,0)*0.475*44/12</f>
        <v>72.783010034670554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245.54633719464206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-5.3205440053716299E-14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198.26255998041</v>
      </c>
      <c r="T100" s="59">
        <f t="shared" si="88"/>
        <v>238.62101708181166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52.755609716848795</v>
      </c>
      <c r="AA100" s="21">
        <f>EXP(-LN(2)/25)*AA99+(1-EXP(-LN(2)/25))/(LN(2)/25)*Calculateur!V100*Calculateur!X100*VLOOKUP('Données projet'!$B$9,Paramètres!$A$1:$I$89,3,0)*0.475*44/12</f>
        <v>22.321792440093038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75.07740215694183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3.4106051316484809E-13</v>
      </c>
      <c r="AJ100" s="13">
        <f>AI100*VLOOKUP('Données projet'!$B$10,Paramètres!$A$1:$I$89,3,0)*VLOOKUP('Données projet'!$B$10,Paramètres!$A$1:$I$89,5,0)</f>
        <v>1.9065282685915009E-13</v>
      </c>
      <c r="AK100" s="13">
        <f t="shared" si="89"/>
        <v>2.6568987209435707E-12</v>
      </c>
      <c r="AL100" s="20">
        <f t="shared" si="58"/>
        <v>4.959485612423072E-12</v>
      </c>
      <c r="AM100" s="59">
        <f t="shared" si="59"/>
        <v>293.33333333333826</v>
      </c>
      <c r="AN100" s="59">
        <f ca="1">AVERAGE(OFFSET($AM$3,0,0,'Données projet'!$E$10+1,1))-AVERAGE(OFFSET($H$3,0,0,'Données projet'!$E$10+1,1))</f>
        <v>347.02720636703873</v>
      </c>
      <c r="AO100" s="59">
        <f t="shared" si="90"/>
        <v>394.03759949558702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115.15988371378333</v>
      </c>
      <c r="AV100" s="21">
        <f>EXP(-LN(2)/25)*AV99+(1-EXP(-LN(2)/25))/(LN(2)/25)*Calculateur!AQ100*Calculateur!AS100*VLOOKUP('Données projet'!$B$10,Paramètres!$A$1:$I$89,3,0)*0.475*44/12</f>
        <v>47.50850326902745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162.66838698281077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-3.4106051316484809E-13</v>
      </c>
      <c r="BE100" s="13">
        <f>BD100*VLOOKUP('Données projet'!$B$11,Paramètres!$A$1:$I$89,3,0)*VLOOKUP('Données projet'!$B$11,Paramètres!$A$1:$I$89,5,0)</f>
        <v>-2.0395418687257919E-13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378.75660696651238</v>
      </c>
      <c r="BJ100" s="59">
        <f t="shared" si="92"/>
        <v>371.70674704563288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113.91894886622293</v>
      </c>
      <c r="BQ100" s="21">
        <f>EXP(-LN(2)/25)*BQ99+(1-EXP(-LN(2)/25))/(LN(2)/25)*Calculateur!BL100*Calculateur!BN100*VLOOKUP('Données projet'!$B$11,Paramètres!$A$1:$I$89,3,0)*0.475*44/12</f>
        <v>45.903046486958182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159.82199535318111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4.333333333333333</v>
      </c>
      <c r="BY100" s="12">
        <f>IF('Données projet'!$A$114&gt;35,BY99+BX100-CG99,IF(A100&lt;'Données projet'!$A$114,$BV$205^A100,IF(A100='Données projet'!$A$114,'Données projet'!$B$114,BY99+BX100-CG99)))</f>
        <v>176.33333333333357</v>
      </c>
      <c r="BZ100" s="13">
        <f>BY100*VLOOKUP('Données projet'!$B$12,Paramètres!$A$1:$I$89,3,0)*VLOOKUP('Données projet'!$B$12,Paramètres!$A$1:$I$89,5,0)</f>
        <v>178.80200000000025</v>
      </c>
      <c r="CA100" s="13">
        <f t="shared" si="93"/>
        <v>45.055549739375941</v>
      </c>
      <c r="CB100" s="20">
        <f t="shared" si="64"/>
        <v>389.88523246274684</v>
      </c>
      <c r="CC100" s="59">
        <f t="shared" si="65"/>
        <v>683.21856579608016</v>
      </c>
      <c r="CD100" s="59">
        <f ca="1">AVERAGE(OFFSET($CC$3,0,0,'Données projet'!$E$12+1,1))-AVERAGE(OFFSET($H$3,0,0,'Données projet'!$E$12+1,1))</f>
        <v>410.75375635525211</v>
      </c>
      <c r="CE100" s="59">
        <f t="shared" si="94"/>
        <v>183.55513001437367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23.492996946768006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23.492996946768006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5.6</v>
      </c>
      <c r="CT100" s="12">
        <f>IF('Données projet'!$A$140&gt;35,CT99+CS100-DB99,IF(A100&lt;'Données projet'!$A$140,$CQ$205^A100,IF(A100='Données projet'!$A$140,'Données projet'!$B$140,CT99+CS100-DB99)))</f>
        <v>228.39999999999995</v>
      </c>
      <c r="CU100" s="17">
        <f>CT100*VLOOKUP('Données projet'!$B$13,Paramètres!$A$1:$I$89,3,0)*VLOOKUP('Données projet'!$B$13,Paramètres!$A$1:$I$89,5,0)</f>
        <v>206.65631999999994</v>
      </c>
      <c r="CV100" s="13">
        <f t="shared" si="95"/>
        <v>51.20422634371338</v>
      </c>
      <c r="CW100" s="20">
        <f t="shared" si="67"/>
        <v>449.10711821530072</v>
      </c>
      <c r="CX100" s="59">
        <f t="shared" si="68"/>
        <v>742.44045154863397</v>
      </c>
      <c r="CY100" s="59">
        <f ca="1">AVERAGE(OFFSET($CX$3,0,0,'Données projet'!$E$13+1,1))-AVERAGE(OFFSET($H$3,0,0,'Données projet'!$E$13+1,1))</f>
        <v>436.12708882925142</v>
      </c>
      <c r="CZ100" s="59">
        <f t="shared" si="96"/>
        <v>217.65884352525285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32.475786341748531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32.475786341748531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10.199999999999999</v>
      </c>
      <c r="DO100" s="12">
        <f>IF('Données projet'!$A$166&gt;35,DO99+DN100-DW99,IF(A100&lt;'Données projet'!$A$166,$DL$205^A100,IF(A100='Données projet'!$A$166,'Données projet'!$B$166,DO99+DN100-DW99)))</f>
        <v>501.40000000000038</v>
      </c>
      <c r="DP100" s="17">
        <f>DO100*VLOOKUP('Données projet'!$B$14,Paramètres!$A$1:$I$89,3,0)*VLOOKUP('Données projet'!$B$14,Paramètres!$A$1:$I$89,5,0)</f>
        <v>477.13224000000037</v>
      </c>
      <c r="DQ100" s="13">
        <f t="shared" si="97"/>
        <v>107.24999382334879</v>
      </c>
      <c r="DR100" s="20">
        <f t="shared" si="70"/>
        <v>1017.7990572423331</v>
      </c>
      <c r="DS100" s="59">
        <f t="shared" si="71"/>
        <v>1311.1323905756665</v>
      </c>
      <c r="DT100" s="59">
        <f ca="1">AVERAGE(OFFSET($DS$3,0,0,'Données projet'!$E$14+1,1))-AVERAGE(OFFSET($H$3,0,0,'Données projet'!$E$14+1,1))</f>
        <v>735.50267870886194</v>
      </c>
      <c r="DU100" s="59">
        <f t="shared" si="98"/>
        <v>525.80345400853275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87.442422728492417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87.442422728492417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4.333333333333333</v>
      </c>
      <c r="EJ100" s="12">
        <f>IF('Données projet'!$A$192&gt;35,EJ99+EI100-ER99,IF(A100&lt;'Données projet'!$A$192,$EG$205^A100,IF(A100='Données projet'!$A$192,'Données projet'!$B$192,EJ99+EI100-ER99)))</f>
        <v>176.33333333333357</v>
      </c>
      <c r="EK100" s="17">
        <f>EJ100*VLOOKUP('Données projet'!$B$15,Paramètres!$A$1:$I$89,3,0)*VLOOKUP('Données projet'!$B$15,Paramètres!$A$1:$I$89,5,0)</f>
        <v>112.78280000000017</v>
      </c>
      <c r="EL100" s="13">
        <f t="shared" si="99"/>
        <v>29.985677577796295</v>
      </c>
      <c r="EM100" s="20">
        <f t="shared" si="73"/>
        <v>248.65509844799553</v>
      </c>
      <c r="EN100" s="59">
        <f t="shared" si="74"/>
        <v>541.98843178132881</v>
      </c>
      <c r="EO100" s="59">
        <f ca="1">AVERAGE(OFFSET($EN$3,0,0,'Données projet'!$E$15+1,1))-AVERAGE(OFFSET($H$3,0,0,'Données projet'!$E$15+1,1))</f>
        <v>274.14900959323484</v>
      </c>
      <c r="EP100" s="59">
        <f t="shared" si="100"/>
        <v>130.44590390921582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14.818659612576749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14.818659612576749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-2.2737367544323206E-13</v>
      </c>
      <c r="FF100" s="17">
        <f>FE100*VLOOKUP('Données projet'!$B$16,Paramètres!$A$1:$I$89,3,0)*VLOOKUP('Données projet'!$B$16,Paramètres!$A$1:$I$89,5,0)</f>
        <v>-1.3596945791505279E-13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405.42845699663462</v>
      </c>
      <c r="FK100" s="59">
        <f t="shared" si="102"/>
        <v>292.26503163353146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169.37554368958911</v>
      </c>
      <c r="FR100" s="21">
        <f>EXP(-LN(2)/25)*FR99+(1-EXP(-LN(2)/25))/(LN(2)/25)*Calculateur!FM100*Calculateur!FO100*VLOOKUP('Données projet'!$B$16,Paramètres!$A$1:$I$89,3,0)*0.475*44/12</f>
        <v>70.792754797780333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240.16829848736944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-2.2737367544323206E-13</v>
      </c>
      <c r="GA100" s="17">
        <f>FZ100*VLOOKUP('Données projet'!$B$17,Paramètres!$A$1:$I$89,3,0)*VLOOKUP('Données projet'!$B$17,Paramètres!$A$1:$I$89,5,0)</f>
        <v>-1.3596945791505279E-13</v>
      </c>
      <c r="GB100" s="13" t="e">
        <f t="shared" si="103"/>
        <v>#NUM!</v>
      </c>
      <c r="GC100" s="20" t="e">
        <f t="shared" si="79"/>
        <v>#NUM!</v>
      </c>
      <c r="GD100" s="59" t="e">
        <f t="shared" si="80"/>
        <v>#NUM!</v>
      </c>
      <c r="GE100" s="59">
        <f ca="1">AVERAGE(OFFSET($GD$3,0,0,'Données projet'!$E$17+1,1))-AVERAGE(OFFSET($H$3,0,0,'Données projet'!$E$17+1,1))</f>
        <v>405.42845699663462</v>
      </c>
      <c r="GF100" s="59">
        <f t="shared" si="104"/>
        <v>292.26503163353146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169.37554368958911</v>
      </c>
      <c r="GM100" s="21">
        <f>EXP(-LN(2)/25)*GM99+(1-EXP(-LN(2)/25))/(LN(2)/25)*Calculateur!GH100*Calculateur!GJ100*VLOOKUP('Données projet'!$B$17,Paramètres!$A$1:$I$89,3,0)*0.475*44/12</f>
        <v>70.792754797780333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240.16829848736944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-5.3205440053716299E-14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198.26255998041</v>
      </c>
      <c r="T101" s="59">
        <f t="shared" si="88"/>
        <v>238.62101708181166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51.721104388046029</v>
      </c>
      <c r="AA101" s="21">
        <f>EXP(-LN(2)/25)*AA100+(1-EXP(-LN(2)/25))/(LN(2)/25)*Calculateur!V101*Calculateur!X101*VLOOKUP('Données projet'!$B$9,Paramètres!$A$1:$I$89,3,0)*0.475*44/12</f>
        <v>21.711401851966645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73.432506240012671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3.4106051316484809E-13</v>
      </c>
      <c r="AJ101" s="13">
        <f>AI101*VLOOKUP('Données projet'!$B$10,Paramètres!$A$1:$I$89,3,0)*VLOOKUP('Données projet'!$B$10,Paramètres!$A$1:$I$89,5,0)</f>
        <v>1.9065282685915009E-13</v>
      </c>
      <c r="AK101" s="13">
        <f t="shared" si="89"/>
        <v>2.6568987209435707E-12</v>
      </c>
      <c r="AL101" s="20">
        <f t="shared" si="58"/>
        <v>4.959485612423072E-12</v>
      </c>
      <c r="AM101" s="59">
        <f t="shared" si="59"/>
        <v>293.33333333333826</v>
      </c>
      <c r="AN101" s="59">
        <f ca="1">AVERAGE(OFFSET($AM$3,0,0,'Données projet'!$E$10+1,1))-AVERAGE(OFFSET($H$3,0,0,'Données projet'!$E$10+1,1))</f>
        <v>347.02720636703873</v>
      </c>
      <c r="AO101" s="59">
        <f t="shared" si="90"/>
        <v>394.03759949558702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112.90166863474943</v>
      </c>
      <c r="AV101" s="21">
        <f>EXP(-LN(2)/25)*AV100+(1-EXP(-LN(2)/25))/(LN(2)/25)*Calculateur!AQ101*Calculateur!AS101*VLOOKUP('Données projet'!$B$10,Paramètres!$A$1:$I$89,3,0)*0.475*44/12</f>
        <v>46.20938074877229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159.11104938352173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-3.4106051316484809E-13</v>
      </c>
      <c r="BE101" s="13">
        <f>BD101*VLOOKUP('Données projet'!$B$11,Paramètres!$A$1:$I$89,3,0)*VLOOKUP('Données projet'!$B$11,Paramètres!$A$1:$I$89,5,0)</f>
        <v>-2.0395418687257919E-13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378.75660696651238</v>
      </c>
      <c r="BJ101" s="59">
        <f t="shared" si="92"/>
        <v>371.70674704563288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111.68506776265417</v>
      </c>
      <c r="BQ101" s="21">
        <f>EXP(-LN(2)/25)*BQ100+(1-EXP(-LN(2)/25))/(LN(2)/25)*Calculateur!BL101*Calculateur!BN101*VLOOKUP('Données projet'!$B$11,Paramètres!$A$1:$I$89,3,0)*0.475*44/12</f>
        <v>44.647825266836008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156.33289302949018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4.333333333333333</v>
      </c>
      <c r="BY101" s="12">
        <f>IF('Données projet'!$A$114&gt;35,BY100+BX101-CG100,IF(A101&lt;'Données projet'!$A$114,$BV$205^A101,IF(A101='Données projet'!$A$114,'Données projet'!$B$114,BY100+BX101-CG100)))</f>
        <v>180.66666666666691</v>
      </c>
      <c r="BZ101" s="13">
        <f>BY101*VLOOKUP('Données projet'!$B$12,Paramètres!$A$1:$I$89,3,0)*VLOOKUP('Données projet'!$B$12,Paramètres!$A$1:$I$89,5,0)</f>
        <v>183.19600000000025</v>
      </c>
      <c r="CA101" s="13">
        <f t="shared" si="93"/>
        <v>46.03250731240194</v>
      </c>
      <c r="CB101" s="20">
        <f t="shared" si="64"/>
        <v>399.23965023576716</v>
      </c>
      <c r="CC101" s="59">
        <f t="shared" si="65"/>
        <v>692.57298356910042</v>
      </c>
      <c r="CD101" s="59">
        <f ca="1">AVERAGE(OFFSET($CC$3,0,0,'Données projet'!$E$12+1,1))-AVERAGE(OFFSET($H$3,0,0,'Données projet'!$E$12+1,1))</f>
        <v>410.75375635525211</v>
      </c>
      <c r="CE101" s="59">
        <f t="shared" si="94"/>
        <v>183.55513001437367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23.032313605955121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23.032313605955121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5.6</v>
      </c>
      <c r="CT101" s="12">
        <f>IF('Données projet'!$A$140&gt;35,CT100+CS101-DB100,IF(A101&lt;'Données projet'!$A$140,$CQ$205^A101,IF(A101='Données projet'!$A$140,'Données projet'!$B$140,CT100+CS101-DB100)))</f>
        <v>233.99999999999994</v>
      </c>
      <c r="CU101" s="17">
        <f>CT101*VLOOKUP('Données projet'!$B$13,Paramètres!$A$1:$I$89,3,0)*VLOOKUP('Données projet'!$B$13,Paramètres!$A$1:$I$89,5,0)</f>
        <v>211.72319999999996</v>
      </c>
      <c r="CV101" s="13">
        <f t="shared" si="95"/>
        <v>52.311968964212078</v>
      </c>
      <c r="CW101" s="20">
        <f t="shared" si="67"/>
        <v>459.86125261266926</v>
      </c>
      <c r="CX101" s="59">
        <f t="shared" si="68"/>
        <v>753.19458594600258</v>
      </c>
      <c r="CY101" s="59">
        <f ca="1">AVERAGE(OFFSET($CX$3,0,0,'Données projet'!$E$13+1,1))-AVERAGE(OFFSET($H$3,0,0,'Données projet'!$E$13+1,1))</f>
        <v>436.12708882925142</v>
      </c>
      <c r="CZ101" s="59">
        <f t="shared" si="96"/>
        <v>217.65884352525285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31.838955979860607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31.838955979860607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10.199999999999999</v>
      </c>
      <c r="DO101" s="12">
        <f>IF('Données projet'!$A$166&gt;35,DO100+DN101-DW100,IF(A101&lt;'Données projet'!$A$166,$DL$205^A101,IF(A101='Données projet'!$A$166,'Données projet'!$B$166,DO100+DN101-DW100)))</f>
        <v>511.60000000000036</v>
      </c>
      <c r="DP101" s="17">
        <f>DO101*VLOOKUP('Données projet'!$B$14,Paramètres!$A$1:$I$89,3,0)*VLOOKUP('Données projet'!$B$14,Paramètres!$A$1:$I$89,5,0)</f>
        <v>486.83856000000031</v>
      </c>
      <c r="DQ101" s="13">
        <f t="shared" si="97"/>
        <v>109.17555883883387</v>
      </c>
      <c r="DR101" s="20">
        <f t="shared" si="70"/>
        <v>1038.0579236443029</v>
      </c>
      <c r="DS101" s="59">
        <f t="shared" si="71"/>
        <v>1331.3912569776362</v>
      </c>
      <c r="DT101" s="59">
        <f ca="1">AVERAGE(OFFSET($DS$3,0,0,'Données projet'!$E$14+1,1))-AVERAGE(OFFSET($H$3,0,0,'Données projet'!$E$14+1,1))</f>
        <v>735.50267870886194</v>
      </c>
      <c r="DU101" s="59">
        <f t="shared" si="98"/>
        <v>525.80345400853275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85.727730153398184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85.727730153398184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4.333333333333333</v>
      </c>
      <c r="EJ101" s="12">
        <f>IF('Données projet'!$A$192&gt;35,EJ100+EI101-ER100,IF(A101&lt;'Données projet'!$A$192,$EG$205^A101,IF(A101='Données projet'!$A$192,'Données projet'!$B$192,EJ100+EI101-ER100)))</f>
        <v>180.66666666666691</v>
      </c>
      <c r="EK101" s="17">
        <f>EJ101*VLOOKUP('Données projet'!$B$15,Paramètres!$A$1:$I$89,3,0)*VLOOKUP('Données projet'!$B$15,Paramètres!$A$1:$I$89,5,0)</f>
        <v>115.55440000000014</v>
      </c>
      <c r="EL101" s="13">
        <f t="shared" si="99"/>
        <v>30.635869062783122</v>
      </c>
      <c r="EM101" s="20">
        <f t="shared" si="73"/>
        <v>254.61471861768086</v>
      </c>
      <c r="EN101" s="59">
        <f t="shared" si="74"/>
        <v>547.94805195101412</v>
      </c>
      <c r="EO101" s="59">
        <f ca="1">AVERAGE(OFFSET($EN$3,0,0,'Données projet'!$E$15+1,1))-AVERAGE(OFFSET($H$3,0,0,'Données projet'!$E$15+1,1))</f>
        <v>274.14900959323484</v>
      </c>
      <c r="EP101" s="59">
        <f t="shared" si="100"/>
        <v>130.44590390921582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14.528074736064006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14.528074736064006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-2.2737367544323206E-13</v>
      </c>
      <c r="FF101" s="17">
        <f>FE101*VLOOKUP('Données projet'!$B$16,Paramètres!$A$1:$I$89,3,0)*VLOOKUP('Données projet'!$B$16,Paramètres!$A$1:$I$89,5,0)</f>
        <v>-1.3596945791505279E-13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405.42845699663462</v>
      </c>
      <c r="FK101" s="59">
        <f t="shared" si="102"/>
        <v>292.26503163353146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166.05419258671702</v>
      </c>
      <c r="FR101" s="21">
        <f>EXP(-LN(2)/25)*FR100+(1-EXP(-LN(2)/25))/(LN(2)/25)*Calculateur!FM101*Calculateur!FO101*VLOOKUP('Données projet'!$B$16,Paramètres!$A$1:$I$89,3,0)*0.475*44/12</f>
        <v>68.856923195005848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234.91111578172286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-2.2737367544323206E-13</v>
      </c>
      <c r="GA101" s="17">
        <f>FZ101*VLOOKUP('Données projet'!$B$17,Paramètres!$A$1:$I$89,3,0)*VLOOKUP('Données projet'!$B$17,Paramètres!$A$1:$I$89,5,0)</f>
        <v>-1.3596945791505279E-13</v>
      </c>
      <c r="GB101" s="13" t="e">
        <f t="shared" si="103"/>
        <v>#NUM!</v>
      </c>
      <c r="GC101" s="20" t="e">
        <f t="shared" si="79"/>
        <v>#NUM!</v>
      </c>
      <c r="GD101" s="59" t="e">
        <f t="shared" si="80"/>
        <v>#NUM!</v>
      </c>
      <c r="GE101" s="59">
        <f ca="1">AVERAGE(OFFSET($GD$3,0,0,'Données projet'!$E$17+1,1))-AVERAGE(OFFSET($H$3,0,0,'Données projet'!$E$17+1,1))</f>
        <v>405.42845699663462</v>
      </c>
      <c r="GF101" s="59">
        <f t="shared" si="104"/>
        <v>292.26503163353146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166.05419258671702</v>
      </c>
      <c r="GM101" s="21">
        <f>EXP(-LN(2)/25)*GM100+(1-EXP(-LN(2)/25))/(LN(2)/25)*Calculateur!GH101*Calculateur!GJ101*VLOOKUP('Données projet'!$B$17,Paramètres!$A$1:$I$89,3,0)*0.475*44/12</f>
        <v>68.856923195005848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234.91111578172286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-5.3205440053716299E-14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198.26255998041</v>
      </c>
      <c r="T102" s="59">
        <f t="shared" si="88"/>
        <v>238.62101708181166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50.706885077755139</v>
      </c>
      <c r="AA102" s="21">
        <f>EXP(-LN(2)/25)*AA101+(1-EXP(-LN(2)/25))/(LN(2)/25)*Calculateur!V102*Calculateur!X102*VLOOKUP('Données projet'!$B$9,Paramètres!$A$1:$I$89,3,0)*0.475*44/12</f>
        <v>21.117702426571615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71.824587504326757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3.4106051316484809E-13</v>
      </c>
      <c r="AJ102" s="13">
        <f>AI102*VLOOKUP('Données projet'!$B$10,Paramètres!$A$1:$I$89,3,0)*VLOOKUP('Données projet'!$B$10,Paramètres!$A$1:$I$89,5,0)</f>
        <v>1.9065282685915009E-13</v>
      </c>
      <c r="AK102" s="13">
        <f t="shared" si="89"/>
        <v>2.6568987209435707E-12</v>
      </c>
      <c r="AL102" s="20">
        <f t="shared" si="58"/>
        <v>4.959485612423072E-12</v>
      </c>
      <c r="AM102" s="59">
        <f t="shared" si="59"/>
        <v>293.33333333333826</v>
      </c>
      <c r="AN102" s="59">
        <f ca="1">AVERAGE(OFFSET($AM$3,0,0,'Données projet'!$E$10+1,1))-AVERAGE(OFFSET($H$3,0,0,'Données projet'!$E$10+1,1))</f>
        <v>347.02720636703873</v>
      </c>
      <c r="AO102" s="59">
        <f t="shared" si="90"/>
        <v>394.03759949558702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110.68773577604018</v>
      </c>
      <c r="AV102" s="21">
        <f>EXP(-LN(2)/25)*AV101+(1-EXP(-LN(2)/25))/(LN(2)/25)*Calculateur!AQ102*Calculateur!AS102*VLOOKUP('Données projet'!$B$10,Paramètres!$A$1:$I$89,3,0)*0.475*44/12</f>
        <v>44.945782802151392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155.63351857819157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-3.4106051316484809E-13</v>
      </c>
      <c r="BE102" s="13">
        <f>BD102*VLOOKUP('Données projet'!$B$11,Paramètres!$A$1:$I$89,3,0)*VLOOKUP('Données projet'!$B$11,Paramètres!$A$1:$I$89,5,0)</f>
        <v>-2.0395418687257919E-13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378.75660696651238</v>
      </c>
      <c r="BJ102" s="59">
        <f t="shared" si="92"/>
        <v>371.70674704563288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109.49499170499345</v>
      </c>
      <c r="BQ102" s="21">
        <f>EXP(-LN(2)/25)*BQ101+(1-EXP(-LN(2)/25))/(LN(2)/25)*Calculateur!BL102*Calculateur!BN102*VLOOKUP('Données projet'!$B$11,Paramètres!$A$1:$I$89,3,0)*0.475*44/12</f>
        <v>43.426928136987293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152.92191984198075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>
        <f>VLOOKUP(A102,'Données projet'!$A$113:$I$133,2,0)</f>
        <v>185</v>
      </c>
      <c r="BW102" s="12">
        <f>VLOOKUP(A102,'Données projet'!$A$113:$I$133,9,0)</f>
        <v>4.333333333333333</v>
      </c>
      <c r="BX102" s="12">
        <f t="array" ref="BX102">INDEX(BW:BW,MIN(IF(ISNUMBER(BW102:BW298),ROW(BW102:BW298),"")))</f>
        <v>4.333333333333333</v>
      </c>
      <c r="BY102" s="12">
        <f>IF('Données projet'!$A$114&gt;35,BY101+BX102-CG101,IF(A102&lt;'Données projet'!$A$114,$BV$205^A102,IF(A102='Données projet'!$A$114,'Données projet'!$B$114,BY101+BX102-CG101)))</f>
        <v>185.00000000000026</v>
      </c>
      <c r="BZ102" s="13">
        <f>BY102*VLOOKUP('Données projet'!$B$12,Paramètres!$A$1:$I$89,3,0)*VLOOKUP('Données projet'!$B$12,Paramètres!$A$1:$I$89,5,0)</f>
        <v>187.59000000000026</v>
      </c>
      <c r="CA102" s="13">
        <f t="shared" si="93"/>
        <v>47.006740863164055</v>
      </c>
      <c r="CB102" s="20">
        <f t="shared" si="64"/>
        <v>408.5893236700112</v>
      </c>
      <c r="CC102" s="59">
        <f t="shared" si="65"/>
        <v>701.92265700334451</v>
      </c>
      <c r="CD102" s="59">
        <f ca="1">AVERAGE(OFFSET($CC$3,0,0,'Données projet'!$E$12+1,1))-AVERAGE(OFFSET($H$3,0,0,'Données projet'!$E$12+1,1))</f>
        <v>410.75375635525211</v>
      </c>
      <c r="CE102" s="59">
        <f t="shared" si="94"/>
        <v>183.55513001437367</v>
      </c>
      <c r="CF102" s="15">
        <f>IF(ISNA(VLOOKUP(A102,'Données projet'!$A$113:$I$133,3,0)),0,VLOOKUP(A102,'Données projet'!$A$113:$I$133,3,0))</f>
        <v>6</v>
      </c>
      <c r="CG102" s="15">
        <f>IF(ISNA(VLOOKUP(A102,'Données projet'!$A$113:$I$133,4,0)),0,VLOOKUP(A102,'Données projet'!$A$113:$I$133,4,0))</f>
        <v>26</v>
      </c>
      <c r="CH102" s="16">
        <f>IF(ISNA(VLOOKUP(A102,'Données projet'!$A$113:$I$133,5,0)),0%,VLOOKUP(A102,'Données projet'!$A$113:$I$133,5,0)*VLOOKUP('Données projet'!$B$12,Paramètres!$A$1:$I$89,7,0))</f>
        <v>0.25800000000000001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30.09997622465621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30.09997622465621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5.6</v>
      </c>
      <c r="CT102" s="12">
        <f>IF('Données projet'!$A$140&gt;35,CT101+CS102-DB101,IF(A102&lt;'Données projet'!$A$140,$CQ$205^A102,IF(A102='Données projet'!$A$140,'Données projet'!$B$140,CT101+CS102-DB101)))</f>
        <v>239.59999999999994</v>
      </c>
      <c r="CU102" s="17">
        <f>CT102*VLOOKUP('Données projet'!$B$13,Paramètres!$A$1:$I$89,3,0)*VLOOKUP('Données projet'!$B$13,Paramètres!$A$1:$I$89,5,0)</f>
        <v>216.79007999999996</v>
      </c>
      <c r="CV102" s="13">
        <f t="shared" si="95"/>
        <v>53.416629794462551</v>
      </c>
      <c r="CW102" s="20">
        <f t="shared" si="67"/>
        <v>470.61001955868886</v>
      </c>
      <c r="CX102" s="59">
        <f t="shared" si="68"/>
        <v>763.94335289202218</v>
      </c>
      <c r="CY102" s="59">
        <f ca="1">AVERAGE(OFFSET($CX$3,0,0,'Données projet'!$E$13+1,1))-AVERAGE(OFFSET($H$3,0,0,'Données projet'!$E$13+1,1))</f>
        <v>436.12708882925142</v>
      </c>
      <c r="CZ102" s="59">
        <f t="shared" si="96"/>
        <v>217.65884352525285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31.214613472941139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31.214613472941139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10.199999999999999</v>
      </c>
      <c r="DO102" s="12">
        <f>IF('Données projet'!$A$166&gt;35,DO101+DN102-DW101,IF(A102&lt;'Données projet'!$A$166,$DL$205^A102,IF(A102='Données projet'!$A$166,'Données projet'!$B$166,DO101+DN102-DW101)))</f>
        <v>521.80000000000041</v>
      </c>
      <c r="DP102" s="17">
        <f>DO102*VLOOKUP('Données projet'!$B$14,Paramètres!$A$1:$I$89,3,0)*VLOOKUP('Données projet'!$B$14,Paramètres!$A$1:$I$89,5,0)</f>
        <v>496.54488000000038</v>
      </c>
      <c r="DQ102" s="13">
        <f t="shared" si="97"/>
        <v>111.09666002707813</v>
      </c>
      <c r="DR102" s="20">
        <f t="shared" si="70"/>
        <v>1058.3090155471616</v>
      </c>
      <c r="DS102" s="59">
        <f t="shared" si="71"/>
        <v>1351.6423488804949</v>
      </c>
      <c r="DT102" s="59">
        <f ca="1">AVERAGE(OFFSET($DS$3,0,0,'Données projet'!$E$14+1,1))-AVERAGE(OFFSET($H$3,0,0,'Données projet'!$E$14+1,1))</f>
        <v>735.50267870886194</v>
      </c>
      <c r="DU102" s="59">
        <f t="shared" si="98"/>
        <v>525.80345400853275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84.046661653842349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84.046661653842349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>
        <f>VLOOKUP(A102,'Données projet'!$A$191:$I$211,2,0)</f>
        <v>185</v>
      </c>
      <c r="EH102" s="12">
        <f>VLOOKUP(A102,'Données projet'!$A$191:$I$211,9,0)</f>
        <v>4.333333333333333</v>
      </c>
      <c r="EI102" s="12">
        <f t="array" ref="EI102">INDEX(EH:EH,MIN(IF(ISNUMBER(EH102:EH298),ROW(EH102:EH298),"")))</f>
        <v>4.333333333333333</v>
      </c>
      <c r="EJ102" s="12">
        <f>IF('Données projet'!$A$192&gt;35,EJ101+EI102-ER101,IF(A102&lt;'Données projet'!$A$192,$EG$205^A102,IF(A102='Données projet'!$A$192,'Données projet'!$B$192,EJ101+EI102-ER101)))</f>
        <v>185.00000000000026</v>
      </c>
      <c r="EK102" s="17">
        <f>EJ102*VLOOKUP('Données projet'!$B$15,Paramètres!$A$1:$I$89,3,0)*VLOOKUP('Données projet'!$B$15,Paramètres!$A$1:$I$89,5,0)</f>
        <v>118.32600000000015</v>
      </c>
      <c r="EL102" s="13">
        <f t="shared" si="99"/>
        <v>31.284247637844548</v>
      </c>
      <c r="EM102" s="20">
        <f t="shared" si="73"/>
        <v>260.57118130257953</v>
      </c>
      <c r="EN102" s="59">
        <f t="shared" si="74"/>
        <v>553.90451463591285</v>
      </c>
      <c r="EO102" s="59">
        <f ca="1">AVERAGE(OFFSET($EN$3,0,0,'Données projet'!$E$15+1,1))-AVERAGE(OFFSET($H$3,0,0,'Données projet'!$E$15+1,1))</f>
        <v>274.14900959323484</v>
      </c>
      <c r="EP102" s="59">
        <f t="shared" si="100"/>
        <v>130.44590390921582</v>
      </c>
      <c r="EQ102" s="15">
        <f>IF(ISNA(VLOOKUP(A102,'Données projet'!$A$191:$I$211,3,0)),0,VLOOKUP(A102,'Données projet'!$A$191:$I$211,3,0))</f>
        <v>6</v>
      </c>
      <c r="ER102" s="15">
        <f>IF(ISNA(VLOOKUP(A102,'Données projet'!$A$191:$I$211,4,0)),0,VLOOKUP(A102,'Données projet'!$A$191:$I$211,4,0))</f>
        <v>26</v>
      </c>
      <c r="ES102" s="16">
        <f>IF(ISNA(VLOOKUP(A102,'Données projet'!$A$191:$I$211,5,0)),0%,VLOOKUP(A102,'Données projet'!$A$191:$I$211,5,0)*VLOOKUP('Données projet'!$B$15,Paramètres!$A$1:$I$89,7,0))</f>
        <v>0.25800000000000001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18.986138849398539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18.986138849398539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-2.2737367544323206E-13</v>
      </c>
      <c r="FF102" s="17">
        <f>FE102*VLOOKUP('Données projet'!$B$16,Paramètres!$A$1:$I$89,3,0)*VLOOKUP('Données projet'!$B$16,Paramètres!$A$1:$I$89,5,0)</f>
        <v>-1.3596945791505279E-13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405.42845699663462</v>
      </c>
      <c r="FK102" s="59">
        <f t="shared" si="102"/>
        <v>292.26503163353146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162.7979711531481</v>
      </c>
      <c r="FR102" s="21">
        <f>EXP(-LN(2)/25)*FR101+(1-EXP(-LN(2)/25))/(LN(2)/25)*Calculateur!FM102*Calculateur!FO102*VLOOKUP('Données projet'!$B$16,Paramètres!$A$1:$I$89,3,0)*0.475*44/12</f>
        <v>66.974027009210204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229.7719981623583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-2.2737367544323206E-13</v>
      </c>
      <c r="GA102" s="17">
        <f>FZ102*VLOOKUP('Données projet'!$B$17,Paramètres!$A$1:$I$89,3,0)*VLOOKUP('Données projet'!$B$17,Paramètres!$A$1:$I$89,5,0)</f>
        <v>-1.3596945791505279E-13</v>
      </c>
      <c r="GB102" s="13" t="e">
        <f t="shared" si="103"/>
        <v>#NUM!</v>
      </c>
      <c r="GC102" s="20" t="e">
        <f t="shared" si="79"/>
        <v>#NUM!</v>
      </c>
      <c r="GD102" s="59" t="e">
        <f t="shared" si="80"/>
        <v>#NUM!</v>
      </c>
      <c r="GE102" s="59">
        <f ca="1">AVERAGE(OFFSET($GD$3,0,0,'Données projet'!$E$17+1,1))-AVERAGE(OFFSET($H$3,0,0,'Données projet'!$E$17+1,1))</f>
        <v>405.42845699663462</v>
      </c>
      <c r="GF102" s="59">
        <f t="shared" si="104"/>
        <v>292.26503163353146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162.7979711531481</v>
      </c>
      <c r="GM102" s="21">
        <f>EXP(-LN(2)/25)*GM101+(1-EXP(-LN(2)/25))/(LN(2)/25)*Calculateur!GH102*Calculateur!GJ102*VLOOKUP('Données projet'!$B$17,Paramètres!$A$1:$I$89,3,0)*0.475*44/12</f>
        <v>66.974027009210204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229.7719981623583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-5.3205440053716299E-14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198.26255998041</v>
      </c>
      <c r="T103" s="59">
        <f t="shared" si="88"/>
        <v>238.62101708181166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49.712553989526356</v>
      </c>
      <c r="AA103" s="21">
        <f>EXP(-LN(2)/25)*AA102+(1-EXP(-LN(2)/25))/(LN(2)/25)*Calculateur!V103*Calculateur!X103*VLOOKUP('Données projet'!$B$9,Paramètres!$A$1:$I$89,3,0)*0.475*44/12</f>
        <v>20.540237743185308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70.252791732711671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3.4106051316484809E-13</v>
      </c>
      <c r="AJ103" s="13">
        <f>AI103*VLOOKUP('Données projet'!$B$10,Paramètres!$A$1:$I$89,3,0)*VLOOKUP('Données projet'!$B$10,Paramètres!$A$1:$I$89,5,0)</f>
        <v>1.9065282685915009E-13</v>
      </c>
      <c r="AK103" s="13">
        <f t="shared" si="89"/>
        <v>2.6568987209435707E-12</v>
      </c>
      <c r="AL103" s="20">
        <f t="shared" si="58"/>
        <v>4.959485612423072E-12</v>
      </c>
      <c r="AM103" s="59">
        <f t="shared" si="59"/>
        <v>293.33333333333826</v>
      </c>
      <c r="AN103" s="59">
        <f ca="1">AVERAGE(OFFSET($AM$3,0,0,'Données projet'!$E$10+1,1))-AVERAGE(OFFSET($H$3,0,0,'Données projet'!$E$10+1,1))</f>
        <v>347.02720636703873</v>
      </c>
      <c r="AO103" s="59">
        <f t="shared" si="90"/>
        <v>394.03759949558702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108.51721679032453</v>
      </c>
      <c r="AV103" s="21">
        <f>EXP(-LN(2)/25)*AV102+(1-EXP(-LN(2)/25))/(LN(2)/25)*Calculateur!AQ103*Calculateur!AS103*VLOOKUP('Données projet'!$B$10,Paramètres!$A$1:$I$89,3,0)*0.475*44/12</f>
        <v>43.716738007830571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152.23395479815508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-3.4106051316484809E-13</v>
      </c>
      <c r="BE103" s="13">
        <f>BD103*VLOOKUP('Données projet'!$B$11,Paramètres!$A$1:$I$89,3,0)*VLOOKUP('Données projet'!$B$11,Paramètres!$A$1:$I$89,5,0)</f>
        <v>-2.0395418687257919E-13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378.75660696651238</v>
      </c>
      <c r="BJ103" s="59">
        <f t="shared" si="92"/>
        <v>371.70674704563288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107.34786170300896</v>
      </c>
      <c r="BQ103" s="21">
        <f>EXP(-LN(2)/25)*BQ102+(1-EXP(-LN(2)/25))/(LN(2)/25)*Calculateur!BL103*Calculateur!BN103*VLOOKUP('Données projet'!$B$11,Paramètres!$A$1:$I$89,3,0)*0.475*44/12</f>
        <v>42.239416503358477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149.58727820636744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4.4444444444444446</v>
      </c>
      <c r="BY103" s="12">
        <f>IF('Données projet'!$A$114&gt;35,BY102+BX103-CG102,IF(A103&lt;'Données projet'!$A$114,$BV$205^A103,IF(A103='Données projet'!$A$114,'Données projet'!$B$114,BY102+BX103-CG102)))</f>
        <v>163.44444444444471</v>
      </c>
      <c r="BZ103" s="13">
        <f>BY103*VLOOKUP('Données projet'!$B$12,Paramètres!$A$1:$I$89,3,0)*VLOOKUP('Données projet'!$B$12,Paramètres!$A$1:$I$89,5,0)</f>
        <v>165.73266666666694</v>
      </c>
      <c r="CA103" s="13">
        <f t="shared" si="93"/>
        <v>42.13287338106732</v>
      </c>
      <c r="CB103" s="20">
        <f t="shared" si="64"/>
        <v>362.03248224980388</v>
      </c>
      <c r="CC103" s="59">
        <f t="shared" si="65"/>
        <v>655.36581558313719</v>
      </c>
      <c r="CD103" s="59">
        <f ca="1">AVERAGE(OFFSET($CC$3,0,0,'Données projet'!$E$12+1,1))-AVERAGE(OFFSET($H$3,0,0,'Données projet'!$E$12+1,1))</f>
        <v>410.75375635525211</v>
      </c>
      <c r="CE103" s="59">
        <f t="shared" si="94"/>
        <v>183.55513001437367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29.509734050063383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29.509734050063383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5.6</v>
      </c>
      <c r="CT103" s="12">
        <f>IF('Données projet'!$A$140&gt;35,CT102+CS103-DB102,IF(A103&lt;'Données projet'!$A$140,$CQ$205^A103,IF(A103='Données projet'!$A$140,'Données projet'!$B$140,CT102+CS103-DB102)))</f>
        <v>245.19999999999993</v>
      </c>
      <c r="CU103" s="17">
        <f>CT103*VLOOKUP('Données projet'!$B$13,Paramètres!$A$1:$I$89,3,0)*VLOOKUP('Données projet'!$B$13,Paramètres!$A$1:$I$89,5,0)</f>
        <v>221.85695999999993</v>
      </c>
      <c r="CV103" s="13">
        <f t="shared" si="95"/>
        <v>54.518289152565778</v>
      </c>
      <c r="CW103" s="20">
        <f t="shared" si="67"/>
        <v>481.35355894071859</v>
      </c>
      <c r="CX103" s="59">
        <f t="shared" si="68"/>
        <v>774.68689227405184</v>
      </c>
      <c r="CY103" s="59">
        <f ca="1">AVERAGE(OFFSET($CX$3,0,0,'Données projet'!$E$13+1,1))-AVERAGE(OFFSET($H$3,0,0,'Données projet'!$E$13+1,1))</f>
        <v>436.12708882925142</v>
      </c>
      <c r="CZ103" s="59">
        <f t="shared" si="96"/>
        <v>217.65884352525285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30.602513941771033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30.602513941771033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532</v>
      </c>
      <c r="DM103" s="12">
        <f>VLOOKUP(A103,'Données projet'!$A$165:$I$185,9,0)</f>
        <v>10.199999999999999</v>
      </c>
      <c r="DN103" s="12">
        <f t="array" ref="DN103">INDEX(DM:DM,MIN(IF(ISNUMBER(DM103:DM299),ROW(DM103:DM299),"")))</f>
        <v>10.199999999999999</v>
      </c>
      <c r="DO103" s="12">
        <f>IF('Données projet'!$A$166&gt;35,DO102+DN103-DW102,IF(A103&lt;'Données projet'!$A$166,$DL$205^A103,IF(A103='Données projet'!$A$166,'Données projet'!$B$166,DO102+DN103-DW102)))</f>
        <v>532.00000000000045</v>
      </c>
      <c r="DP103" s="17">
        <f>DO103*VLOOKUP('Données projet'!$B$14,Paramètres!$A$1:$I$89,3,0)*VLOOKUP('Données projet'!$B$14,Paramètres!$A$1:$I$89,5,0)</f>
        <v>506.25120000000044</v>
      </c>
      <c r="DQ103" s="13">
        <f t="shared" si="97"/>
        <v>113.01339470427692</v>
      </c>
      <c r="DR103" s="20">
        <f t="shared" si="70"/>
        <v>1078.5525024432829</v>
      </c>
      <c r="DS103" s="59">
        <f t="shared" si="71"/>
        <v>1371.8858357766162</v>
      </c>
      <c r="DT103" s="59">
        <f ca="1">AVERAGE(OFFSET($DS$3,0,0,'Données projet'!$E$14+1,1))-AVERAGE(OFFSET($H$3,0,0,'Données projet'!$E$14+1,1))</f>
        <v>735.50267870886194</v>
      </c>
      <c r="DU103" s="59">
        <f t="shared" si="98"/>
        <v>525.80345400853275</v>
      </c>
      <c r="DV103" s="15">
        <f>IF(ISNA(VLOOKUP(A103,'Données projet'!$A$165:$I$185,3,0)),0,VLOOKUP(A103,'Données projet'!$A$165:$I$185,3,0))</f>
        <v>18</v>
      </c>
      <c r="DW103" s="15">
        <f>IF(ISNA(VLOOKUP(A103,'Données projet'!$A$165:$I$185,4,0)),0,VLOOKUP(A103,'Données projet'!$A$165:$I$185,4,0))</f>
        <v>46</v>
      </c>
      <c r="DX103" s="16">
        <f>IF(ISNA(VLOOKUP(A103,'Données projet'!$A$165:$I$185,5,0)),0%,VLOOKUP(A103,'Données projet'!$A$165:$I$185,5,0)*VLOOKUP('Données projet'!$B$14,Paramètres!$A$1:$I$89,7,0))</f>
        <v>0.25800000000000001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94.883285779237355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94.883285779237355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4.4444444444444446</v>
      </c>
      <c r="EJ103" s="12">
        <f>IF('Données projet'!$A$192&gt;35,EJ102+EI103-ER102,IF(A103&lt;'Données projet'!$A$192,$EG$205^A103,IF(A103='Données projet'!$A$192,'Données projet'!$B$192,EJ102+EI103-ER102)))</f>
        <v>163.44444444444471</v>
      </c>
      <c r="EK103" s="17">
        <f>EJ103*VLOOKUP('Données projet'!$B$15,Paramètres!$A$1:$I$89,3,0)*VLOOKUP('Données projet'!$B$15,Paramètres!$A$1:$I$89,5,0)</f>
        <v>104.53906666666684</v>
      </c>
      <c r="EL103" s="13">
        <f t="shared" si="99"/>
        <v>28.0405580209063</v>
      </c>
      <c r="EM103" s="20">
        <f t="shared" si="73"/>
        <v>230.90951299752319</v>
      </c>
      <c r="EN103" s="59">
        <f t="shared" si="74"/>
        <v>524.24284633085654</v>
      </c>
      <c r="EO103" s="59">
        <f ca="1">AVERAGE(OFFSET($EN$3,0,0,'Données projet'!$E$15+1,1))-AVERAGE(OFFSET($H$3,0,0,'Données projet'!$E$15+1,1))</f>
        <v>274.14900959323484</v>
      </c>
      <c r="EP103" s="59">
        <f t="shared" si="100"/>
        <v>130.44590390921582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18.613832246963064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18.613832246963064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-2.2737367544323206E-13</v>
      </c>
      <c r="FF103" s="17">
        <f>FE103*VLOOKUP('Données projet'!$B$16,Paramètres!$A$1:$I$89,3,0)*VLOOKUP('Données projet'!$B$16,Paramètres!$A$1:$I$89,5,0)</f>
        <v>-1.3596945791505279E-13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405.42845699663462</v>
      </c>
      <c r="FK103" s="59">
        <f t="shared" si="102"/>
        <v>292.26503163353146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159.6056022357925</v>
      </c>
      <c r="FR103" s="21">
        <f>EXP(-LN(2)/25)*FR102+(1-EXP(-LN(2)/25))/(LN(2)/25)*Calculateur!FM103*Calculateur!FO103*VLOOKUP('Données projet'!$B$16,Paramètres!$A$1:$I$89,3,0)*0.475*44/12</f>
        <v>65.142618718632335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224.74822095442482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-2.2737367544323206E-13</v>
      </c>
      <c r="GA103" s="17">
        <f>FZ103*VLOOKUP('Données projet'!$B$17,Paramètres!$A$1:$I$89,3,0)*VLOOKUP('Données projet'!$B$17,Paramètres!$A$1:$I$89,5,0)</f>
        <v>-1.3596945791505279E-13</v>
      </c>
      <c r="GB103" s="13" t="e">
        <f t="shared" si="103"/>
        <v>#NUM!</v>
      </c>
      <c r="GC103" s="20" t="e">
        <f t="shared" si="79"/>
        <v>#NUM!</v>
      </c>
      <c r="GD103" s="59" t="e">
        <f t="shared" si="80"/>
        <v>#NUM!</v>
      </c>
      <c r="GE103" s="59">
        <f ca="1">AVERAGE(OFFSET($GD$3,0,0,'Données projet'!$E$17+1,1))-AVERAGE(OFFSET($H$3,0,0,'Données projet'!$E$17+1,1))</f>
        <v>405.42845699663462</v>
      </c>
      <c r="GF103" s="59">
        <f t="shared" si="104"/>
        <v>292.26503163353146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159.6056022357925</v>
      </c>
      <c r="GM103" s="21">
        <f>EXP(-LN(2)/25)*GM102+(1-EXP(-LN(2)/25))/(LN(2)/25)*Calculateur!GH103*Calculateur!GJ103*VLOOKUP('Données projet'!$B$17,Paramètres!$A$1:$I$89,3,0)*0.475*44/12</f>
        <v>65.142618718632335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224.74822095442482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-5.3205440053716299E-14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198.26255998041</v>
      </c>
      <c r="T104" s="59">
        <f t="shared" si="88"/>
        <v>238.62101708181166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48.737721127455664</v>
      </c>
      <c r="AA104" s="21">
        <f>EXP(-LN(2)/25)*AA103+(1-EXP(-LN(2)/25))/(LN(2)/25)*Calculateur!V104*Calculateur!X104*VLOOKUP('Données projet'!$B$9,Paramètres!$A$1:$I$89,3,0)*0.475*44/12</f>
        <v>19.978563861933747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68.716284989389408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3.4106051316484809E-13</v>
      </c>
      <c r="AJ104" s="13">
        <f>AI104*VLOOKUP('Données projet'!$B$10,Paramètres!$A$1:$I$89,3,0)*VLOOKUP('Données projet'!$B$10,Paramètres!$A$1:$I$89,5,0)</f>
        <v>1.9065282685915009E-13</v>
      </c>
      <c r="AK104" s="13">
        <f t="shared" si="89"/>
        <v>2.6568987209435707E-12</v>
      </c>
      <c r="AL104" s="20">
        <f t="shared" si="58"/>
        <v>4.959485612423072E-12</v>
      </c>
      <c r="AM104" s="59">
        <f t="shared" si="59"/>
        <v>293.33333333333826</v>
      </c>
      <c r="AN104" s="59">
        <f ca="1">AVERAGE(OFFSET($AM$3,0,0,'Données projet'!$E$10+1,1))-AVERAGE(OFFSET($H$3,0,0,'Données projet'!$E$10+1,1))</f>
        <v>347.02720636703873</v>
      </c>
      <c r="AO104" s="59">
        <f t="shared" si="90"/>
        <v>394.03759949558702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106.38926035803289</v>
      </c>
      <c r="AV104" s="21">
        <f>EXP(-LN(2)/25)*AV103+(1-EXP(-LN(2)/25))/(LN(2)/25)*Calculateur!AQ104*Calculateur!AS104*VLOOKUP('Données projet'!$B$10,Paramètres!$A$1:$I$89,3,0)*0.475*44/12</f>
        <v>42.521301508043109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148.91056186607599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-3.4106051316484809E-13</v>
      </c>
      <c r="BE104" s="13">
        <f>BD104*VLOOKUP('Données projet'!$B$11,Paramètres!$A$1:$I$89,3,0)*VLOOKUP('Données projet'!$B$11,Paramètres!$A$1:$I$89,5,0)</f>
        <v>-2.0395418687257919E-13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378.75660696651238</v>
      </c>
      <c r="BJ104" s="59">
        <f t="shared" si="92"/>
        <v>371.70674704563288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105.2428356107434</v>
      </c>
      <c r="BQ104" s="21">
        <f>EXP(-LN(2)/25)*BQ103+(1-EXP(-LN(2)/25))/(LN(2)/25)*Calculateur!BL104*Calculateur!BN104*VLOOKUP('Données projet'!$B$11,Paramètres!$A$1:$I$89,3,0)*0.475*44/12</f>
        <v>41.084377437799766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146.32721304854317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4.4444444444444446</v>
      </c>
      <c r="BY104" s="12">
        <f>IF('Données projet'!$A$114&gt;35,BY103+BX104-CG103,IF(A104&lt;'Données projet'!$A$114,$BV$205^A104,IF(A104='Données projet'!$A$114,'Données projet'!$B$114,BY103+BX104-CG103)))</f>
        <v>167.88888888888917</v>
      </c>
      <c r="BZ104" s="13">
        <f>BY104*VLOOKUP('Données projet'!$B$12,Paramètres!$A$1:$I$89,3,0)*VLOOKUP('Données projet'!$B$12,Paramètres!$A$1:$I$89,5,0)</f>
        <v>170.23933333333363</v>
      </c>
      <c r="CA104" s="13">
        <f t="shared" si="93"/>
        <v>43.143621900683478</v>
      </c>
      <c r="CB104" s="20">
        <f t="shared" si="64"/>
        <v>371.64198036591318</v>
      </c>
      <c r="CC104" s="59">
        <f t="shared" si="65"/>
        <v>664.9753136992465</v>
      </c>
      <c r="CD104" s="59">
        <f ca="1">AVERAGE(OFFSET($CC$3,0,0,'Données projet'!$E$12+1,1))-AVERAGE(OFFSET($H$3,0,0,'Données projet'!$E$12+1,1))</f>
        <v>410.75375635525211</v>
      </c>
      <c r="CE104" s="59">
        <f t="shared" si="94"/>
        <v>183.55513001437367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28.931066164502141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28.931066164502141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5.6</v>
      </c>
      <c r="CT104" s="12">
        <f>IF('Données projet'!$A$140&gt;35,CT103+CS104-DB103,IF(A104&lt;'Données projet'!$A$140,$CQ$205^A104,IF(A104='Données projet'!$A$140,'Données projet'!$B$140,CT103+CS104-DB103)))</f>
        <v>250.79999999999993</v>
      </c>
      <c r="CU104" s="17">
        <f>CT104*VLOOKUP('Données projet'!$B$13,Paramètres!$A$1:$I$89,3,0)*VLOOKUP('Données projet'!$B$13,Paramètres!$A$1:$I$89,5,0)</f>
        <v>226.92383999999993</v>
      </c>
      <c r="CV104" s="13">
        <f t="shared" si="95"/>
        <v>55.617023478556483</v>
      </c>
      <c r="CW104" s="20">
        <f t="shared" si="67"/>
        <v>492.09200389181893</v>
      </c>
      <c r="CX104" s="59">
        <f t="shared" si="68"/>
        <v>785.42533722515225</v>
      </c>
      <c r="CY104" s="59">
        <f ca="1">AVERAGE(OFFSET($CX$3,0,0,'Données projet'!$E$13+1,1))-AVERAGE(OFFSET($H$3,0,0,'Données projet'!$E$13+1,1))</f>
        <v>436.12708882925142</v>
      </c>
      <c r="CZ104" s="59">
        <f t="shared" si="96"/>
        <v>217.65884352525285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30.002417309063322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30.002417309063322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10</v>
      </c>
      <c r="DO104" s="12">
        <f>IF('Données projet'!$A$166&gt;35,DO103+DN104-DW103,IF(A104&lt;'Données projet'!$A$166,$DL$205^A104,IF(A104='Données projet'!$A$166,'Données projet'!$B$166,DO103+DN104-DW103)))</f>
        <v>496.00000000000045</v>
      </c>
      <c r="DP104" s="17">
        <f>DO104*VLOOKUP('Données projet'!$B$14,Paramètres!$A$1:$I$89,3,0)*VLOOKUP('Données projet'!$B$14,Paramètres!$A$1:$I$89,5,0)</f>
        <v>471.99360000000047</v>
      </c>
      <c r="DQ104" s="13">
        <f t="shared" si="97"/>
        <v>106.22873542152446</v>
      </c>
      <c r="DR104" s="20">
        <f t="shared" si="70"/>
        <v>1007.0705675258224</v>
      </c>
      <c r="DS104" s="59">
        <f t="shared" si="71"/>
        <v>1300.4039008591558</v>
      </c>
      <c r="DT104" s="59">
        <f ca="1">AVERAGE(OFFSET($DS$3,0,0,'Données projet'!$E$14+1,1))-AVERAGE(OFFSET($H$3,0,0,'Données projet'!$E$14+1,1))</f>
        <v>735.50267870886194</v>
      </c>
      <c r="DU104" s="59">
        <f t="shared" si="98"/>
        <v>525.80345400853275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93.022682418196339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93.022682418196339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4.4444444444444446</v>
      </c>
      <c r="EJ104" s="12">
        <f>IF('Données projet'!$A$192&gt;35,EJ103+EI104-ER103,IF(A104&lt;'Données projet'!$A$192,$EG$205^A104,IF(A104='Données projet'!$A$192,'Données projet'!$B$192,EJ103+EI104-ER103)))</f>
        <v>167.88888888888917</v>
      </c>
      <c r="EK104" s="17">
        <f>EJ104*VLOOKUP('Données projet'!$B$15,Paramètres!$A$1:$I$89,3,0)*VLOOKUP('Données projet'!$B$15,Paramètres!$A$1:$I$89,5,0)</f>
        <v>107.38173333333351</v>
      </c>
      <c r="EL104" s="13">
        <f t="shared" si="99"/>
        <v>28.713238287749327</v>
      </c>
      <c r="EM104" s="20">
        <f t="shared" si="73"/>
        <v>237.0320755733859</v>
      </c>
      <c r="EN104" s="59">
        <f t="shared" si="74"/>
        <v>530.36540890671927</v>
      </c>
      <c r="EO104" s="59">
        <f ca="1">AVERAGE(OFFSET($EN$3,0,0,'Données projet'!$E$15+1,1))-AVERAGE(OFFSET($H$3,0,0,'Données projet'!$E$15+1,1))</f>
        <v>274.14900959323484</v>
      </c>
      <c r="EP104" s="59">
        <f t="shared" si="100"/>
        <v>130.44590390921582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18.24882634991674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18.24882634991674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-2.2737367544323206E-13</v>
      </c>
      <c r="FF104" s="17">
        <f>FE104*VLOOKUP('Données projet'!$B$16,Paramètres!$A$1:$I$89,3,0)*VLOOKUP('Données projet'!$B$16,Paramètres!$A$1:$I$89,5,0)</f>
        <v>-1.3596945791505279E-13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405.42845699663462</v>
      </c>
      <c r="FK104" s="59">
        <f t="shared" si="102"/>
        <v>292.26503163353146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156.47583372575349</v>
      </c>
      <c r="FR104" s="21">
        <f>EXP(-LN(2)/25)*FR103+(1-EXP(-LN(2)/25))/(LN(2)/25)*Calculateur!FM104*Calculateur!FO104*VLOOKUP('Données projet'!$B$16,Paramètres!$A$1:$I$89,3,0)*0.475*44/12</f>
        <v>63.361290384069903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219.83712410982338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-2.2737367544323206E-13</v>
      </c>
      <c r="GA104" s="17">
        <f>FZ104*VLOOKUP('Données projet'!$B$17,Paramètres!$A$1:$I$89,3,0)*VLOOKUP('Données projet'!$B$17,Paramètres!$A$1:$I$89,5,0)</f>
        <v>-1.3596945791505279E-13</v>
      </c>
      <c r="GB104" s="13" t="e">
        <f t="shared" si="103"/>
        <v>#NUM!</v>
      </c>
      <c r="GC104" s="20" t="e">
        <f t="shared" si="79"/>
        <v>#NUM!</v>
      </c>
      <c r="GD104" s="59" t="e">
        <f t="shared" si="80"/>
        <v>#NUM!</v>
      </c>
      <c r="GE104" s="59">
        <f ca="1">AVERAGE(OFFSET($GD$3,0,0,'Données projet'!$E$17+1,1))-AVERAGE(OFFSET($H$3,0,0,'Données projet'!$E$17+1,1))</f>
        <v>405.42845699663462</v>
      </c>
      <c r="GF104" s="59">
        <f t="shared" si="104"/>
        <v>292.26503163353146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156.47583372575349</v>
      </c>
      <c r="GM104" s="21">
        <f>EXP(-LN(2)/25)*GM103+(1-EXP(-LN(2)/25))/(LN(2)/25)*Calculateur!GH104*Calculateur!GJ104*VLOOKUP('Données projet'!$B$17,Paramètres!$A$1:$I$89,3,0)*0.475*44/12</f>
        <v>63.361290384069903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219.83712410982338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-5.3205440053716299E-14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198.26255998041</v>
      </c>
      <c r="T105" s="59">
        <f t="shared" si="88"/>
        <v>238.62101708181166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47.782004143220838</v>
      </c>
      <c r="AA105" s="21">
        <f>EXP(-LN(2)/25)*AA104+(1-EXP(-LN(2)/25))/(LN(2)/25)*Calculateur!V105*Calculateur!X105*VLOOKUP('Données projet'!$B$9,Paramètres!$A$1:$I$89,3,0)*0.475*44/12</f>
        <v>19.432248982502156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67.21425312572299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3.4106051316484809E-13</v>
      </c>
      <c r="AJ105" s="13">
        <f>AI105*VLOOKUP('Données projet'!$B$10,Paramètres!$A$1:$I$89,3,0)*VLOOKUP('Données projet'!$B$10,Paramètres!$A$1:$I$89,5,0)</f>
        <v>1.9065282685915009E-13</v>
      </c>
      <c r="AK105" s="13">
        <f t="shared" si="89"/>
        <v>2.6568987209435707E-12</v>
      </c>
      <c r="AL105" s="20">
        <f t="shared" si="58"/>
        <v>4.959485612423072E-12</v>
      </c>
      <c r="AM105" s="59">
        <f t="shared" si="59"/>
        <v>293.33333333333826</v>
      </c>
      <c r="AN105" s="59">
        <f ca="1">AVERAGE(OFFSET($AM$3,0,0,'Données projet'!$E$10+1,1))-AVERAGE(OFFSET($H$3,0,0,'Données projet'!$E$10+1,1))</f>
        <v>347.02720636703873</v>
      </c>
      <c r="AO105" s="59">
        <f t="shared" si="90"/>
        <v>394.03759949558702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104.30303185345322</v>
      </c>
      <c r="AV105" s="21">
        <f>EXP(-LN(2)/25)*AV104+(1-EXP(-LN(2)/25))/(LN(2)/25)*Calculateur!AQ105*Calculateur!AS105*VLOOKUP('Données projet'!$B$10,Paramètres!$A$1:$I$89,3,0)*0.475*44/12</f>
        <v>41.358554282207606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145.66158613566083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-3.4106051316484809E-13</v>
      </c>
      <c r="BE105" s="13">
        <f>BD105*VLOOKUP('Données projet'!$B$11,Paramètres!$A$1:$I$89,3,0)*VLOOKUP('Données projet'!$B$11,Paramètres!$A$1:$I$89,5,0)</f>
        <v>-2.0395418687257919E-13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378.75660696651238</v>
      </c>
      <c r="BJ105" s="59">
        <f t="shared" si="92"/>
        <v>371.70674704563288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103.17908779620802</v>
      </c>
      <c r="BQ105" s="21">
        <f>EXP(-LN(2)/25)*BQ104+(1-EXP(-LN(2)/25))/(LN(2)/25)*Calculateur!BL105*Calculateur!BN105*VLOOKUP('Données projet'!$B$11,Paramètres!$A$1:$I$89,3,0)*0.475*44/12</f>
        <v>39.960922976229625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143.14001077243765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4.4444444444444446</v>
      </c>
      <c r="BY105" s="12">
        <f>IF('Données projet'!$A$114&gt;35,BY104+BX105-CG104,IF(A105&lt;'Données projet'!$A$114,$BV$205^A105,IF(A105='Données projet'!$A$114,'Données projet'!$B$114,BY104+BX105-CG104)))</f>
        <v>172.33333333333363</v>
      </c>
      <c r="BZ105" s="13">
        <f>BY105*VLOOKUP('Données projet'!$B$12,Paramètres!$A$1:$I$89,3,0)*VLOOKUP('Données projet'!$B$12,Paramètres!$A$1:$I$89,5,0)</f>
        <v>174.74600000000032</v>
      </c>
      <c r="CA105" s="13">
        <f t="shared" si="93"/>
        <v>44.151260306486733</v>
      </c>
      <c r="CB105" s="20">
        <f t="shared" si="64"/>
        <v>381.24606170046491</v>
      </c>
      <c r="CC105" s="59">
        <f t="shared" si="65"/>
        <v>674.57939503379816</v>
      </c>
      <c r="CD105" s="59">
        <f ca="1">AVERAGE(OFFSET($CC$3,0,0,'Données projet'!$E$12+1,1))-AVERAGE(OFFSET($H$3,0,0,'Données projet'!$E$12+1,1))</f>
        <v>410.75375635525211</v>
      </c>
      <c r="CE105" s="59">
        <f t="shared" si="94"/>
        <v>183.55513001437367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28.363745603224196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28.363745603224196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5.6</v>
      </c>
      <c r="CT105" s="12">
        <f>IF('Données projet'!$A$140&gt;35,CT104+CS105-DB104,IF(A105&lt;'Données projet'!$A$140,$CQ$205^A105,IF(A105='Données projet'!$A$140,'Données projet'!$B$140,CT104+CS105-DB104)))</f>
        <v>256.39999999999992</v>
      </c>
      <c r="CU105" s="17">
        <f>CT105*VLOOKUP('Données projet'!$B$13,Paramètres!$A$1:$I$89,3,0)*VLOOKUP('Données projet'!$B$13,Paramètres!$A$1:$I$89,5,0)</f>
        <v>231.9907199999999</v>
      </c>
      <c r="CV105" s="13">
        <f t="shared" si="95"/>
        <v>56.71290560399715</v>
      </c>
      <c r="CW105" s="20">
        <f t="shared" si="67"/>
        <v>502.82548126029491</v>
      </c>
      <c r="CX105" s="59">
        <f t="shared" si="68"/>
        <v>796.15881459362822</v>
      </c>
      <c r="CY105" s="59">
        <f ca="1">AVERAGE(OFFSET($CX$3,0,0,'Données projet'!$E$13+1,1))-AVERAGE(OFFSET($H$3,0,0,'Données projet'!$E$13+1,1))</f>
        <v>436.12708882925142</v>
      </c>
      <c r="CZ105" s="59">
        <f t="shared" si="96"/>
        <v>217.65884352525285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29.414088205300207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29.414088205300207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10</v>
      </c>
      <c r="DO105" s="12">
        <f>IF('Données projet'!$A$166&gt;35,DO104+DN105-DW104,IF(A105&lt;'Données projet'!$A$166,$DL$205^A105,IF(A105='Données projet'!$A$166,'Données projet'!$B$166,DO104+DN105-DW104)))</f>
        <v>506.00000000000045</v>
      </c>
      <c r="DP105" s="17">
        <f>DO105*VLOOKUP('Données projet'!$B$14,Paramètres!$A$1:$I$89,3,0)*VLOOKUP('Données projet'!$B$14,Paramètres!$A$1:$I$89,5,0)</f>
        <v>481.50960000000043</v>
      </c>
      <c r="DQ105" s="13">
        <f t="shared" si="97"/>
        <v>108.11894489290763</v>
      </c>
      <c r="DR105" s="20">
        <f t="shared" si="70"/>
        <v>1026.9363823551482</v>
      </c>
      <c r="DS105" s="59">
        <f t="shared" si="71"/>
        <v>1320.2697156884815</v>
      </c>
      <c r="DT105" s="59">
        <f ca="1">AVERAGE(OFFSET($DS$3,0,0,'Données projet'!$E$14+1,1))-AVERAGE(OFFSET($H$3,0,0,'Données projet'!$E$14+1,1))</f>
        <v>735.50267870886194</v>
      </c>
      <c r="DU105" s="59">
        <f t="shared" si="98"/>
        <v>525.80345400853275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91.198564354209353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91.198564354209353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4.4444444444444446</v>
      </c>
      <c r="EJ105" s="12">
        <f>IF('Données projet'!$A$192&gt;35,EJ104+EI105-ER104,IF(A105&lt;'Données projet'!$A$192,$EG$205^A105,IF(A105='Données projet'!$A$192,'Données projet'!$B$192,EJ104+EI105-ER104)))</f>
        <v>172.33333333333363</v>
      </c>
      <c r="EK105" s="17">
        <f>EJ105*VLOOKUP('Données projet'!$B$15,Paramètres!$A$1:$I$89,3,0)*VLOOKUP('Données projet'!$B$15,Paramètres!$A$1:$I$89,5,0)</f>
        <v>110.22440000000019</v>
      </c>
      <c r="EL105" s="13">
        <f t="shared" si="99"/>
        <v>29.383848690378954</v>
      </c>
      <c r="EM105" s="20">
        <f t="shared" si="73"/>
        <v>243.15103313574363</v>
      </c>
      <c r="EN105" s="59">
        <f t="shared" si="74"/>
        <v>536.48436646907692</v>
      </c>
      <c r="EO105" s="59">
        <f ca="1">AVERAGE(OFFSET($EN$3,0,0,'Données projet'!$E$15+1,1))-AVERAGE(OFFSET($H$3,0,0,'Données projet'!$E$15+1,1))</f>
        <v>274.14900959323484</v>
      </c>
      <c r="EP105" s="59">
        <f t="shared" si="100"/>
        <v>130.44590390921582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17.890977995879883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17.890977995879883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-2.2737367544323206E-13</v>
      </c>
      <c r="FF105" s="17">
        <f>FE105*VLOOKUP('Données projet'!$B$16,Paramètres!$A$1:$I$89,3,0)*VLOOKUP('Données projet'!$B$16,Paramètres!$A$1:$I$89,5,0)</f>
        <v>-1.3596945791505279E-13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405.42845699663462</v>
      </c>
      <c r="FK105" s="59">
        <f t="shared" si="102"/>
        <v>292.26503163353146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153.40743806722602</v>
      </c>
      <c r="FR105" s="21">
        <f>EXP(-LN(2)/25)*FR104+(1-EXP(-LN(2)/25))/(LN(2)/25)*Calculateur!FM105*Calculateur!FO105*VLOOKUP('Données projet'!$B$16,Paramètres!$A$1:$I$89,3,0)*0.475*44/12</f>
        <v>61.628672566492064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215.0361106337181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-2.2737367544323206E-13</v>
      </c>
      <c r="GA105" s="17">
        <f>FZ105*VLOOKUP('Données projet'!$B$17,Paramètres!$A$1:$I$89,3,0)*VLOOKUP('Données projet'!$B$17,Paramètres!$A$1:$I$89,5,0)</f>
        <v>-1.3596945791505279E-13</v>
      </c>
      <c r="GB105" s="13" t="e">
        <f t="shared" si="103"/>
        <v>#NUM!</v>
      </c>
      <c r="GC105" s="20" t="e">
        <f t="shared" si="79"/>
        <v>#NUM!</v>
      </c>
      <c r="GD105" s="59" t="e">
        <f t="shared" si="80"/>
        <v>#NUM!</v>
      </c>
      <c r="GE105" s="59">
        <f ca="1">AVERAGE(OFFSET($GD$3,0,0,'Données projet'!$E$17+1,1))-AVERAGE(OFFSET($H$3,0,0,'Données projet'!$E$17+1,1))</f>
        <v>405.42845699663462</v>
      </c>
      <c r="GF105" s="59">
        <f t="shared" si="104"/>
        <v>292.26503163353146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153.40743806722602</v>
      </c>
      <c r="GM105" s="21">
        <f>EXP(-LN(2)/25)*GM104+(1-EXP(-LN(2)/25))/(LN(2)/25)*Calculateur!GH105*Calculateur!GJ105*VLOOKUP('Données projet'!$B$17,Paramètres!$A$1:$I$89,3,0)*0.475*44/12</f>
        <v>61.628672566492064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215.0361106337181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-5.3205440053716299E-14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198.26255998041</v>
      </c>
      <c r="T106" s="59">
        <f t="shared" si="88"/>
        <v>238.62101708181166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46.845028186117062</v>
      </c>
      <c r="AA106" s="21">
        <f>EXP(-LN(2)/25)*AA105+(1-EXP(-LN(2)/25))/(LN(2)/25)*Calculateur!V106*Calculateur!X106*VLOOKUP('Données projet'!$B$9,Paramètres!$A$1:$I$89,3,0)*0.475*44/12</f>
        <v>18.900873112178072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65.745901298295138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3.4106051316484809E-13</v>
      </c>
      <c r="AJ106" s="13">
        <f>AI106*VLOOKUP('Données projet'!$B$10,Paramètres!$A$1:$I$89,3,0)*VLOOKUP('Données projet'!$B$10,Paramètres!$A$1:$I$89,5,0)</f>
        <v>1.9065282685915009E-13</v>
      </c>
      <c r="AK106" s="13">
        <f t="shared" si="89"/>
        <v>2.6568987209435707E-12</v>
      </c>
      <c r="AL106" s="20">
        <f t="shared" si="58"/>
        <v>4.959485612423072E-12</v>
      </c>
      <c r="AM106" s="59">
        <f t="shared" si="59"/>
        <v>293.33333333333826</v>
      </c>
      <c r="AN106" s="59">
        <f ca="1">AVERAGE(OFFSET($AM$3,0,0,'Données projet'!$E$10+1,1))-AVERAGE(OFFSET($H$3,0,0,'Données projet'!$E$10+1,1))</f>
        <v>347.02720636703873</v>
      </c>
      <c r="AO106" s="59">
        <f t="shared" si="90"/>
        <v>394.03759949558702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102.25771301737463</v>
      </c>
      <c r="AV106" s="21">
        <f>EXP(-LN(2)/25)*AV105+(1-EXP(-LN(2)/25))/(LN(2)/25)*Calculateur!AQ106*Calculateur!AS106*VLOOKUP('Données projet'!$B$10,Paramètres!$A$1:$I$89,3,0)*0.475*44/12</f>
        <v>40.227602440408795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142.48531545778343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-3.4106051316484809E-13</v>
      </c>
      <c r="BE106" s="13">
        <f>BD106*VLOOKUP('Données projet'!$B$11,Paramètres!$A$1:$I$89,3,0)*VLOOKUP('Données projet'!$B$11,Paramètres!$A$1:$I$89,5,0)</f>
        <v>-2.0395418687257919E-13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378.75660696651238</v>
      </c>
      <c r="BJ106" s="59">
        <f t="shared" si="92"/>
        <v>371.70674704563288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101.15580881755382</v>
      </c>
      <c r="BQ106" s="21">
        <f>EXP(-LN(2)/25)*BQ105+(1-EXP(-LN(2)/25))/(LN(2)/25)*Calculateur!BL106*Calculateur!BN106*VLOOKUP('Données projet'!$B$11,Paramètres!$A$1:$I$89,3,0)*0.475*44/12</f>
        <v>38.86818943599102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140.02399825354485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4.4444444444444446</v>
      </c>
      <c r="BY106" s="12">
        <f>IF('Données projet'!$A$114&gt;35,BY105+BX106-CG105,IF(A106&lt;'Données projet'!$A$114,$BV$205^A106,IF(A106='Données projet'!$A$114,'Données projet'!$B$114,BY105+BX106-CG105)))</f>
        <v>176.77777777777808</v>
      </c>
      <c r="BZ106" s="13">
        <f>BY106*VLOOKUP('Données projet'!$B$12,Paramètres!$A$1:$I$89,3,0)*VLOOKUP('Données projet'!$B$12,Paramètres!$A$1:$I$89,5,0)</f>
        <v>179.25266666666701</v>
      </c>
      <c r="CA106" s="13">
        <f t="shared" si="93"/>
        <v>45.155878029880483</v>
      </c>
      <c r="CB106" s="20">
        <f t="shared" si="64"/>
        <v>390.84488201315349</v>
      </c>
      <c r="CC106" s="59">
        <f t="shared" si="65"/>
        <v>684.17821534648681</v>
      </c>
      <c r="CD106" s="59">
        <f ca="1">AVERAGE(OFFSET($CC$3,0,0,'Données projet'!$E$12+1,1))-AVERAGE(OFFSET($H$3,0,0,'Données projet'!$E$12+1,1))</f>
        <v>410.75375635525211</v>
      </c>
      <c r="CE106" s="59">
        <f t="shared" si="94"/>
        <v>183.55513001437367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27.807549852121536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27.807549852121536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>
        <f>VLOOKUP(A106,'Données projet'!$A$139:$I$159,2,0)</f>
        <v>262</v>
      </c>
      <c r="CR106" s="12">
        <f>VLOOKUP(A106,'Données projet'!$A$139:$I$159,9,0)</f>
        <v>5.6</v>
      </c>
      <c r="CS106" s="12">
        <f t="array" ref="CS106">INDEX(CR:CR,MIN(IF(ISNUMBER(CR106:CR302),ROW(CR106:CR302),"")))</f>
        <v>5.6</v>
      </c>
      <c r="CT106" s="12">
        <f>IF('Données projet'!$A$140&gt;35,CT105+CS106-DB105,IF(A106&lt;'Données projet'!$A$140,$CQ$205^A106,IF(A106='Données projet'!$A$140,'Données projet'!$B$140,CT105+CS106-DB105)))</f>
        <v>261.99999999999994</v>
      </c>
      <c r="CU106" s="17">
        <f>CT106*VLOOKUP('Données projet'!$B$13,Paramètres!$A$1:$I$89,3,0)*VLOOKUP('Données projet'!$B$13,Paramètres!$A$1:$I$89,5,0)</f>
        <v>237.05759999999992</v>
      </c>
      <c r="CV106" s="13">
        <f t="shared" si="95"/>
        <v>57.806004997354641</v>
      </c>
      <c r="CW106" s="20">
        <f t="shared" si="67"/>
        <v>513.5541120370591</v>
      </c>
      <c r="CX106" s="59">
        <f t="shared" si="68"/>
        <v>806.88744537039247</v>
      </c>
      <c r="CY106" s="59">
        <f ca="1">AVERAGE(OFFSET($CX$3,0,0,'Données projet'!$E$13+1,1))-AVERAGE(OFFSET($H$3,0,0,'Données projet'!$E$13+1,1))</f>
        <v>436.12708882925142</v>
      </c>
      <c r="CZ106" s="59">
        <f t="shared" si="96"/>
        <v>217.65884352525285</v>
      </c>
      <c r="DA106" s="15">
        <f>IF(ISNA(VLOOKUP(A106,'Données projet'!$A$139:$I$159,3,0)),0,VLOOKUP(A106,'Données projet'!$A$139:$I$159,3,0))</f>
        <v>8</v>
      </c>
      <c r="DB106" s="15">
        <f>IF(ISNA(VLOOKUP(A106,'Données projet'!$A$139:$I$159,4,0)),0,VLOOKUP(A106,'Données projet'!$A$139:$I$159,4,0))</f>
        <v>38</v>
      </c>
      <c r="DC106" s="16">
        <f>IF(ISNA(VLOOKUP(A106,'Données projet'!$A$139:$I$159,5,0)),0%,VLOOKUP(A106,'Données projet'!$A$139:$I$159,5,0)*VLOOKUP('Données projet'!$B$13,Paramètres!$A$1:$I$89,7,0))</f>
        <v>0.25800000000000001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38.643546868948022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38.643546868948022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10</v>
      </c>
      <c r="DO106" s="12">
        <f>IF('Données projet'!$A$166&gt;35,DO105+DN106-DW105,IF(A106&lt;'Données projet'!$A$166,$DL$205^A106,IF(A106='Données projet'!$A$166,'Données projet'!$B$166,DO105+DN106-DW105)))</f>
        <v>516.00000000000045</v>
      </c>
      <c r="DP106" s="17">
        <f>DO106*VLOOKUP('Données projet'!$B$14,Paramètres!$A$1:$I$89,3,0)*VLOOKUP('Données projet'!$B$14,Paramètres!$A$1:$I$89,5,0)</f>
        <v>491.02560000000045</v>
      </c>
      <c r="DQ106" s="13">
        <f t="shared" si="97"/>
        <v>110.00481083399589</v>
      </c>
      <c r="DR106" s="20">
        <f t="shared" si="70"/>
        <v>1046.7946322025437</v>
      </c>
      <c r="DS106" s="59">
        <f t="shared" si="71"/>
        <v>1340.1279655358769</v>
      </c>
      <c r="DT106" s="59">
        <f ca="1">AVERAGE(OFFSET($DS$3,0,0,'Données projet'!$E$14+1,1))-AVERAGE(OFFSET($H$3,0,0,'Données projet'!$E$14+1,1))</f>
        <v>735.50267870886194</v>
      </c>
      <c r="DU106" s="59">
        <f t="shared" si="98"/>
        <v>525.80345400853275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89.410216132854984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89.410216132854984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4.4444444444444446</v>
      </c>
      <c r="EJ106" s="12">
        <f>IF('Données projet'!$A$192&gt;35,EJ105+EI106-ER105,IF(A106&lt;'Données projet'!$A$192,$EG$205^A106,IF(A106='Données projet'!$A$192,'Données projet'!$B$192,EJ105+EI106-ER105)))</f>
        <v>176.77777777777808</v>
      </c>
      <c r="EK106" s="17">
        <f>EJ106*VLOOKUP('Données projet'!$B$15,Paramètres!$A$1:$I$89,3,0)*VLOOKUP('Données projet'!$B$15,Paramètres!$A$1:$I$89,5,0)</f>
        <v>113.06706666666688</v>
      </c>
      <c r="EL106" s="13">
        <f t="shared" si="99"/>
        <v>30.052448747794255</v>
      </c>
      <c r="EM106" s="20">
        <f t="shared" si="73"/>
        <v>249.26648934685309</v>
      </c>
      <c r="EN106" s="59">
        <f t="shared" si="74"/>
        <v>542.59982268018643</v>
      </c>
      <c r="EO106" s="59">
        <f ca="1">AVERAGE(OFFSET($EN$3,0,0,'Données projet'!$E$15+1,1))-AVERAGE(OFFSET($H$3,0,0,'Données projet'!$E$15+1,1))</f>
        <v>274.14900959323484</v>
      </c>
      <c r="EP106" s="59">
        <f t="shared" si="100"/>
        <v>130.44590390921582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17.540146829799745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17.540146829799745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-2.2737367544323206E-13</v>
      </c>
      <c r="FF106" s="17">
        <f>FE106*VLOOKUP('Données projet'!$B$16,Paramètres!$A$1:$I$89,3,0)*VLOOKUP('Données projet'!$B$16,Paramètres!$A$1:$I$89,5,0)</f>
        <v>-1.3596945791505279E-13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405.42845699663462</v>
      </c>
      <c r="FK106" s="59">
        <f t="shared" si="102"/>
        <v>292.26503163353146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150.39921177602574</v>
      </c>
      <c r="FR106" s="21">
        <f>EXP(-LN(2)/25)*FR105+(1-EXP(-LN(2)/25))/(LN(2)/25)*Calculateur!FM106*Calculateur!FO106*VLOOKUP('Données projet'!$B$16,Paramètres!$A$1:$I$89,3,0)*0.475*44/12</f>
        <v>59.943433274250303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210.34264505027605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-2.2737367544323206E-13</v>
      </c>
      <c r="GA106" s="17">
        <f>FZ106*VLOOKUP('Données projet'!$B$17,Paramètres!$A$1:$I$89,3,0)*VLOOKUP('Données projet'!$B$17,Paramètres!$A$1:$I$89,5,0)</f>
        <v>-1.3596945791505279E-13</v>
      </c>
      <c r="GB106" s="13" t="e">
        <f t="shared" si="103"/>
        <v>#NUM!</v>
      </c>
      <c r="GC106" s="20" t="e">
        <f t="shared" si="79"/>
        <v>#NUM!</v>
      </c>
      <c r="GD106" s="59" t="e">
        <f t="shared" si="80"/>
        <v>#NUM!</v>
      </c>
      <c r="GE106" s="59">
        <f ca="1">AVERAGE(OFFSET($GD$3,0,0,'Données projet'!$E$17+1,1))-AVERAGE(OFFSET($H$3,0,0,'Données projet'!$E$17+1,1))</f>
        <v>405.42845699663462</v>
      </c>
      <c r="GF106" s="59">
        <f t="shared" si="104"/>
        <v>292.26503163353146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150.39921177602574</v>
      </c>
      <c r="GM106" s="21">
        <f>EXP(-LN(2)/25)*GM105+(1-EXP(-LN(2)/25))/(LN(2)/25)*Calculateur!GH106*Calculateur!GJ106*VLOOKUP('Données projet'!$B$17,Paramètres!$A$1:$I$89,3,0)*0.475*44/12</f>
        <v>59.943433274250303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210.34264505027605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-5.3205440053716299E-14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198.26255998041</v>
      </c>
      <c r="T107" s="59">
        <f t="shared" si="88"/>
        <v>238.62101708181166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45.926425756033183</v>
      </c>
      <c r="AA107" s="21">
        <f>EXP(-LN(2)/25)*AA106+(1-EXP(-LN(2)/25))/(LN(2)/25)*Calculateur!V107*Calculateur!X107*VLOOKUP('Données projet'!$B$9,Paramètres!$A$1:$I$89,3,0)*0.475*44/12</f>
        <v>18.384027742971845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64.310453499005035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3.4106051316484809E-13</v>
      </c>
      <c r="AJ107" s="13">
        <f>AI107*VLOOKUP('Données projet'!$B$10,Paramètres!$A$1:$I$89,3,0)*VLOOKUP('Données projet'!$B$10,Paramètres!$A$1:$I$89,5,0)</f>
        <v>1.9065282685915009E-13</v>
      </c>
      <c r="AK107" s="13">
        <f t="shared" si="89"/>
        <v>2.6568987209435707E-12</v>
      </c>
      <c r="AL107" s="20">
        <f t="shared" si="58"/>
        <v>4.959485612423072E-12</v>
      </c>
      <c r="AM107" s="59">
        <f t="shared" si="59"/>
        <v>293.33333333333826</v>
      </c>
      <c r="AN107" s="59">
        <f ca="1">AVERAGE(OFFSET($AM$3,0,0,'Données projet'!$E$10+1,1))-AVERAGE(OFFSET($H$3,0,0,'Données projet'!$E$10+1,1))</f>
        <v>347.02720636703873</v>
      </c>
      <c r="AO107" s="59">
        <f t="shared" si="90"/>
        <v>394.03759949558702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100.25250163615023</v>
      </c>
      <c r="AV107" s="21">
        <f>EXP(-LN(2)/25)*AV106+(1-EXP(-LN(2)/25))/(LN(2)/25)*Calculateur!AQ107*Calculateur!AS107*VLOOKUP('Données projet'!$B$10,Paramètres!$A$1:$I$89,3,0)*0.475*44/12</f>
        <v>39.127576536198148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139.38007817234836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-3.4106051316484809E-13</v>
      </c>
      <c r="BE107" s="13">
        <f>BD107*VLOOKUP('Données projet'!$B$11,Paramètres!$A$1:$I$89,3,0)*VLOOKUP('Données projet'!$B$11,Paramètres!$A$1:$I$89,5,0)</f>
        <v>-2.0395418687257919E-13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378.75660696651238</v>
      </c>
      <c r="BJ107" s="59">
        <f t="shared" si="92"/>
        <v>371.70674704563288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99.172205105592695</v>
      </c>
      <c r="BQ107" s="21">
        <f>EXP(-LN(2)/25)*BQ106+(1-EXP(-LN(2)/25))/(LN(2)/25)*Calculateur!BL107*Calculateur!BN107*VLOOKUP('Données projet'!$B$11,Paramètres!$A$1:$I$89,3,0)*0.475*44/12</f>
        <v>37.805336751874599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136.97754185746729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4.4444444444444446</v>
      </c>
      <c r="BY107" s="12">
        <f>IF('Données projet'!$A$114&gt;35,BY106+BX107-CG106,IF(A107&lt;'Données projet'!$A$114,$BV$205^A107,IF(A107='Données projet'!$A$114,'Données projet'!$B$114,BY106+BX107-CG106)))</f>
        <v>181.22222222222254</v>
      </c>
      <c r="BZ107" s="13">
        <f>BY107*VLOOKUP('Données projet'!$B$12,Paramètres!$A$1:$I$89,3,0)*VLOOKUP('Données projet'!$B$12,Paramètres!$A$1:$I$89,5,0)</f>
        <v>183.75933333333367</v>
      </c>
      <c r="CA107" s="13">
        <f t="shared" si="93"/>
        <v>46.157559749131771</v>
      </c>
      <c r="CB107" s="20">
        <f t="shared" si="64"/>
        <v>400.43858878529392</v>
      </c>
      <c r="CC107" s="59">
        <f t="shared" si="65"/>
        <v>693.77192211862723</v>
      </c>
      <c r="CD107" s="59">
        <f ca="1">AVERAGE(OFFSET($CC$3,0,0,'Données projet'!$E$12+1,1))-AVERAGE(OFFSET($H$3,0,0,'Données projet'!$E$12+1,1))</f>
        <v>410.75375635525211</v>
      </c>
      <c r="CE107" s="59">
        <f t="shared" si="94"/>
        <v>183.55513001437367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27.26226076045209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27.26226076045209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6</v>
      </c>
      <c r="CT107" s="12">
        <f>IF('Données projet'!$A$140&gt;35,CT106+CS107-DB106,IF(A107&lt;'Données projet'!$A$140,$CQ$205^A107,IF(A107='Données projet'!$A$140,'Données projet'!$B$140,CT106+CS107-DB106)))</f>
        <v>229.99999999999994</v>
      </c>
      <c r="CU107" s="17">
        <f>CT107*VLOOKUP('Données projet'!$B$13,Paramètres!$A$1:$I$89,3,0)*VLOOKUP('Données projet'!$B$13,Paramètres!$A$1:$I$89,5,0)</f>
        <v>208.10399999999993</v>
      </c>
      <c r="CV107" s="13">
        <f t="shared" si="95"/>
        <v>51.52104354893045</v>
      </c>
      <c r="CW107" s="20">
        <f t="shared" si="67"/>
        <v>452.18028418105376</v>
      </c>
      <c r="CX107" s="59">
        <f t="shared" si="68"/>
        <v>745.51361751438708</v>
      </c>
      <c r="CY107" s="59">
        <f ca="1">AVERAGE(OFFSET($CX$3,0,0,'Données projet'!$E$13+1,1))-AVERAGE(OFFSET($H$3,0,0,'Données projet'!$E$13+1,1))</f>
        <v>436.12708882925142</v>
      </c>
      <c r="CZ107" s="59">
        <f t="shared" si="96"/>
        <v>217.65884352525285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37.885770485084173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37.885770485084173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10</v>
      </c>
      <c r="DO107" s="12">
        <f>IF('Données projet'!$A$166&gt;35,DO106+DN107-DW106,IF(A107&lt;'Données projet'!$A$166,$DL$205^A107,IF(A107='Données projet'!$A$166,'Données projet'!$B$166,DO106+DN107-DW106)))</f>
        <v>526.00000000000045</v>
      </c>
      <c r="DP107" s="17">
        <f>DO107*VLOOKUP('Données projet'!$B$14,Paramètres!$A$1:$I$89,3,0)*VLOOKUP('Données projet'!$B$14,Paramètres!$A$1:$I$89,5,0)</f>
        <v>500.54160000000047</v>
      </c>
      <c r="DQ107" s="13">
        <f t="shared" si="97"/>
        <v>111.8864271258708</v>
      </c>
      <c r="DR107" s="20">
        <f t="shared" si="70"/>
        <v>1066.6454805775591</v>
      </c>
      <c r="DS107" s="59">
        <f t="shared" si="71"/>
        <v>1359.9788139108923</v>
      </c>
      <c r="DT107" s="59">
        <f ca="1">AVERAGE(OFFSET($DS$3,0,0,'Données projet'!$E$14+1,1))-AVERAGE(OFFSET($H$3,0,0,'Données projet'!$E$14+1,1))</f>
        <v>735.50267870886194</v>
      </c>
      <c r="DU107" s="59">
        <f t="shared" si="98"/>
        <v>525.80345400853275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87.656936329336673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87.656936329336673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4.4444444444444446</v>
      </c>
      <c r="EJ107" s="12">
        <f>IF('Données projet'!$A$192&gt;35,EJ106+EI107-ER106,IF(A107&lt;'Données projet'!$A$192,$EG$205^A107,IF(A107='Données projet'!$A$192,'Données projet'!$B$192,EJ106+EI107-ER106)))</f>
        <v>181.22222222222254</v>
      </c>
      <c r="EK107" s="17">
        <f>EJ107*VLOOKUP('Données projet'!$B$15,Paramètres!$A$1:$I$89,3,0)*VLOOKUP('Données projet'!$B$15,Paramètres!$A$1:$I$89,5,0)</f>
        <v>115.90973333333353</v>
      </c>
      <c r="EL107" s="13">
        <f t="shared" si="99"/>
        <v>30.719094815654643</v>
      </c>
      <c r="EM107" s="20">
        <f t="shared" si="73"/>
        <v>255.3785423594878</v>
      </c>
      <c r="EN107" s="59">
        <f t="shared" si="74"/>
        <v>548.71187569282108</v>
      </c>
      <c r="EO107" s="59">
        <f ca="1">AVERAGE(OFFSET($EN$3,0,0,'Données projet'!$E$15+1,1))-AVERAGE(OFFSET($H$3,0,0,'Données projet'!$E$15+1,1))</f>
        <v>274.14900959323484</v>
      </c>
      <c r="EP107" s="59">
        <f t="shared" si="100"/>
        <v>130.44590390921582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17.196195248900555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17.196195248900555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-2.2737367544323206E-13</v>
      </c>
      <c r="FF107" s="17">
        <f>FE107*VLOOKUP('Données projet'!$B$16,Paramètres!$A$1:$I$89,3,0)*VLOOKUP('Données projet'!$B$16,Paramètres!$A$1:$I$89,5,0)</f>
        <v>-1.3596945791505279E-13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405.42845699663462</v>
      </c>
      <c r="FK107" s="59">
        <f t="shared" si="102"/>
        <v>292.26503163353146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147.44997496755903</v>
      </c>
      <c r="FR107" s="21">
        <f>EXP(-LN(2)/25)*FR106+(1-EXP(-LN(2)/25))/(LN(2)/25)*Calculateur!FM107*Calculateur!FO107*VLOOKUP('Données projet'!$B$16,Paramètres!$A$1:$I$89,3,0)*0.475*44/12</f>
        <v>58.304276939077774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205.7542519066368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-2.2737367544323206E-13</v>
      </c>
      <c r="GA107" s="17">
        <f>FZ107*VLOOKUP('Données projet'!$B$17,Paramètres!$A$1:$I$89,3,0)*VLOOKUP('Données projet'!$B$17,Paramètres!$A$1:$I$89,5,0)</f>
        <v>-1.3596945791505279E-13</v>
      </c>
      <c r="GB107" s="13" t="e">
        <f t="shared" si="103"/>
        <v>#NUM!</v>
      </c>
      <c r="GC107" s="20" t="e">
        <f t="shared" si="79"/>
        <v>#NUM!</v>
      </c>
      <c r="GD107" s="59" t="e">
        <f t="shared" si="80"/>
        <v>#NUM!</v>
      </c>
      <c r="GE107" s="59">
        <f ca="1">AVERAGE(OFFSET($GD$3,0,0,'Données projet'!$E$17+1,1))-AVERAGE(OFFSET($H$3,0,0,'Données projet'!$E$17+1,1))</f>
        <v>405.42845699663462</v>
      </c>
      <c r="GF107" s="59">
        <f t="shared" si="104"/>
        <v>292.26503163353146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147.44997496755903</v>
      </c>
      <c r="GM107" s="21">
        <f>EXP(-LN(2)/25)*GM106+(1-EXP(-LN(2)/25))/(LN(2)/25)*Calculateur!GH107*Calculateur!GJ107*VLOOKUP('Données projet'!$B$17,Paramètres!$A$1:$I$89,3,0)*0.475*44/12</f>
        <v>58.304276939077774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205.7542519066368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-5.3205440053716299E-14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198.26255998041</v>
      </c>
      <c r="T108" s="59">
        <f t="shared" si="88"/>
        <v>238.62101708181166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45.025836559311095</v>
      </c>
      <c r="AA108" s="21">
        <f>EXP(-LN(2)/25)*AA107+(1-EXP(-LN(2)/25))/(LN(2)/25)*Calculateur!V108*Calculateur!X108*VLOOKUP('Données projet'!$B$9,Paramètres!$A$1:$I$89,3,0)*0.475*44/12</f>
        <v>17.88131553756628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62.907152096877375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3.4106051316484809E-13</v>
      </c>
      <c r="AJ108" s="13">
        <f>AI108*VLOOKUP('Données projet'!$B$10,Paramètres!$A$1:$I$89,3,0)*VLOOKUP('Données projet'!$B$10,Paramètres!$A$1:$I$89,5,0)</f>
        <v>1.9065282685915009E-13</v>
      </c>
      <c r="AK108" s="13">
        <f t="shared" si="89"/>
        <v>2.6568987209435707E-12</v>
      </c>
      <c r="AL108" s="20">
        <f t="shared" si="58"/>
        <v>4.959485612423072E-12</v>
      </c>
      <c r="AM108" s="59">
        <f t="shared" si="59"/>
        <v>293.33333333333826</v>
      </c>
      <c r="AN108" s="59">
        <f ca="1">AVERAGE(OFFSET($AM$3,0,0,'Données projet'!$E$10+1,1))-AVERAGE(OFFSET($H$3,0,0,'Données projet'!$E$10+1,1))</f>
        <v>347.02720636703873</v>
      </c>
      <c r="AO108" s="59">
        <f t="shared" si="90"/>
        <v>394.03759949558702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98.286611227053456</v>
      </c>
      <c r="AV108" s="21">
        <f>EXP(-LN(2)/25)*AV107+(1-EXP(-LN(2)/25))/(LN(2)/25)*Calculateur!AQ108*Calculateur!AS108*VLOOKUP('Données projet'!$B$10,Paramètres!$A$1:$I$89,3,0)*0.475*44/12</f>
        <v>38.057630898185984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136.34424212523945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-3.4106051316484809E-13</v>
      </c>
      <c r="BE108" s="13">
        <f>BD108*VLOOKUP('Données projet'!$B$11,Paramètres!$A$1:$I$89,3,0)*VLOOKUP('Données projet'!$B$11,Paramètres!$A$1:$I$89,5,0)</f>
        <v>-2.0395418687257919E-13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378.75660696651238</v>
      </c>
      <c r="BJ108" s="59">
        <f t="shared" si="92"/>
        <v>371.70674704563288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97.227498652544341</v>
      </c>
      <c r="BQ108" s="21">
        <f>EXP(-LN(2)/25)*BQ107+(1-EXP(-LN(2)/25))/(LN(2)/25)*Calculateur!BL108*Calculateur!BN108*VLOOKUP('Données projet'!$B$11,Paramètres!$A$1:$I$89,3,0)*0.475*44/12</f>
        <v>36.771547830298331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133.99904648284269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4.4444444444444446</v>
      </c>
      <c r="BY108" s="12">
        <f>IF('Données projet'!$A$114&gt;35,BY107+BX108-CG107,IF(A108&lt;'Données projet'!$A$114,$BV$205^A108,IF(A108='Données projet'!$A$114,'Données projet'!$B$114,BY107+BX108-CG107)))</f>
        <v>185.666666666667</v>
      </c>
      <c r="BZ108" s="13">
        <f>BY108*VLOOKUP('Données projet'!$B$12,Paramètres!$A$1:$I$89,3,0)*VLOOKUP('Données projet'!$B$12,Paramètres!$A$1:$I$89,5,0)</f>
        <v>188.26600000000033</v>
      </c>
      <c r="CA108" s="13">
        <f t="shared" si="93"/>
        <v>47.156385752278403</v>
      </c>
      <c r="CB108" s="20">
        <f t="shared" si="64"/>
        <v>410.02732185188546</v>
      </c>
      <c r="CC108" s="59">
        <f t="shared" si="65"/>
        <v>703.36065518521877</v>
      </c>
      <c r="CD108" s="59">
        <f ca="1">AVERAGE(OFFSET($CC$3,0,0,'Données projet'!$E$12+1,1))-AVERAGE(OFFSET($H$3,0,0,'Données projet'!$E$12+1,1))</f>
        <v>410.75375635525211</v>
      </c>
      <c r="CE108" s="59">
        <f t="shared" si="94"/>
        <v>183.55513001437367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26.727664455276777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26.727664455276777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6</v>
      </c>
      <c r="CT108" s="12">
        <f>IF('Données projet'!$A$140&gt;35,CT107+CS108-DB107,IF(A108&lt;'Données projet'!$A$140,$CQ$205^A108,IF(A108='Données projet'!$A$140,'Données projet'!$B$140,CT107+CS108-DB107)))</f>
        <v>235.99999999999994</v>
      </c>
      <c r="CU108" s="17">
        <f>CT108*VLOOKUP('Données projet'!$B$13,Paramètres!$A$1:$I$89,3,0)*VLOOKUP('Données projet'!$B$13,Paramètres!$A$1:$I$89,5,0)</f>
        <v>213.53279999999995</v>
      </c>
      <c r="CV108" s="13">
        <f t="shared" si="95"/>
        <v>52.706840209271185</v>
      </c>
      <c r="CW108" s="20">
        <f t="shared" si="67"/>
        <v>463.70070669781393</v>
      </c>
      <c r="CX108" s="59">
        <f t="shared" si="68"/>
        <v>757.03404003114724</v>
      </c>
      <c r="CY108" s="59">
        <f ca="1">AVERAGE(OFFSET($CX$3,0,0,'Données projet'!$E$13+1,1))-AVERAGE(OFFSET($H$3,0,0,'Données projet'!$E$13+1,1))</f>
        <v>436.12708882925142</v>
      </c>
      <c r="CZ108" s="59">
        <f t="shared" si="96"/>
        <v>217.65884352525285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37.142853633909937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37.142853633909937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>
        <f>VLOOKUP(A108,'Données projet'!$A$165:$I$185,2,0)</f>
        <v>536</v>
      </c>
      <c r="DM108" s="12">
        <f>VLOOKUP(A108,'Données projet'!$A$165:$I$185,9,0)</f>
        <v>10</v>
      </c>
      <c r="DN108" s="12">
        <f t="array" ref="DN108">INDEX(DM:DM,MIN(IF(ISNUMBER(DM108:DM304),ROW(DM108:DM304),"")))</f>
        <v>10</v>
      </c>
      <c r="DO108" s="12">
        <f>IF('Données projet'!$A$166&gt;35,DO107+DN108-DW107,IF(A108&lt;'Données projet'!$A$166,$DL$205^A108,IF(A108='Données projet'!$A$166,'Données projet'!$B$166,DO107+DN108-DW107)))</f>
        <v>536.00000000000045</v>
      </c>
      <c r="DP108" s="17">
        <f>DO108*VLOOKUP('Données projet'!$B$14,Paramètres!$A$1:$I$89,3,0)*VLOOKUP('Données projet'!$B$14,Paramètres!$A$1:$I$89,5,0)</f>
        <v>510.05760000000043</v>
      </c>
      <c r="DQ108" s="13">
        <f t="shared" si="97"/>
        <v>113.76388387573404</v>
      </c>
      <c r="DR108" s="20">
        <f t="shared" si="70"/>
        <v>1086.489084416904</v>
      </c>
      <c r="DS108" s="59">
        <f t="shared" si="71"/>
        <v>1379.8224177502373</v>
      </c>
      <c r="DT108" s="59">
        <f ca="1">AVERAGE(OFFSET($DS$3,0,0,'Données projet'!$E$14+1,1))-AVERAGE(OFFSET($H$3,0,0,'Données projet'!$E$14+1,1))</f>
        <v>735.50267870886194</v>
      </c>
      <c r="DU108" s="59">
        <f t="shared" si="98"/>
        <v>525.80345400853275</v>
      </c>
      <c r="DV108" s="15">
        <f>IF(ISNA(VLOOKUP(A108,'Données projet'!$A$165:$I$185,3,0)),0,VLOOKUP(A108,'Données projet'!$A$165:$I$185,3,0))</f>
        <v>19</v>
      </c>
      <c r="DW108" s="15">
        <f>IF(ISNA(VLOOKUP(A108,'Données projet'!$A$165:$I$185,4,0)),0,VLOOKUP(A108,'Données projet'!$A$165:$I$185,4,0))</f>
        <v>45</v>
      </c>
      <c r="DX108" s="16">
        <f>IF(ISNA(VLOOKUP(A108,'Données projet'!$A$165:$I$185,5,0)),0%,VLOOKUP(A108,'Données projet'!$A$165:$I$185,5,0)*VLOOKUP('Données projet'!$B$14,Paramètres!$A$1:$I$89,7,0))</f>
        <v>0.25800000000000001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98.151358042199149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98.151358042199149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4.4444444444444446</v>
      </c>
      <c r="EJ108" s="12">
        <f>IF('Données projet'!$A$192&gt;35,EJ107+EI108-ER107,IF(A108&lt;'Données projet'!$A$192,$EG$205^A108,IF(A108='Données projet'!$A$192,'Données projet'!$B$192,EJ107+EI108-ER107)))</f>
        <v>185.666666666667</v>
      </c>
      <c r="EK108" s="17">
        <f>EJ108*VLOOKUP('Données projet'!$B$15,Paramètres!$A$1:$I$89,3,0)*VLOOKUP('Données projet'!$B$15,Paramètres!$A$1:$I$89,5,0)</f>
        <v>118.75240000000021</v>
      </c>
      <c r="EL108" s="13">
        <f t="shared" si="99"/>
        <v>31.383840327804009</v>
      </c>
      <c r="EM108" s="20">
        <f t="shared" si="73"/>
        <v>261.48728523759229</v>
      </c>
      <c r="EN108" s="59">
        <f t="shared" si="74"/>
        <v>554.8206185709256</v>
      </c>
      <c r="EO108" s="59">
        <f ca="1">AVERAGE(OFFSET($EN$3,0,0,'Données projet'!$E$15+1,1))-AVERAGE(OFFSET($H$3,0,0,'Données projet'!$E$15+1,1))</f>
        <v>274.14900959323484</v>
      </c>
      <c r="EP108" s="59">
        <f t="shared" si="100"/>
        <v>130.44590390921582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16.858988348713048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16.858988348713048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-2.2737367544323206E-13</v>
      </c>
      <c r="FF108" s="17">
        <f>FE108*VLOOKUP('Données projet'!$B$16,Paramètres!$A$1:$I$89,3,0)*VLOOKUP('Données projet'!$B$16,Paramètres!$A$1:$I$89,5,0)</f>
        <v>-1.3596945791505279E-13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405.42845699663462</v>
      </c>
      <c r="FK108" s="59">
        <f t="shared" si="102"/>
        <v>292.26503163353146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144.55857089404952</v>
      </c>
      <c r="FR108" s="21">
        <f>EXP(-LN(2)/25)*FR107+(1-EXP(-LN(2)/25))/(LN(2)/25)*Calculateur!FM108*Calculateur!FO108*VLOOKUP('Données projet'!$B$16,Paramètres!$A$1:$I$89,3,0)*0.475*44/12</f>
        <v>56.709943420090021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201.26851431413954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-2.2737367544323206E-13</v>
      </c>
      <c r="GA108" s="17">
        <f>FZ108*VLOOKUP('Données projet'!$B$17,Paramètres!$A$1:$I$89,3,0)*VLOOKUP('Données projet'!$B$17,Paramètres!$A$1:$I$89,5,0)</f>
        <v>-1.3596945791505279E-13</v>
      </c>
      <c r="GB108" s="13" t="e">
        <f t="shared" si="103"/>
        <v>#NUM!</v>
      </c>
      <c r="GC108" s="20" t="e">
        <f t="shared" si="79"/>
        <v>#NUM!</v>
      </c>
      <c r="GD108" s="59" t="e">
        <f t="shared" si="80"/>
        <v>#NUM!</v>
      </c>
      <c r="GE108" s="59">
        <f ca="1">AVERAGE(OFFSET($GD$3,0,0,'Données projet'!$E$17+1,1))-AVERAGE(OFFSET($H$3,0,0,'Données projet'!$E$17+1,1))</f>
        <v>405.42845699663462</v>
      </c>
      <c r="GF108" s="59">
        <f t="shared" si="104"/>
        <v>292.26503163353146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144.55857089404952</v>
      </c>
      <c r="GM108" s="21">
        <f>EXP(-LN(2)/25)*GM107+(1-EXP(-LN(2)/25))/(LN(2)/25)*Calculateur!GH108*Calculateur!GJ108*VLOOKUP('Données projet'!$B$17,Paramètres!$A$1:$I$89,3,0)*0.475*44/12</f>
        <v>56.709943420090021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201.26851431413954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-5.3205440053716299E-14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198.26255998041</v>
      </c>
      <c r="T109" s="59">
        <f t="shared" si="88"/>
        <v>238.62101708181166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44.142907367431555</v>
      </c>
      <c r="AA109" s="21">
        <f>EXP(-LN(2)/25)*AA108+(1-EXP(-LN(2)/25))/(LN(2)/25)*Calculateur!V109*Calculateur!X109*VLOOKUP('Données projet'!$B$9,Paramètres!$A$1:$I$89,3,0)*0.475*44/12</f>
        <v>17.392350023854014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61.535257391285569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3.4106051316484809E-13</v>
      </c>
      <c r="AJ109" s="13">
        <f>AI109*VLOOKUP('Données projet'!$B$10,Paramètres!$A$1:$I$89,3,0)*VLOOKUP('Données projet'!$B$10,Paramètres!$A$1:$I$89,5,0)</f>
        <v>1.9065282685915009E-13</v>
      </c>
      <c r="AK109" s="13">
        <f t="shared" si="89"/>
        <v>2.6568987209435707E-12</v>
      </c>
      <c r="AL109" s="20">
        <f t="shared" si="58"/>
        <v>4.959485612423072E-12</v>
      </c>
      <c r="AM109" s="59">
        <f t="shared" si="59"/>
        <v>293.33333333333826</v>
      </c>
      <c r="AN109" s="59">
        <f ca="1">AVERAGE(OFFSET($AM$3,0,0,'Données projet'!$E$10+1,1))-AVERAGE(OFFSET($H$3,0,0,'Données projet'!$E$10+1,1))</f>
        <v>347.02720636703873</v>
      </c>
      <c r="AO109" s="59">
        <f t="shared" si="90"/>
        <v>394.03759949558702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96.359270729804322</v>
      </c>
      <c r="AV109" s="21">
        <f>EXP(-LN(2)/25)*AV108+(1-EXP(-LN(2)/25))/(LN(2)/25)*Calculateur!AQ109*Calculateur!AS109*VLOOKUP('Données projet'!$B$10,Paramètres!$A$1:$I$89,3,0)*0.475*44/12</f>
        <v>37.016942979911263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133.37621370971559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-3.4106051316484809E-13</v>
      </c>
      <c r="BE109" s="13">
        <f>BD109*VLOOKUP('Données projet'!$B$11,Paramètres!$A$1:$I$89,3,0)*VLOOKUP('Données projet'!$B$11,Paramètres!$A$1:$I$89,5,0)</f>
        <v>-2.0395418687257919E-13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378.75660696651238</v>
      </c>
      <c r="BJ109" s="59">
        <f t="shared" si="92"/>
        <v>371.70674704563288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95.320926706886453</v>
      </c>
      <c r="BQ109" s="21">
        <f>EXP(-LN(2)/25)*BQ108+(1-EXP(-LN(2)/25))/(LN(2)/25)*Calculateur!BL109*Calculateur!BN109*VLOOKUP('Données projet'!$B$11,Paramètres!$A$1:$I$89,3,0)*0.475*44/12</f>
        <v>35.766027921147163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131.08695462803362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4.4444444444444446</v>
      </c>
      <c r="BY109" s="12">
        <f>IF('Données projet'!$A$114&gt;35,BY108+BX109-CG108,IF(A109&lt;'Données projet'!$A$114,$BV$205^A109,IF(A109='Données projet'!$A$114,'Données projet'!$B$114,BY108+BX109-CG108)))</f>
        <v>190.11111111111146</v>
      </c>
      <c r="BZ109" s="13">
        <f>BY109*VLOOKUP('Données projet'!$B$12,Paramètres!$A$1:$I$89,3,0)*VLOOKUP('Données projet'!$B$12,Paramètres!$A$1:$I$89,5,0)</f>
        <v>192.77266666666702</v>
      </c>
      <c r="CA109" s="13">
        <f t="shared" si="93"/>
        <v>48.152432264308267</v>
      </c>
      <c r="CB109" s="20">
        <f t="shared" si="64"/>
        <v>419.61121397144865</v>
      </c>
      <c r="CC109" s="59">
        <f t="shared" si="65"/>
        <v>712.94454730478196</v>
      </c>
      <c r="CD109" s="59">
        <f ca="1">AVERAGE(OFFSET($CC$3,0,0,'Données projet'!$E$12+1,1))-AVERAGE(OFFSET($H$3,0,0,'Données projet'!$E$12+1,1))</f>
        <v>410.75375635525211</v>
      </c>
      <c r="CE109" s="59">
        <f t="shared" si="94"/>
        <v>183.55513001437367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26.203551257574404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26.203551257574404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6</v>
      </c>
      <c r="CT109" s="12">
        <f>IF('Données projet'!$A$140&gt;35,CT108+CS109-DB108,IF(A109&lt;'Données projet'!$A$140,$CQ$205^A109,IF(A109='Données projet'!$A$140,'Données projet'!$B$140,CT108+CS109-DB108)))</f>
        <v>241.99999999999994</v>
      </c>
      <c r="CU109" s="17">
        <f>CT109*VLOOKUP('Données projet'!$B$13,Paramètres!$A$1:$I$89,3,0)*VLOOKUP('Données projet'!$B$13,Paramètres!$A$1:$I$89,5,0)</f>
        <v>218.96159999999995</v>
      </c>
      <c r="CV109" s="13">
        <f t="shared" si="95"/>
        <v>53.88913250370743</v>
      </c>
      <c r="CW109" s="20">
        <f t="shared" si="67"/>
        <v>475.21502577729035</v>
      </c>
      <c r="CX109" s="59">
        <f t="shared" si="68"/>
        <v>768.54835911062366</v>
      </c>
      <c r="CY109" s="59">
        <f ca="1">AVERAGE(OFFSET($CX$3,0,0,'Données projet'!$E$13+1,1))-AVERAGE(OFFSET($H$3,0,0,'Données projet'!$E$13+1,1))</f>
        <v>436.12708882925142</v>
      </c>
      <c r="CZ109" s="59">
        <f t="shared" si="96"/>
        <v>217.65884352525285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36.414504929052697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36.414504929052697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9.4</v>
      </c>
      <c r="DO109" s="12">
        <f>IF('Données projet'!$A$166&gt;35,DO108+DN109-DW108,IF(A109&lt;'Données projet'!$A$166,$DL$205^A109,IF(A109='Données projet'!$A$166,'Données projet'!$B$166,DO108+DN109-DW108)))</f>
        <v>500.40000000000043</v>
      </c>
      <c r="DP109" s="17">
        <f>DO109*VLOOKUP('Données projet'!$B$14,Paramètres!$A$1:$I$89,3,0)*VLOOKUP('Données projet'!$B$14,Paramètres!$A$1:$I$89,5,0)</f>
        <v>476.18064000000044</v>
      </c>
      <c r="DQ109" s="13">
        <f t="shared" si="97"/>
        <v>107.06096888779142</v>
      </c>
      <c r="DR109" s="20">
        <f t="shared" si="70"/>
        <v>1015.8124688129041</v>
      </c>
      <c r="DS109" s="59">
        <f t="shared" si="71"/>
        <v>1309.1458021462374</v>
      </c>
      <c r="DT109" s="59">
        <f ca="1">AVERAGE(OFFSET($DS$3,0,0,'Données projet'!$E$14+1,1))-AVERAGE(OFFSET($H$3,0,0,'Données projet'!$E$14+1,1))</f>
        <v>735.50267870886194</v>
      </c>
      <c r="DU109" s="59">
        <f t="shared" si="98"/>
        <v>525.80345400853275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96.226669777408716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96.226669777408716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4.4444444444444446</v>
      </c>
      <c r="EJ109" s="12">
        <f>IF('Données projet'!$A$192&gt;35,EJ108+EI109-ER108,IF(A109&lt;'Données projet'!$A$192,$EG$205^A109,IF(A109='Données projet'!$A$192,'Données projet'!$B$192,EJ108+EI109-ER108)))</f>
        <v>190.11111111111146</v>
      </c>
      <c r="EK109" s="17">
        <f>EJ109*VLOOKUP('Données projet'!$B$15,Paramètres!$A$1:$I$89,3,0)*VLOOKUP('Données projet'!$B$15,Paramètres!$A$1:$I$89,5,0)</f>
        <v>121.59506666666687</v>
      </c>
      <c r="EL109" s="13">
        <f t="shared" si="99"/>
        <v>32.04673601401764</v>
      </c>
      <c r="EM109" s="20">
        <f t="shared" si="73"/>
        <v>267.59280633552549</v>
      </c>
      <c r="EN109" s="59">
        <f t="shared" si="74"/>
        <v>560.92613966885881</v>
      </c>
      <c r="EO109" s="59">
        <f ca="1">AVERAGE(OFFSET($EN$3,0,0,'Données projet'!$E$15+1,1))-AVERAGE(OFFSET($H$3,0,0,'Données projet'!$E$15+1,1))</f>
        <v>274.14900959323484</v>
      </c>
      <c r="EP109" s="59">
        <f t="shared" si="100"/>
        <v>130.44590390921582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16.528393870162319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16.528393870162319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-2.2737367544323206E-13</v>
      </c>
      <c r="FF109" s="17">
        <f>FE109*VLOOKUP('Données projet'!$B$16,Paramètres!$A$1:$I$89,3,0)*VLOOKUP('Données projet'!$B$16,Paramètres!$A$1:$I$89,5,0)</f>
        <v>-1.3596945791505279E-13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405.42845699663462</v>
      </c>
      <c r="FK109" s="59">
        <f t="shared" si="102"/>
        <v>292.26503163353146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141.72386549083919</v>
      </c>
      <c r="FR109" s="21">
        <f>EXP(-LN(2)/25)*FR108+(1-EXP(-LN(2)/25))/(LN(2)/25)*Calculateur!FM109*Calculateur!FO109*VLOOKUP('Données projet'!$B$16,Paramètres!$A$1:$I$89,3,0)*0.475*44/12</f>
        <v>55.159207035021346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196.88307252586054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-2.2737367544323206E-13</v>
      </c>
      <c r="GA109" s="17">
        <f>FZ109*VLOOKUP('Données projet'!$B$17,Paramètres!$A$1:$I$89,3,0)*VLOOKUP('Données projet'!$B$17,Paramètres!$A$1:$I$89,5,0)</f>
        <v>-1.3596945791505279E-13</v>
      </c>
      <c r="GB109" s="13" t="e">
        <f t="shared" si="103"/>
        <v>#NUM!</v>
      </c>
      <c r="GC109" s="20" t="e">
        <f t="shared" si="79"/>
        <v>#NUM!</v>
      </c>
      <c r="GD109" s="59" t="e">
        <f t="shared" si="80"/>
        <v>#NUM!</v>
      </c>
      <c r="GE109" s="59">
        <f ca="1">AVERAGE(OFFSET($GD$3,0,0,'Données projet'!$E$17+1,1))-AVERAGE(OFFSET($H$3,0,0,'Données projet'!$E$17+1,1))</f>
        <v>405.42845699663462</v>
      </c>
      <c r="GF109" s="59">
        <f t="shared" si="104"/>
        <v>292.26503163353146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141.72386549083919</v>
      </c>
      <c r="GM109" s="21">
        <f>EXP(-LN(2)/25)*GM108+(1-EXP(-LN(2)/25))/(LN(2)/25)*Calculateur!GH109*Calculateur!GJ109*VLOOKUP('Données projet'!$B$17,Paramètres!$A$1:$I$89,3,0)*0.475*44/12</f>
        <v>55.159207035021346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196.88307252586054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-5.3205440053716299E-14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198.26255998041</v>
      </c>
      <c r="T110" s="59">
        <f t="shared" si="88"/>
        <v>238.62101708181166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43.277291878471139</v>
      </c>
      <c r="AA110" s="21">
        <f>EXP(-LN(2)/25)*AA109+(1-EXP(-LN(2)/25))/(LN(2)/25)*Calculateur!V110*Calculateur!X110*VLOOKUP('Données projet'!$B$9,Paramètres!$A$1:$I$89,3,0)*0.475*44/12</f>
        <v>16.916755297827788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60.194047176298923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3.4106051316484809E-13</v>
      </c>
      <c r="AJ110" s="13">
        <f>AI110*VLOOKUP('Données projet'!$B$10,Paramètres!$A$1:$I$89,3,0)*VLOOKUP('Données projet'!$B$10,Paramètres!$A$1:$I$89,5,0)</f>
        <v>1.9065282685915009E-13</v>
      </c>
      <c r="AK110" s="13">
        <f t="shared" si="89"/>
        <v>2.6568987209435707E-12</v>
      </c>
      <c r="AL110" s="20">
        <f t="shared" si="58"/>
        <v>4.959485612423072E-12</v>
      </c>
      <c r="AM110" s="59">
        <f t="shared" si="59"/>
        <v>293.33333333333826</v>
      </c>
      <c r="AN110" s="59">
        <f ca="1">AVERAGE(OFFSET($AM$3,0,0,'Données projet'!$E$10+1,1))-AVERAGE(OFFSET($H$3,0,0,'Données projet'!$E$10+1,1))</f>
        <v>347.02720636703873</v>
      </c>
      <c r="AO110" s="59">
        <f t="shared" si="90"/>
        <v>394.03759949558702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94.469724204144612</v>
      </c>
      <c r="AV110" s="21">
        <f>EXP(-LN(2)/25)*AV109+(1-EXP(-LN(2)/25))/(LN(2)/25)*Calculateur!AQ110*Calculateur!AS110*VLOOKUP('Données projet'!$B$10,Paramètres!$A$1:$I$89,3,0)*0.475*44/12</f>
        <v>36.004712727489164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130.47443693163376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-3.4106051316484809E-13</v>
      </c>
      <c r="BE110" s="13">
        <f>BD110*VLOOKUP('Données projet'!$B$11,Paramètres!$A$1:$I$89,3,0)*VLOOKUP('Données projet'!$B$11,Paramètres!$A$1:$I$89,5,0)</f>
        <v>-2.0395418687257919E-13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378.75660696651238</v>
      </c>
      <c r="BJ110" s="59">
        <f t="shared" si="92"/>
        <v>371.70674704563288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93.45174147418885</v>
      </c>
      <c r="BQ110" s="21">
        <f>EXP(-LN(2)/25)*BQ109+(1-EXP(-LN(2)/25))/(LN(2)/25)*Calculateur!BL110*Calculateur!BN110*VLOOKUP('Données projet'!$B$11,Paramètres!$A$1:$I$89,3,0)*0.475*44/12</f>
        <v>34.788004006789727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128.23974548097857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4.4444444444444446</v>
      </c>
      <c r="BY110" s="12">
        <f>IF('Données projet'!$A$114&gt;35,BY109+BX110-CG109,IF(A110&lt;'Données projet'!$A$114,$BV$205^A110,IF(A110='Données projet'!$A$114,'Données projet'!$B$114,BY109+BX110-CG109)))</f>
        <v>194.55555555555591</v>
      </c>
      <c r="BZ110" s="13">
        <f>BY110*VLOOKUP('Données projet'!$B$12,Paramètres!$A$1:$I$89,3,0)*VLOOKUP('Données projet'!$B$12,Paramètres!$A$1:$I$89,5,0)</f>
        <v>197.27933333333371</v>
      </c>
      <c r="CA110" s="13">
        <f t="shared" si="93"/>
        <v>49.145771742881465</v>
      </c>
      <c r="CB110" s="20">
        <f t="shared" si="64"/>
        <v>429.19039134107476</v>
      </c>
      <c r="CC110" s="59">
        <f t="shared" si="65"/>
        <v>722.52372467440807</v>
      </c>
      <c r="CD110" s="59">
        <f ca="1">AVERAGE(OFFSET($CC$3,0,0,'Données projet'!$E$12+1,1))-AVERAGE(OFFSET($H$3,0,0,'Données projet'!$E$12+1,1))</f>
        <v>410.75375635525211</v>
      </c>
      <c r="CE110" s="59">
        <f t="shared" si="94"/>
        <v>183.55513001437367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25.689715600001488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25.689715600001488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6</v>
      </c>
      <c r="CT110" s="12">
        <f>IF('Données projet'!$A$140&gt;35,CT109+CS110-DB109,IF(A110&lt;'Données projet'!$A$140,$CQ$205^A110,IF(A110='Données projet'!$A$140,'Données projet'!$B$140,CT109+CS110-DB109)))</f>
        <v>247.99999999999994</v>
      </c>
      <c r="CU110" s="17">
        <f>CT110*VLOOKUP('Données projet'!$B$13,Paramètres!$A$1:$I$89,3,0)*VLOOKUP('Données projet'!$B$13,Paramètres!$A$1:$I$89,5,0)</f>
        <v>224.39039999999991</v>
      </c>
      <c r="CV110" s="13">
        <f t="shared" si="95"/>
        <v>55.068017311015808</v>
      </c>
      <c r="CW110" s="20">
        <f t="shared" si="67"/>
        <v>486.72341015001911</v>
      </c>
      <c r="CX110" s="59">
        <f t="shared" si="68"/>
        <v>780.05674348335242</v>
      </c>
      <c r="CY110" s="59">
        <f ca="1">AVERAGE(OFFSET($CX$3,0,0,'Données projet'!$E$13+1,1))-AVERAGE(OFFSET($H$3,0,0,'Données projet'!$E$13+1,1))</f>
        <v>436.12708882925142</v>
      </c>
      <c r="CZ110" s="59">
        <f t="shared" si="96"/>
        <v>217.65884352525285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35.700438698048863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35.700438698048863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9.4</v>
      </c>
      <c r="DO110" s="12">
        <f>IF('Données projet'!$A$166&gt;35,DO109+DN110-DW109,IF(A110&lt;'Données projet'!$A$166,$DL$205^A110,IF(A110='Données projet'!$A$166,'Données projet'!$B$166,DO109+DN110-DW109)))</f>
        <v>509.80000000000041</v>
      </c>
      <c r="DP110" s="17">
        <f>DO110*VLOOKUP('Données projet'!$B$14,Paramètres!$A$1:$I$89,3,0)*VLOOKUP('Données projet'!$B$14,Paramètres!$A$1:$I$89,5,0)</f>
        <v>485.12568000000039</v>
      </c>
      <c r="DQ110" s="13">
        <f t="shared" si="97"/>
        <v>108.83608044569654</v>
      </c>
      <c r="DR110" s="20">
        <f t="shared" si="70"/>
        <v>1034.4833994429221</v>
      </c>
      <c r="DS110" s="59">
        <f t="shared" si="71"/>
        <v>1327.8167327762553</v>
      </c>
      <c r="DT110" s="59">
        <f ca="1">AVERAGE(OFFSET($DS$3,0,0,'Données projet'!$E$14+1,1))-AVERAGE(OFFSET($H$3,0,0,'Données projet'!$E$14+1,1))</f>
        <v>735.50267870886194</v>
      </c>
      <c r="DU110" s="59">
        <f t="shared" si="98"/>
        <v>525.80345400853275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94.33972347554689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94.33972347554689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4.4444444444444446</v>
      </c>
      <c r="EJ110" s="12">
        <f>IF('Données projet'!$A$192&gt;35,EJ109+EI110-ER109,IF(A110&lt;'Données projet'!$A$192,$EG$205^A110,IF(A110='Données projet'!$A$192,'Données projet'!$B$192,EJ109+EI110-ER109)))</f>
        <v>194.55555555555591</v>
      </c>
      <c r="EK110" s="17">
        <f>EJ110*VLOOKUP('Données projet'!$B$15,Paramètres!$A$1:$I$89,3,0)*VLOOKUP('Données projet'!$B$15,Paramètres!$A$1:$I$89,5,0)</f>
        <v>124.43773333333357</v>
      </c>
      <c r="EL110" s="13">
        <f t="shared" si="99"/>
        <v>32.70783009681297</v>
      </c>
      <c r="EM110" s="20">
        <f t="shared" si="73"/>
        <v>273.69518964083846</v>
      </c>
      <c r="EN110" s="59">
        <f t="shared" si="74"/>
        <v>567.02852297417178</v>
      </c>
      <c r="EO110" s="59">
        <f ca="1">AVERAGE(OFFSET($EN$3,0,0,'Données projet'!$E$15+1,1))-AVERAGE(OFFSET($H$3,0,0,'Données projet'!$E$15+1,1))</f>
        <v>274.14900959323484</v>
      </c>
      <c r="EP110" s="59">
        <f t="shared" si="100"/>
        <v>130.44590390921582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16.204282147693249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16.204282147693249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-2.2737367544323206E-13</v>
      </c>
      <c r="FF110" s="17">
        <f>FE110*VLOOKUP('Données projet'!$B$16,Paramètres!$A$1:$I$89,3,0)*VLOOKUP('Données projet'!$B$16,Paramètres!$A$1:$I$89,5,0)</f>
        <v>-1.3596945791505279E-13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405.42845699663462</v>
      </c>
      <c r="FK110" s="59">
        <f t="shared" si="102"/>
        <v>292.26503163353146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138.94474693158625</v>
      </c>
      <c r="FR110" s="21">
        <f>EXP(-LN(2)/25)*FR109+(1-EXP(-LN(2)/25))/(LN(2)/25)*Calculateur!FM110*Calculateur!FO110*VLOOKUP('Données projet'!$B$16,Paramètres!$A$1:$I$89,3,0)*0.475*44/12</f>
        <v>53.65087561795206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192.59562254953832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-2.2737367544323206E-13</v>
      </c>
      <c r="GA110" s="17">
        <f>FZ110*VLOOKUP('Données projet'!$B$17,Paramètres!$A$1:$I$89,3,0)*VLOOKUP('Données projet'!$B$17,Paramètres!$A$1:$I$89,5,0)</f>
        <v>-1.3596945791505279E-13</v>
      </c>
      <c r="GB110" s="13" t="e">
        <f t="shared" si="103"/>
        <v>#NUM!</v>
      </c>
      <c r="GC110" s="20" t="e">
        <f t="shared" si="79"/>
        <v>#NUM!</v>
      </c>
      <c r="GD110" s="59" t="e">
        <f t="shared" si="80"/>
        <v>#NUM!</v>
      </c>
      <c r="GE110" s="59">
        <f ca="1">AVERAGE(OFFSET($GD$3,0,0,'Données projet'!$E$17+1,1))-AVERAGE(OFFSET($H$3,0,0,'Données projet'!$E$17+1,1))</f>
        <v>405.42845699663462</v>
      </c>
      <c r="GF110" s="59">
        <f t="shared" si="104"/>
        <v>292.26503163353146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138.94474693158625</v>
      </c>
      <c r="GM110" s="21">
        <f>EXP(-LN(2)/25)*GM109+(1-EXP(-LN(2)/25))/(LN(2)/25)*Calculateur!GH110*Calculateur!GJ110*VLOOKUP('Données projet'!$B$17,Paramètres!$A$1:$I$89,3,0)*0.475*44/12</f>
        <v>53.65087561795206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192.59562254953832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-5.3205440053716299E-14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198.26255998041</v>
      </c>
      <c r="T111" s="59">
        <f t="shared" si="88"/>
        <v>238.62101708181166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42.428650581275924</v>
      </c>
      <c r="AA111" s="21">
        <f>EXP(-LN(2)/25)*AA110+(1-EXP(-LN(2)/25))/(LN(2)/25)*Calculateur!V111*Calculateur!X111*VLOOKUP('Données projet'!$B$9,Paramètres!$A$1:$I$89,3,0)*0.475*44/12</f>
        <v>16.45416573459519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58.882816315871111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3.4106051316484809E-13</v>
      </c>
      <c r="AJ111" s="13">
        <f>AI111*VLOOKUP('Données projet'!$B$10,Paramètres!$A$1:$I$89,3,0)*VLOOKUP('Données projet'!$B$10,Paramètres!$A$1:$I$89,5,0)</f>
        <v>1.9065282685915009E-13</v>
      </c>
      <c r="AK111" s="13">
        <f t="shared" si="89"/>
        <v>2.6568987209435707E-12</v>
      </c>
      <c r="AL111" s="20">
        <f t="shared" si="58"/>
        <v>4.959485612423072E-12</v>
      </c>
      <c r="AM111" s="59">
        <f t="shared" si="59"/>
        <v>293.33333333333826</v>
      </c>
      <c r="AN111" s="59">
        <f ca="1">AVERAGE(OFFSET($AM$3,0,0,'Données projet'!$E$10+1,1))-AVERAGE(OFFSET($H$3,0,0,'Données projet'!$E$10+1,1))</f>
        <v>347.02720636703873</v>
      </c>
      <c r="AO111" s="59">
        <f t="shared" si="90"/>
        <v>394.03759949558702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92.617230533343516</v>
      </c>
      <c r="AV111" s="21">
        <f>EXP(-LN(2)/25)*AV110+(1-EXP(-LN(2)/25))/(LN(2)/25)*Calculateur!AQ111*Calculateur!AS111*VLOOKUP('Données projet'!$B$10,Paramètres!$A$1:$I$89,3,0)*0.475*44/12</f>
        <v>35.020161964550418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127.63739249789393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-3.4106051316484809E-13</v>
      </c>
      <c r="BE111" s="13">
        <f>BD111*VLOOKUP('Données projet'!$B$11,Paramètres!$A$1:$I$89,3,0)*VLOOKUP('Données projet'!$B$11,Paramètres!$A$1:$I$89,5,0)</f>
        <v>-2.0395418687257919E-13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378.75660696651238</v>
      </c>
      <c r="BJ111" s="59">
        <f t="shared" si="92"/>
        <v>371.70674704563288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91.619209823814032</v>
      </c>
      <c r="BQ111" s="21">
        <f>EXP(-LN(2)/25)*BQ110+(1-EXP(-LN(2)/25))/(LN(2)/25)*Calculateur!BL111*Calculateur!BN111*VLOOKUP('Données projet'!$B$11,Paramètres!$A$1:$I$89,3,0)*0.475*44/12</f>
        <v>33.83672420780244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125.45593403161647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>
        <f>VLOOKUP(A111,'Données projet'!$A$113:$I$133,2,0)</f>
        <v>199</v>
      </c>
      <c r="BW111" s="12">
        <f>VLOOKUP(A111,'Données projet'!$A$113:$I$133,9,0)</f>
        <v>4.4444444444444446</v>
      </c>
      <c r="BX111" s="12">
        <f t="array" ref="BX111">INDEX(BW:BW,MIN(IF(ISNUMBER(BW111:BW307),ROW(BW111:BW307),"")))</f>
        <v>4.4444444444444446</v>
      </c>
      <c r="BY111" s="12">
        <f>IF('Données projet'!$A$114&gt;35,BY110+BX111-CG110,IF(A111&lt;'Données projet'!$A$114,$BV$205^A111,IF(A111='Données projet'!$A$114,'Données projet'!$B$114,BY110+BX111-CG110)))</f>
        <v>199.00000000000037</v>
      </c>
      <c r="BZ111" s="13">
        <f>BY111*VLOOKUP('Données projet'!$B$12,Paramètres!$A$1:$I$89,3,0)*VLOOKUP('Données projet'!$B$12,Paramètres!$A$1:$I$89,5,0)</f>
        <v>201.7860000000004</v>
      </c>
      <c r="CA111" s="13">
        <f t="shared" si="93"/>
        <v>50.136473146268848</v>
      </c>
      <c r="CB111" s="20">
        <f t="shared" si="64"/>
        <v>438.76497406308562</v>
      </c>
      <c r="CC111" s="59">
        <f t="shared" si="65"/>
        <v>732.09830739641893</v>
      </c>
      <c r="CD111" s="59">
        <f ca="1">AVERAGE(OFFSET($CC$3,0,0,'Données projet'!$E$12+1,1))-AVERAGE(OFFSET($H$3,0,0,'Données projet'!$E$12+1,1))</f>
        <v>410.75375635525211</v>
      </c>
      <c r="CE111" s="59">
        <f t="shared" si="94"/>
        <v>183.55513001437367</v>
      </c>
      <c r="CF111" s="15">
        <f>IF(ISNA(VLOOKUP(A111,'Données projet'!$A$113:$I$133,3,0)),0,VLOOKUP(A111,'Données projet'!$A$113:$I$133,3,0))</f>
        <v>7</v>
      </c>
      <c r="CG111" s="15">
        <f>IF(ISNA(VLOOKUP(A111,'Données projet'!$A$113:$I$133,4,0)),0,VLOOKUP(A111,'Données projet'!$A$113:$I$133,4,0))</f>
        <v>26</v>
      </c>
      <c r="CH111" s="16">
        <f>IF(ISNA(VLOOKUP(A111,'Données projet'!$A$113:$I$133,5,0)),0%,VLOOKUP(A111,'Données projet'!$A$113:$I$133,5,0)*VLOOKUP('Données projet'!$B$12,Paramètres!$A$1:$I$89,7,0))</f>
        <v>0.25800000000000001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32.705268186454504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32.705268186454504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6</v>
      </c>
      <c r="CT111" s="12">
        <f>IF('Données projet'!$A$140&gt;35,CT110+CS111-DB110,IF(A111&lt;'Données projet'!$A$140,$CQ$205^A111,IF(A111='Données projet'!$A$140,'Données projet'!$B$140,CT110+CS111-DB110)))</f>
        <v>253.99999999999994</v>
      </c>
      <c r="CU111" s="17">
        <f>CT111*VLOOKUP('Données projet'!$B$13,Paramètres!$A$1:$I$89,3,0)*VLOOKUP('Données projet'!$B$13,Paramètres!$A$1:$I$89,5,0)</f>
        <v>229.81919999999997</v>
      </c>
      <c r="CV111" s="13">
        <f t="shared" si="95"/>
        <v>56.243586554989342</v>
      </c>
      <c r="CW111" s="20">
        <f t="shared" si="67"/>
        <v>498.22601991660639</v>
      </c>
      <c r="CX111" s="59">
        <f t="shared" si="68"/>
        <v>791.5593532499397</v>
      </c>
      <c r="CY111" s="59">
        <f ca="1">AVERAGE(OFFSET($CX$3,0,0,'Données projet'!$E$13+1,1))-AVERAGE(OFFSET($H$3,0,0,'Données projet'!$E$13+1,1))</f>
        <v>436.12708882925142</v>
      </c>
      <c r="CZ111" s="59">
        <f t="shared" si="96"/>
        <v>217.65884352525285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35.00037487029762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35.00037487029762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9.4</v>
      </c>
      <c r="DO111" s="12">
        <f>IF('Données projet'!$A$166&gt;35,DO110+DN111-DW110,IF(A111&lt;'Données projet'!$A$166,$DL$205^A111,IF(A111='Données projet'!$A$166,'Données projet'!$B$166,DO110+DN111-DW110)))</f>
        <v>519.20000000000039</v>
      </c>
      <c r="DP111" s="17">
        <f>DO111*VLOOKUP('Données projet'!$B$14,Paramètres!$A$1:$I$89,3,0)*VLOOKUP('Données projet'!$B$14,Paramètres!$A$1:$I$89,5,0)</f>
        <v>494.07072000000034</v>
      </c>
      <c r="DQ111" s="13">
        <f t="shared" si="97"/>
        <v>110.60738602185747</v>
      </c>
      <c r="DR111" s="20">
        <f t="shared" si="70"/>
        <v>1053.1477013214023</v>
      </c>
      <c r="DS111" s="59">
        <f t="shared" si="71"/>
        <v>1346.4810346547356</v>
      </c>
      <c r="DT111" s="59">
        <f ca="1">AVERAGE(OFFSET($DS$3,0,0,'Données projet'!$E$14+1,1))-AVERAGE(OFFSET($H$3,0,0,'Données projet'!$E$14+1,1))</f>
        <v>735.50267870886194</v>
      </c>
      <c r="DU111" s="59">
        <f t="shared" si="98"/>
        <v>525.80345400853275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92.489779039740981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92.489779039740981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>
        <f>VLOOKUP(A111,'Données projet'!$A$191:$I$211,2,0)</f>
        <v>199</v>
      </c>
      <c r="EH111" s="12">
        <f>VLOOKUP(A111,'Données projet'!$A$191:$I$211,9,0)</f>
        <v>4.4444444444444446</v>
      </c>
      <c r="EI111" s="12">
        <f t="array" ref="EI111">INDEX(EH:EH,MIN(IF(ISNUMBER(EH111:EH307),ROW(EH111:EH307),"")))</f>
        <v>4.4444444444444446</v>
      </c>
      <c r="EJ111" s="12">
        <f>IF('Données projet'!$A$192&gt;35,EJ110+EI111-ER110,IF(A111&lt;'Données projet'!$A$192,$EG$205^A111,IF(A111='Données projet'!$A$192,'Données projet'!$B$192,EJ110+EI111-ER110)))</f>
        <v>199.00000000000037</v>
      </c>
      <c r="EK111" s="17">
        <f>EJ111*VLOOKUP('Données projet'!$B$15,Paramètres!$A$1:$I$89,3,0)*VLOOKUP('Données projet'!$B$15,Paramètres!$A$1:$I$89,5,0)</f>
        <v>127.28040000000023</v>
      </c>
      <c r="EL111" s="13">
        <f t="shared" si="99"/>
        <v>33.367168469769993</v>
      </c>
      <c r="EM111" s="20">
        <f t="shared" si="73"/>
        <v>279.79451508484976</v>
      </c>
      <c r="EN111" s="59">
        <f t="shared" si="74"/>
        <v>573.12784841818302</v>
      </c>
      <c r="EO111" s="59">
        <f ca="1">AVERAGE(OFFSET($EN$3,0,0,'Données projet'!$E$15+1,1))-AVERAGE(OFFSET($H$3,0,0,'Données projet'!$E$15+1,1))</f>
        <v>274.14900959323484</v>
      </c>
      <c r="EP111" s="59">
        <f t="shared" si="100"/>
        <v>130.44590390921582</v>
      </c>
      <c r="EQ111" s="15">
        <f>IF(ISNA(VLOOKUP(A111,'Données projet'!$A$191:$I$211,3,0)),0,VLOOKUP(A111,'Données projet'!$A$191:$I$211,3,0))</f>
        <v>7</v>
      </c>
      <c r="ER111" s="15">
        <f>IF(ISNA(VLOOKUP(A111,'Données projet'!$A$191:$I$211,4,0)),0,VLOOKUP(A111,'Données projet'!$A$191:$I$211,4,0))</f>
        <v>26</v>
      </c>
      <c r="ES111" s="16">
        <f>IF(ISNA(VLOOKUP(A111,'Données projet'!$A$191:$I$211,5,0)),0%,VLOOKUP(A111,'Données projet'!$A$191:$I$211,5,0)*VLOOKUP('Données projet'!$B$15,Paramètres!$A$1:$I$89,7,0))</f>
        <v>0.25800000000000001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20.629476856071303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20.629476856071303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-2.2737367544323206E-13</v>
      </c>
      <c r="FF111" s="17">
        <f>FE111*VLOOKUP('Données projet'!$B$16,Paramètres!$A$1:$I$89,3,0)*VLOOKUP('Données projet'!$B$16,Paramètres!$A$1:$I$89,5,0)</f>
        <v>-1.3596945791505279E-13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405.42845699663462</v>
      </c>
      <c r="FK111" s="59">
        <f t="shared" si="102"/>
        <v>292.26503163353146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136.22012519218532</v>
      </c>
      <c r="FR111" s="21">
        <f>EXP(-LN(2)/25)*FR110+(1-EXP(-LN(2)/25))/(LN(2)/25)*Calculateur!FM111*Calculateur!FO111*VLOOKUP('Données projet'!$B$16,Paramètres!$A$1:$I$89,3,0)*0.475*44/12</f>
        <v>52.183789602802236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188.40391479498754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-2.2737367544323206E-13</v>
      </c>
      <c r="GA111" s="17">
        <f>FZ111*VLOOKUP('Données projet'!$B$17,Paramètres!$A$1:$I$89,3,0)*VLOOKUP('Données projet'!$B$17,Paramètres!$A$1:$I$89,5,0)</f>
        <v>-1.3596945791505279E-13</v>
      </c>
      <c r="GB111" s="13" t="e">
        <f t="shared" si="103"/>
        <v>#NUM!</v>
      </c>
      <c r="GC111" s="20" t="e">
        <f t="shared" si="79"/>
        <v>#NUM!</v>
      </c>
      <c r="GD111" s="59" t="e">
        <f t="shared" si="80"/>
        <v>#NUM!</v>
      </c>
      <c r="GE111" s="59">
        <f ca="1">AVERAGE(OFFSET($GD$3,0,0,'Données projet'!$E$17+1,1))-AVERAGE(OFFSET($H$3,0,0,'Données projet'!$E$17+1,1))</f>
        <v>405.42845699663462</v>
      </c>
      <c r="GF111" s="59">
        <f t="shared" si="104"/>
        <v>292.26503163353146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136.22012519218532</v>
      </c>
      <c r="GM111" s="21">
        <f>EXP(-LN(2)/25)*GM110+(1-EXP(-LN(2)/25))/(LN(2)/25)*Calculateur!GH111*Calculateur!GJ111*VLOOKUP('Données projet'!$B$17,Paramètres!$A$1:$I$89,3,0)*0.475*44/12</f>
        <v>52.183789602802236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188.40391479498754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-5.3205440053716299E-14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198.26255998041</v>
      </c>
      <c r="T112" s="59">
        <f t="shared" si="88"/>
        <v>238.62101708181166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41.596650622298625</v>
      </c>
      <c r="AA112" s="21">
        <f>EXP(-LN(2)/25)*AA111+(1-EXP(-LN(2)/25))/(LN(2)/25)*Calculateur!V112*Calculateur!X112*VLOOKUP('Données projet'!$B$9,Paramètres!$A$1:$I$89,3,0)*0.475*44/12</f>
        <v>16.004225707295713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57.600876329594342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3.4106051316484809E-13</v>
      </c>
      <c r="AJ112" s="13">
        <f>AI112*VLOOKUP('Données projet'!$B$10,Paramètres!$A$1:$I$89,3,0)*VLOOKUP('Données projet'!$B$10,Paramètres!$A$1:$I$89,5,0)</f>
        <v>1.9065282685915009E-13</v>
      </c>
      <c r="AK112" s="13">
        <f t="shared" si="89"/>
        <v>2.6568987209435707E-12</v>
      </c>
      <c r="AL112" s="20">
        <f t="shared" si="58"/>
        <v>4.959485612423072E-12</v>
      </c>
      <c r="AM112" s="59">
        <f t="shared" si="59"/>
        <v>293.33333333333826</v>
      </c>
      <c r="AN112" s="59">
        <f ca="1">AVERAGE(OFFSET($AM$3,0,0,'Données projet'!$E$10+1,1))-AVERAGE(OFFSET($H$3,0,0,'Données projet'!$E$10+1,1))</f>
        <v>347.02720636703873</v>
      </c>
      <c r="AO112" s="59">
        <f t="shared" si="90"/>
        <v>394.03759949558702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90.80106313351726</v>
      </c>
      <c r="AV112" s="21">
        <f>EXP(-LN(2)/25)*AV111+(1-EXP(-LN(2)/25))/(LN(2)/25)*Calculateur!AQ112*Calculateur!AS112*VLOOKUP('Données projet'!$B$10,Paramètres!$A$1:$I$89,3,0)*0.475*44/12</f>
        <v>34.062533793999506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124.86359692751677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-3.4106051316484809E-13</v>
      </c>
      <c r="BE112" s="13">
        <f>BD112*VLOOKUP('Données projet'!$B$11,Paramètres!$A$1:$I$89,3,0)*VLOOKUP('Données projet'!$B$11,Paramètres!$A$1:$I$89,5,0)</f>
        <v>-2.0395418687257919E-13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378.75660696651238</v>
      </c>
      <c r="BJ112" s="59">
        <f t="shared" si="92"/>
        <v>371.70674704563288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89.82261300136912</v>
      </c>
      <c r="BQ112" s="21">
        <f>EXP(-LN(2)/25)*BQ111+(1-EXP(-LN(2)/25))/(LN(2)/25)*Calculateur!BL112*Calculateur!BN112*VLOOKUP('Données projet'!$B$11,Paramètres!$A$1:$I$89,3,0)*0.475*44/12</f>
        <v>32.911457204944092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122.73407020631322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4.4444444444444446</v>
      </c>
      <c r="BY112" s="12">
        <f>IF('Données projet'!$A$114&gt;35,BY111+BX112-CG111,IF(A112&lt;'Données projet'!$A$114,$BV$205^A112,IF(A112='Données projet'!$A$114,'Données projet'!$B$114,BY111+BX112-CG111)))</f>
        <v>177.44444444444483</v>
      </c>
      <c r="BZ112" s="13">
        <f>BY112*VLOOKUP('Données projet'!$B$12,Paramètres!$A$1:$I$89,3,0)*VLOOKUP('Données projet'!$B$12,Paramètres!$A$1:$I$89,5,0)</f>
        <v>179.92866666666708</v>
      </c>
      <c r="CA112" s="13">
        <f t="shared" si="93"/>
        <v>45.306315448041261</v>
      </c>
      <c r="CB112" s="20">
        <f t="shared" si="64"/>
        <v>392.28426051645033</v>
      </c>
      <c r="CC112" s="59">
        <f t="shared" si="65"/>
        <v>685.61759384978359</v>
      </c>
      <c r="CD112" s="59">
        <f ca="1">AVERAGE(OFFSET($CC$3,0,0,'Données projet'!$E$12+1,1))-AVERAGE(OFFSET($H$3,0,0,'Données projet'!$E$12+1,1))</f>
        <v>410.75375635525211</v>
      </c>
      <c r="CE112" s="59">
        <f t="shared" si="94"/>
        <v>183.55513001437367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32.063937825562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32.063937825562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6</v>
      </c>
      <c r="CT112" s="12">
        <f>IF('Données projet'!$A$140&gt;35,CT111+CS112-DB111,IF(A112&lt;'Données projet'!$A$140,$CQ$205^A112,IF(A112='Données projet'!$A$140,'Données projet'!$B$140,CT111+CS112-DB111)))</f>
        <v>259.99999999999994</v>
      </c>
      <c r="CU112" s="17">
        <f>CT112*VLOOKUP('Données projet'!$B$13,Paramètres!$A$1:$I$89,3,0)*VLOOKUP('Données projet'!$B$13,Paramètres!$A$1:$I$89,5,0)</f>
        <v>235.24799999999993</v>
      </c>
      <c r="CV112" s="13">
        <f t="shared" si="95"/>
        <v>57.41592756883739</v>
      </c>
      <c r="CW112" s="20">
        <f t="shared" si="67"/>
        <v>509.72300718239165</v>
      </c>
      <c r="CX112" s="59">
        <f t="shared" si="68"/>
        <v>803.05634051572497</v>
      </c>
      <c r="CY112" s="59">
        <f ca="1">AVERAGE(OFFSET($CX$3,0,0,'Données projet'!$E$13+1,1))-AVERAGE(OFFSET($H$3,0,0,'Données projet'!$E$13+1,1))</f>
        <v>436.12708882925142</v>
      </c>
      <c r="CZ112" s="59">
        <f t="shared" si="96"/>
        <v>217.65884352525285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34.314038867211799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34.314038867211799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9.4</v>
      </c>
      <c r="DO112" s="12">
        <f>IF('Données projet'!$A$166&gt;35,DO111+DN112-DW111,IF(A112&lt;'Données projet'!$A$166,$DL$205^A112,IF(A112='Données projet'!$A$166,'Données projet'!$B$166,DO111+DN112-DW111)))</f>
        <v>528.60000000000036</v>
      </c>
      <c r="DP112" s="17">
        <f>DO112*VLOOKUP('Données projet'!$B$14,Paramètres!$A$1:$I$89,3,0)*VLOOKUP('Données projet'!$B$14,Paramètres!$A$1:$I$89,5,0)</f>
        <v>503.01576000000034</v>
      </c>
      <c r="DQ112" s="13">
        <f t="shared" si="97"/>
        <v>112.37496247089946</v>
      </c>
      <c r="DR112" s="20">
        <f t="shared" si="70"/>
        <v>1071.805508303484</v>
      </c>
      <c r="DS112" s="59">
        <f t="shared" si="71"/>
        <v>1365.1388416368172</v>
      </c>
      <c r="DT112" s="59">
        <f ca="1">AVERAGE(OFFSET($DS$3,0,0,'Données projet'!$E$14+1,1))-AVERAGE(OFFSET($H$3,0,0,'Données projet'!$E$14+1,1))</f>
        <v>735.50267870886194</v>
      </c>
      <c r="DU112" s="59">
        <f t="shared" si="98"/>
        <v>525.80345400853275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90.676110885966537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90.676110885966537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4.4444444444444446</v>
      </c>
      <c r="EJ112" s="12">
        <f>IF('Données projet'!$A$192&gt;35,EJ111+EI112-ER111,IF(A112&lt;'Données projet'!$A$192,$EG$205^A112,IF(A112='Données projet'!$A$192,'Données projet'!$B$192,EJ111+EI112-ER111)))</f>
        <v>177.44444444444483</v>
      </c>
      <c r="EK112" s="17">
        <f>EJ112*VLOOKUP('Données projet'!$B$15,Paramètres!$A$1:$I$89,3,0)*VLOOKUP('Données projet'!$B$15,Paramètres!$A$1:$I$89,5,0)</f>
        <v>113.4934666666669</v>
      </c>
      <c r="EL112" s="13">
        <f t="shared" si="99"/>
        <v>30.152568887104486</v>
      </c>
      <c r="EM112" s="20">
        <f t="shared" si="73"/>
        <v>250.1835119228185</v>
      </c>
      <c r="EN112" s="59">
        <f t="shared" si="74"/>
        <v>543.51684525615178</v>
      </c>
      <c r="EO112" s="59">
        <f ca="1">AVERAGE(OFFSET($EN$3,0,0,'Données projet'!$E$15+1,1))-AVERAGE(OFFSET($H$3,0,0,'Données projet'!$E$15+1,1))</f>
        <v>274.14900959323484</v>
      </c>
      <c r="EP112" s="59">
        <f t="shared" si="100"/>
        <v>130.44590390921582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20.224945397662186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20.224945397662186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-2.2737367544323206E-13</v>
      </c>
      <c r="FF112" s="17">
        <f>FE112*VLOOKUP('Données projet'!$B$16,Paramètres!$A$1:$I$89,3,0)*VLOOKUP('Données projet'!$B$16,Paramètres!$A$1:$I$89,5,0)</f>
        <v>-1.3596945791505279E-13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405.42845699663462</v>
      </c>
      <c r="FK112" s="59">
        <f t="shared" si="102"/>
        <v>292.26503163353146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133.54893162323887</v>
      </c>
      <c r="FR112" s="21">
        <f>EXP(-LN(2)/25)*FR111+(1-EXP(-LN(2)/25))/(LN(2)/25)*Calculateur!FM112*Calculateur!FO112*VLOOKUP('Données projet'!$B$16,Paramètres!$A$1:$I$89,3,0)*0.475*44/12</f>
        <v>50.756821131887378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184.30575275512626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-2.2737367544323206E-13</v>
      </c>
      <c r="GA112" s="17">
        <f>FZ112*VLOOKUP('Données projet'!$B$17,Paramètres!$A$1:$I$89,3,0)*VLOOKUP('Données projet'!$B$17,Paramètres!$A$1:$I$89,5,0)</f>
        <v>-1.3596945791505279E-13</v>
      </c>
      <c r="GB112" s="13" t="e">
        <f t="shared" si="103"/>
        <v>#NUM!</v>
      </c>
      <c r="GC112" s="20" t="e">
        <f t="shared" si="79"/>
        <v>#NUM!</v>
      </c>
      <c r="GD112" s="59" t="e">
        <f t="shared" si="80"/>
        <v>#NUM!</v>
      </c>
      <c r="GE112" s="59">
        <f ca="1">AVERAGE(OFFSET($GD$3,0,0,'Données projet'!$E$17+1,1))-AVERAGE(OFFSET($H$3,0,0,'Données projet'!$E$17+1,1))</f>
        <v>405.42845699663462</v>
      </c>
      <c r="GF112" s="59">
        <f t="shared" si="104"/>
        <v>292.26503163353146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133.54893162323887</v>
      </c>
      <c r="GM112" s="21">
        <f>EXP(-LN(2)/25)*GM111+(1-EXP(-LN(2)/25))/(LN(2)/25)*Calculateur!GH112*Calculateur!GJ112*VLOOKUP('Données projet'!$B$17,Paramètres!$A$1:$I$89,3,0)*0.475*44/12</f>
        <v>50.756821131887378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184.30575275512626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-5.3205440053716299E-14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198.26255998041</v>
      </c>
      <c r="T113" s="59">
        <f t="shared" si="88"/>
        <v>238.62101708181166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40.780965675047007</v>
      </c>
      <c r="AA113" s="21">
        <f>EXP(-LN(2)/25)*AA112+(1-EXP(-LN(2)/25))/(LN(2)/25)*Calculateur!V113*Calculateur!X113*VLOOKUP('Données projet'!$B$9,Paramètres!$A$1:$I$89,3,0)*0.475*44/12</f>
        <v>15.566589313704061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56.347554988751071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3.4106051316484809E-13</v>
      </c>
      <c r="AJ113" s="13">
        <f>AI113*VLOOKUP('Données projet'!$B$10,Paramètres!$A$1:$I$89,3,0)*VLOOKUP('Données projet'!$B$10,Paramètres!$A$1:$I$89,5,0)</f>
        <v>1.9065282685915009E-13</v>
      </c>
      <c r="AK113" s="13">
        <f t="shared" si="89"/>
        <v>2.6568987209435707E-12</v>
      </c>
      <c r="AL113" s="20">
        <f t="shared" si="58"/>
        <v>4.959485612423072E-12</v>
      </c>
      <c r="AM113" s="59">
        <f t="shared" si="59"/>
        <v>293.33333333333826</v>
      </c>
      <c r="AN113" s="59">
        <f ca="1">AVERAGE(OFFSET($AM$3,0,0,'Données projet'!$E$10+1,1))-AVERAGE(OFFSET($H$3,0,0,'Données projet'!$E$10+1,1))</f>
        <v>347.02720636703873</v>
      </c>
      <c r="AO113" s="59">
        <f t="shared" si="90"/>
        <v>394.03759949558702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89.02050966864887</v>
      </c>
      <c r="AV113" s="21">
        <f>EXP(-LN(2)/25)*AV112+(1-EXP(-LN(2)/25))/(LN(2)/25)*Calculateur!AQ113*Calculateur!AS113*VLOOKUP('Données projet'!$B$10,Paramètres!$A$1:$I$89,3,0)*0.475*44/12</f>
        <v>33.131092016131788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122.15160168478066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-3.4106051316484809E-13</v>
      </c>
      <c r="BE113" s="13">
        <f>BD113*VLOOKUP('Données projet'!$B$11,Paramètres!$A$1:$I$89,3,0)*VLOOKUP('Données projet'!$B$11,Paramètres!$A$1:$I$89,5,0)</f>
        <v>-2.0395418687257919E-13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378.75660696651238</v>
      </c>
      <c r="BJ113" s="59">
        <f t="shared" si="92"/>
        <v>371.70674704563288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88.061246346796494</v>
      </c>
      <c r="BQ113" s="21">
        <f>EXP(-LN(2)/25)*BQ112+(1-EXP(-LN(2)/25))/(LN(2)/25)*Calculateur!BL113*Calculateur!BN113*VLOOKUP('Données projet'!$B$11,Paramètres!$A$1:$I$89,3,0)*0.475*44/12</f>
        <v>32.011491676936579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120.07273802373308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4.4444444444444446</v>
      </c>
      <c r="BY113" s="12">
        <f>IF('Données projet'!$A$114&gt;35,BY112+BX113-CG112,IF(A113&lt;'Données projet'!$A$114,$BV$205^A113,IF(A113='Données projet'!$A$114,'Données projet'!$B$114,BY112+BX113-CG112)))</f>
        <v>181.88888888888928</v>
      </c>
      <c r="BZ113" s="13">
        <f>BY113*VLOOKUP('Données projet'!$B$12,Paramètres!$A$1:$I$89,3,0)*VLOOKUP('Données projet'!$B$12,Paramètres!$A$1:$I$89,5,0)</f>
        <v>184.43533333333374</v>
      </c>
      <c r="CA113" s="13">
        <f t="shared" si="93"/>
        <v>46.307563794341107</v>
      </c>
      <c r="CB113" s="20">
        <f t="shared" si="64"/>
        <v>401.877212497367</v>
      </c>
      <c r="CC113" s="59">
        <f t="shared" si="65"/>
        <v>695.21054583070031</v>
      </c>
      <c r="CD113" s="59">
        <f ca="1">AVERAGE(OFFSET($CC$3,0,0,'Données projet'!$E$12+1,1))-AVERAGE(OFFSET($H$3,0,0,'Données projet'!$E$12+1,1))</f>
        <v>410.75375635525211</v>
      </c>
      <c r="CE113" s="59">
        <f t="shared" si="94"/>
        <v>183.55513001437367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31.435183561873703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31.435183561873703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6</v>
      </c>
      <c r="CT113" s="12">
        <f>IF('Données projet'!$A$140&gt;35,CT112+CS113-DB112,IF(A113&lt;'Données projet'!$A$140,$CQ$205^A113,IF(A113='Données projet'!$A$140,'Données projet'!$B$140,CT112+CS113-DB112)))</f>
        <v>265.99999999999994</v>
      </c>
      <c r="CU113" s="17">
        <f>CT113*VLOOKUP('Données projet'!$B$13,Paramètres!$A$1:$I$89,3,0)*VLOOKUP('Données projet'!$B$13,Paramètres!$A$1:$I$89,5,0)</f>
        <v>240.67679999999993</v>
      </c>
      <c r="CV113" s="13">
        <f t="shared" si="95"/>
        <v>58.585123425001029</v>
      </c>
      <c r="CW113" s="20">
        <f t="shared" si="67"/>
        <v>521.21451663187668</v>
      </c>
      <c r="CX113" s="59">
        <f t="shared" si="68"/>
        <v>814.54784996520993</v>
      </c>
      <c r="CY113" s="59">
        <f ca="1">AVERAGE(OFFSET($CX$3,0,0,'Données projet'!$E$13+1,1))-AVERAGE(OFFSET($H$3,0,0,'Données projet'!$E$13+1,1))</f>
        <v>436.12708882925142</v>
      </c>
      <c r="CZ113" s="59">
        <f t="shared" si="96"/>
        <v>217.65884352525285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33.641161494522869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33.641161494522869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>
        <f>VLOOKUP(A113,'Données projet'!$A$165:$I$185,2,0)</f>
        <v>538</v>
      </c>
      <c r="DM113" s="12">
        <f>VLOOKUP(A113,'Données projet'!$A$165:$I$185,9,0)</f>
        <v>9.4</v>
      </c>
      <c r="DN113" s="12">
        <f t="array" ref="DN113">INDEX(DM:DM,MIN(IF(ISNUMBER(DM113:DM309),ROW(DM113:DM309),"")))</f>
        <v>9.4</v>
      </c>
      <c r="DO113" s="12">
        <f>IF('Données projet'!$A$166&gt;35,DO112+DN113-DW112,IF(A113&lt;'Données projet'!$A$166,$DL$205^A113,IF(A113='Données projet'!$A$166,'Données projet'!$B$166,DO112+DN113-DW112)))</f>
        <v>538.00000000000034</v>
      </c>
      <c r="DP113" s="17">
        <f>DO113*VLOOKUP('Données projet'!$B$14,Paramètres!$A$1:$I$89,3,0)*VLOOKUP('Données projet'!$B$14,Paramètres!$A$1:$I$89,5,0)</f>
        <v>511.96080000000029</v>
      </c>
      <c r="DQ113" s="13">
        <f t="shared" si="97"/>
        <v>114.13888375751583</v>
      </c>
      <c r="DR113" s="20">
        <f t="shared" si="70"/>
        <v>1090.4569492110072</v>
      </c>
      <c r="DS113" s="59">
        <f t="shared" si="71"/>
        <v>1383.7902825443405</v>
      </c>
      <c r="DT113" s="59">
        <f ca="1">AVERAGE(OFFSET($DS$3,0,0,'Données projet'!$E$14+1,1))-AVERAGE(OFFSET($H$3,0,0,'Données projet'!$E$14+1,1))</f>
        <v>735.50267870886194</v>
      </c>
      <c r="DU113" s="59">
        <f t="shared" si="98"/>
        <v>525.80345400853275</v>
      </c>
      <c r="DV113" s="15">
        <f>IF(ISNA(VLOOKUP(A113,'Données projet'!$A$165:$I$185,3,0)),0,VLOOKUP(A113,'Données projet'!$A$165:$I$185,3,0))</f>
        <v>20</v>
      </c>
      <c r="DW113" s="15">
        <f>IF(ISNA(VLOOKUP(A113,'Données projet'!$A$165:$I$185,4,0)),0,VLOOKUP(A113,'Données projet'!$A$165:$I$185,4,0))</f>
        <v>538</v>
      </c>
      <c r="DX113" s="16">
        <f>IF(ISNA(VLOOKUP(A113,'Données projet'!$A$165:$I$185,5,0)),0%,VLOOKUP(A113,'Données projet'!$A$165:$I$185,5,0)*VLOOKUP('Données projet'!$B$14,Paramètres!$A$1:$I$89,7,0))</f>
        <v>0.25800000000000001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234.91504262801345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234.91504262801345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4.4444444444444446</v>
      </c>
      <c r="EJ113" s="12">
        <f>IF('Données projet'!$A$192&gt;35,EJ112+EI113-ER112,IF(A113&lt;'Données projet'!$A$192,$EG$205^A113,IF(A113='Données projet'!$A$192,'Données projet'!$B$192,EJ112+EI113-ER112)))</f>
        <v>181.88888888888928</v>
      </c>
      <c r="EK113" s="17">
        <f>EJ113*VLOOKUP('Données projet'!$B$15,Paramètres!$A$1:$I$89,3,0)*VLOOKUP('Données projet'!$B$15,Paramètres!$A$1:$I$89,5,0)</f>
        <v>116.33613333333359</v>
      </c>
      <c r="EL113" s="13">
        <f t="shared" si="99"/>
        <v>30.818926533634521</v>
      </c>
      <c r="EM113" s="20">
        <f t="shared" si="73"/>
        <v>256.29506260163612</v>
      </c>
      <c r="EN113" s="59">
        <f t="shared" si="74"/>
        <v>549.62839593496938</v>
      </c>
      <c r="EO113" s="59">
        <f ca="1">AVERAGE(OFFSET($EN$3,0,0,'Données projet'!$E$15+1,1))-AVERAGE(OFFSET($H$3,0,0,'Données projet'!$E$15+1,1))</f>
        <v>274.14900959323484</v>
      </c>
      <c r="EP113" s="59">
        <f t="shared" si="100"/>
        <v>130.44590390921582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19.828346554412644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19.828346554412644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-2.2737367544323206E-13</v>
      </c>
      <c r="FF113" s="17">
        <f>FE113*VLOOKUP('Données projet'!$B$16,Paramètres!$A$1:$I$89,3,0)*VLOOKUP('Données projet'!$B$16,Paramètres!$A$1:$I$89,5,0)</f>
        <v>-1.3596945791505279E-13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405.42845699663462</v>
      </c>
      <c r="FK113" s="59">
        <f t="shared" si="102"/>
        <v>292.26503163353146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130.93011853091227</v>
      </c>
      <c r="FR113" s="21">
        <f>EXP(-LN(2)/25)*FR112+(1-EXP(-LN(2)/25))/(LN(2)/25)*Calculateur!FM113*Calculateur!FO113*VLOOKUP('Données projet'!$B$16,Paramètres!$A$1:$I$89,3,0)*0.475*44/12</f>
        <v>49.368873188850699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180.29899171976297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-2.2737367544323206E-13</v>
      </c>
      <c r="GA113" s="17">
        <f>FZ113*VLOOKUP('Données projet'!$B$17,Paramètres!$A$1:$I$89,3,0)*VLOOKUP('Données projet'!$B$17,Paramètres!$A$1:$I$89,5,0)</f>
        <v>-1.3596945791505279E-13</v>
      </c>
      <c r="GB113" s="13" t="e">
        <f t="shared" si="103"/>
        <v>#NUM!</v>
      </c>
      <c r="GC113" s="20" t="e">
        <f t="shared" si="79"/>
        <v>#NUM!</v>
      </c>
      <c r="GD113" s="59" t="e">
        <f t="shared" si="80"/>
        <v>#NUM!</v>
      </c>
      <c r="GE113" s="59">
        <f ca="1">AVERAGE(OFFSET($GD$3,0,0,'Données projet'!$E$17+1,1))-AVERAGE(OFFSET($H$3,0,0,'Données projet'!$E$17+1,1))</f>
        <v>405.42845699663462</v>
      </c>
      <c r="GF113" s="59">
        <f t="shared" si="104"/>
        <v>292.26503163353146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130.93011853091227</v>
      </c>
      <c r="GM113" s="21">
        <f>EXP(-LN(2)/25)*GM112+(1-EXP(-LN(2)/25))/(LN(2)/25)*Calculateur!GH113*Calculateur!GJ113*VLOOKUP('Données projet'!$B$17,Paramètres!$A$1:$I$89,3,0)*0.475*44/12</f>
        <v>49.368873188850699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180.29899171976297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-5.3205440053716299E-14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198.26255998041</v>
      </c>
      <c r="T114" s="59">
        <f t="shared" si="88"/>
        <v>238.62101708181166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39.981275812092299</v>
      </c>
      <c r="AA114" s="21">
        <f>EXP(-LN(2)/25)*AA113+(1-EXP(-LN(2)/25))/(LN(2)/25)*Calculateur!V114*Calculateur!X114*VLOOKUP('Données projet'!$B$9,Paramètres!$A$1:$I$89,3,0)*0.475*44/12</f>
        <v>15.140920110309469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55.122195922401772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3.4106051316484809E-13</v>
      </c>
      <c r="AJ114" s="13">
        <f>AI114*VLOOKUP('Données projet'!$B$10,Paramètres!$A$1:$I$89,3,0)*VLOOKUP('Données projet'!$B$10,Paramètres!$A$1:$I$89,5,0)</f>
        <v>1.9065282685915009E-13</v>
      </c>
      <c r="AK114" s="13">
        <f t="shared" si="89"/>
        <v>2.6568987209435707E-12</v>
      </c>
      <c r="AL114" s="20">
        <f t="shared" si="58"/>
        <v>4.959485612423072E-12</v>
      </c>
      <c r="AM114" s="59">
        <f t="shared" si="59"/>
        <v>293.33333333333826</v>
      </c>
      <c r="AN114" s="59">
        <f ca="1">AVERAGE(OFFSET($AM$3,0,0,'Données projet'!$E$10+1,1))-AVERAGE(OFFSET($H$3,0,0,'Données projet'!$E$10+1,1))</f>
        <v>347.02720636703873</v>
      </c>
      <c r="AO114" s="59">
        <f t="shared" si="90"/>
        <v>394.03759949558702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87.27487177119616</v>
      </c>
      <c r="AV114" s="21">
        <f>EXP(-LN(2)/25)*AV113+(1-EXP(-LN(2)/25))/(LN(2)/25)*Calculateur!AQ114*Calculateur!AS114*VLOOKUP('Données projet'!$B$10,Paramètres!$A$1:$I$89,3,0)*0.475*44/12</f>
        <v>32.225120562662255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119.49999233385842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-3.4106051316484809E-13</v>
      </c>
      <c r="BE114" s="13">
        <f>BD114*VLOOKUP('Données projet'!$B$11,Paramètres!$A$1:$I$89,3,0)*VLOOKUP('Données projet'!$B$11,Paramètres!$A$1:$I$89,5,0)</f>
        <v>-2.0395418687257919E-13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378.75660696651238</v>
      </c>
      <c r="BJ114" s="59">
        <f t="shared" si="92"/>
        <v>371.70674704563288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86.33441901799246</v>
      </c>
      <c r="BQ114" s="21">
        <f>EXP(-LN(2)/25)*BQ113+(1-EXP(-LN(2)/25))/(LN(2)/25)*Calculateur!BL114*Calculateur!BN114*VLOOKUP('Données projet'!$B$11,Paramètres!$A$1:$I$89,3,0)*0.475*44/12</f>
        <v>31.136135753619563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117.47055477161203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4.4444444444444446</v>
      </c>
      <c r="BY114" s="12">
        <f>IF('Données projet'!$A$114&gt;35,BY113+BX114-CG113,IF(A114&lt;'Données projet'!$A$114,$BV$205^A114,IF(A114='Données projet'!$A$114,'Données projet'!$B$114,BY113+BX114-CG113)))</f>
        <v>186.33333333333374</v>
      </c>
      <c r="BZ114" s="13">
        <f>BY114*VLOOKUP('Données projet'!$B$12,Paramètres!$A$1:$I$89,3,0)*VLOOKUP('Données projet'!$B$12,Paramètres!$A$1:$I$89,5,0)</f>
        <v>188.94200000000041</v>
      </c>
      <c r="CA114" s="13">
        <f t="shared" si="93"/>
        <v>47.305968109740682</v>
      </c>
      <c r="CB114" s="20">
        <f t="shared" si="64"/>
        <v>411.46521112446572</v>
      </c>
      <c r="CC114" s="59">
        <f t="shared" si="65"/>
        <v>704.79854445779904</v>
      </c>
      <c r="CD114" s="59">
        <f ca="1">AVERAGE(OFFSET($CC$3,0,0,'Données projet'!$E$12+1,1))-AVERAGE(OFFSET($H$3,0,0,'Données projet'!$E$12+1,1))</f>
        <v>410.75375635525211</v>
      </c>
      <c r="CE114" s="59">
        <f t="shared" si="94"/>
        <v>183.55513001437367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30.818758785794099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30.818758785794099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6</v>
      </c>
      <c r="CT114" s="12">
        <f>IF('Données projet'!$A$140&gt;35,CT113+CS114-DB113,IF(A114&lt;'Données projet'!$A$140,$CQ$205^A114,IF(A114='Données projet'!$A$140,'Données projet'!$B$140,CT113+CS114-DB113)))</f>
        <v>271.99999999999994</v>
      </c>
      <c r="CU114" s="17">
        <f>CT114*VLOOKUP('Données projet'!$B$13,Paramètres!$A$1:$I$89,3,0)*VLOOKUP('Données projet'!$B$13,Paramètres!$A$1:$I$89,5,0)</f>
        <v>246.10559999999995</v>
      </c>
      <c r="CV114" s="13">
        <f t="shared" si="95"/>
        <v>59.751253234371873</v>
      </c>
      <c r="CW114" s="20">
        <f t="shared" si="67"/>
        <v>532.7006860498642</v>
      </c>
      <c r="CX114" s="59">
        <f t="shared" si="68"/>
        <v>826.03401938319757</v>
      </c>
      <c r="CY114" s="59">
        <f ca="1">AVERAGE(OFFSET($CX$3,0,0,'Données projet'!$E$13+1,1))-AVERAGE(OFFSET($H$3,0,0,'Données projet'!$E$13+1,1))</f>
        <v>436.12708882925142</v>
      </c>
      <c r="CZ114" s="59">
        <f t="shared" si="96"/>
        <v>217.65884352525285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32.981478836697697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32.981478836697697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3.4106051316484809E-13</v>
      </c>
      <c r="DP114" s="17">
        <f>DO114*VLOOKUP('Données projet'!$B$14,Paramètres!$A$1:$I$89,3,0)*VLOOKUP('Données projet'!$B$14,Paramètres!$A$1:$I$89,5,0)</f>
        <v>3.2455318432766944E-13</v>
      </c>
      <c r="DQ114" s="13">
        <f t="shared" si="97"/>
        <v>4.2513245787534721E-12</v>
      </c>
      <c r="DR114" s="20">
        <f t="shared" si="70"/>
        <v>7.9696537706996534E-12</v>
      </c>
      <c r="DS114" s="59">
        <f t="shared" si="71"/>
        <v>293.33333333334127</v>
      </c>
      <c r="DT114" s="59">
        <f ca="1">AVERAGE(OFFSET($DS$3,0,0,'Données projet'!$E$14+1,1))-AVERAGE(OFFSET($H$3,0,0,'Données projet'!$E$14+1,1))</f>
        <v>735.50267870886194</v>
      </c>
      <c r="DU114" s="59">
        <f t="shared" si="98"/>
        <v>525.80345400853275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230.30850192610598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230.30850192610598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4.4444444444444446</v>
      </c>
      <c r="EJ114" s="12">
        <f>IF('Données projet'!$A$192&gt;35,EJ113+EI114-ER113,IF(A114&lt;'Données projet'!$A$192,$EG$205^A114,IF(A114='Données projet'!$A$192,'Données projet'!$B$192,EJ113+EI114-ER113)))</f>
        <v>186.33333333333374</v>
      </c>
      <c r="EK114" s="17">
        <f>EJ114*VLOOKUP('Données projet'!$B$15,Paramètres!$A$1:$I$89,3,0)*VLOOKUP('Données projet'!$B$15,Paramètres!$A$1:$I$89,5,0)</f>
        <v>119.17880000000027</v>
      </c>
      <c r="EL114" s="13">
        <f t="shared" si="99"/>
        <v>31.483391401270811</v>
      </c>
      <c r="EM114" s="20">
        <f t="shared" si="73"/>
        <v>262.40331669054711</v>
      </c>
      <c r="EN114" s="59">
        <f t="shared" si="74"/>
        <v>555.73665002388043</v>
      </c>
      <c r="EO114" s="59">
        <f ca="1">AVERAGE(OFFSET($EN$3,0,0,'Données projet'!$E$15+1,1))-AVERAGE(OFFSET($H$3,0,0,'Données projet'!$E$15+1,1))</f>
        <v>274.14900959323484</v>
      </c>
      <c r="EP114" s="59">
        <f t="shared" si="100"/>
        <v>130.44590390921582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19.439524772577816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19.439524772577816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-2.2737367544323206E-13</v>
      </c>
      <c r="FF114" s="17">
        <f>FE114*VLOOKUP('Données projet'!$B$16,Paramètres!$A$1:$I$89,3,0)*VLOOKUP('Données projet'!$B$16,Paramètres!$A$1:$I$89,5,0)</f>
        <v>-1.3596945791505279E-13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405.42845699663462</v>
      </c>
      <c r="FK114" s="59">
        <f t="shared" si="102"/>
        <v>292.26503163353146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128.36265876600791</v>
      </c>
      <c r="FR114" s="21">
        <f>EXP(-LN(2)/25)*FR113+(1-EXP(-LN(2)/25))/(LN(2)/25)*Calculateur!FM114*Calculateur!FO114*VLOOKUP('Données projet'!$B$16,Paramètres!$A$1:$I$89,3,0)*0.475*44/12</f>
        <v>48.018878755305373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176.38153752131328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-2.2737367544323206E-13</v>
      </c>
      <c r="GA114" s="17">
        <f>FZ114*VLOOKUP('Données projet'!$B$17,Paramètres!$A$1:$I$89,3,0)*VLOOKUP('Données projet'!$B$17,Paramètres!$A$1:$I$89,5,0)</f>
        <v>-1.3596945791505279E-13</v>
      </c>
      <c r="GB114" s="13" t="e">
        <f t="shared" si="103"/>
        <v>#NUM!</v>
      </c>
      <c r="GC114" s="20" t="e">
        <f t="shared" si="79"/>
        <v>#NUM!</v>
      </c>
      <c r="GD114" s="59" t="e">
        <f t="shared" si="80"/>
        <v>#NUM!</v>
      </c>
      <c r="GE114" s="59">
        <f ca="1">AVERAGE(OFFSET($GD$3,0,0,'Données projet'!$E$17+1,1))-AVERAGE(OFFSET($H$3,0,0,'Données projet'!$E$17+1,1))</f>
        <v>405.42845699663462</v>
      </c>
      <c r="GF114" s="59">
        <f t="shared" si="104"/>
        <v>292.26503163353146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128.36265876600791</v>
      </c>
      <c r="GM114" s="21">
        <f>EXP(-LN(2)/25)*GM113+(1-EXP(-LN(2)/25))/(LN(2)/25)*Calculateur!GH114*Calculateur!GJ114*VLOOKUP('Données projet'!$B$17,Paramètres!$A$1:$I$89,3,0)*0.475*44/12</f>
        <v>48.018878755305373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176.38153752131328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-5.3205440053716299E-14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198.26255998041</v>
      </c>
      <c r="T115" s="59">
        <f t="shared" si="88"/>
        <v>238.62101708181166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39.19726737958748</v>
      </c>
      <c r="AA115" s="21">
        <f>EXP(-LN(2)/25)*AA114+(1-EXP(-LN(2)/25))/(LN(2)/25)*Calculateur!V115*Calculateur!X115*VLOOKUP('Données projet'!$B$9,Paramètres!$A$1:$I$89,3,0)*0.475*44/12</f>
        <v>14.726890853666674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53.924158233254154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3.4106051316484809E-13</v>
      </c>
      <c r="AJ115" s="13">
        <f>AI115*VLOOKUP('Données projet'!$B$10,Paramètres!$A$1:$I$89,3,0)*VLOOKUP('Données projet'!$B$10,Paramètres!$A$1:$I$89,5,0)</f>
        <v>1.9065282685915009E-13</v>
      </c>
      <c r="AK115" s="13">
        <f t="shared" si="89"/>
        <v>2.6568987209435707E-12</v>
      </c>
      <c r="AL115" s="20">
        <f t="shared" si="58"/>
        <v>4.959485612423072E-12</v>
      </c>
      <c r="AM115" s="59">
        <f t="shared" si="59"/>
        <v>293.33333333333826</v>
      </c>
      <c r="AN115" s="59">
        <f ca="1">AVERAGE(OFFSET($AM$3,0,0,'Données projet'!$E$10+1,1))-AVERAGE(OFFSET($H$3,0,0,'Données projet'!$E$10+1,1))</f>
        <v>347.02720636703873</v>
      </c>
      <c r="AO115" s="59">
        <f t="shared" si="90"/>
        <v>394.03759949558702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85.56346476817852</v>
      </c>
      <c r="AV115" s="21">
        <f>EXP(-LN(2)/25)*AV114+(1-EXP(-LN(2)/25))/(LN(2)/25)*Calculateur!AQ115*Calculateur!AS115*VLOOKUP('Données projet'!$B$10,Paramètres!$A$1:$I$89,3,0)*0.475*44/12</f>
        <v>31.343922946230816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116.90738771440934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-3.4106051316484809E-13</v>
      </c>
      <c r="BE115" s="13">
        <f>BD115*VLOOKUP('Données projet'!$B$11,Paramètres!$A$1:$I$89,3,0)*VLOOKUP('Données projet'!$B$11,Paramètres!$A$1:$I$89,5,0)</f>
        <v>-2.0395418687257919E-13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378.75660696651238</v>
      </c>
      <c r="BJ115" s="59">
        <f t="shared" si="92"/>
        <v>371.70674704563288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84.6414537198456</v>
      </c>
      <c r="BQ115" s="21">
        <f>EXP(-LN(2)/25)*BQ114+(1-EXP(-LN(2)/25))/(LN(2)/25)*Calculateur!BL115*Calculateur!BN115*VLOOKUP('Données projet'!$B$11,Paramètres!$A$1:$I$89,3,0)*0.475*44/12</f>
        <v>30.28471648405862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114.92617020390422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4.4444444444444446</v>
      </c>
      <c r="BY115" s="12">
        <f>IF('Données projet'!$A$114&gt;35,BY114+BX115-CG114,IF(A115&lt;'Données projet'!$A$114,$BV$205^A115,IF(A115='Données projet'!$A$114,'Données projet'!$B$114,BY114+BX115-CG114)))</f>
        <v>190.7777777777782</v>
      </c>
      <c r="BZ115" s="13">
        <f>BY115*VLOOKUP('Données projet'!$B$12,Paramètres!$A$1:$I$89,3,0)*VLOOKUP('Données projet'!$B$12,Paramètres!$A$1:$I$89,5,0)</f>
        <v>193.44866666666709</v>
      </c>
      <c r="CA115" s="13">
        <f t="shared" si="93"/>
        <v>48.301604035994401</v>
      </c>
      <c r="CB115" s="20">
        <f t="shared" si="64"/>
        <v>421.04838814046872</v>
      </c>
      <c r="CC115" s="59">
        <f t="shared" si="65"/>
        <v>714.38172147380203</v>
      </c>
      <c r="CD115" s="59">
        <f ca="1">AVERAGE(OFFSET($CC$3,0,0,'Données projet'!$E$12+1,1))-AVERAGE(OFFSET($H$3,0,0,'Données projet'!$E$12+1,1))</f>
        <v>410.75375635525211</v>
      </c>
      <c r="CE115" s="59">
        <f t="shared" si="94"/>
        <v>183.55513001437367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30.214421723591428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30.214421723591428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6</v>
      </c>
      <c r="CT115" s="12">
        <f>IF('Données projet'!$A$140&gt;35,CT114+CS115-DB114,IF(A115&lt;'Données projet'!$A$140,$CQ$205^A115,IF(A115='Données projet'!$A$140,'Données projet'!$B$140,CT114+CS115-DB114)))</f>
        <v>277.99999999999994</v>
      </c>
      <c r="CU115" s="17">
        <f>CT115*VLOOKUP('Données projet'!$B$13,Paramètres!$A$1:$I$89,3,0)*VLOOKUP('Données projet'!$B$13,Paramètres!$A$1:$I$89,5,0)</f>
        <v>251.53439999999995</v>
      </c>
      <c r="CV115" s="13">
        <f t="shared" si="95"/>
        <v>60.914392418364585</v>
      </c>
      <c r="CW115" s="20">
        <f t="shared" si="67"/>
        <v>544.18164679531822</v>
      </c>
      <c r="CX115" s="59">
        <f t="shared" si="68"/>
        <v>837.51498012865159</v>
      </c>
      <c r="CY115" s="59">
        <f ca="1">AVERAGE(OFFSET($CX$3,0,0,'Données projet'!$E$13+1,1))-AVERAGE(OFFSET($H$3,0,0,'Données projet'!$E$13+1,1))</f>
        <v>436.12708882925142</v>
      </c>
      <c r="CZ115" s="59">
        <f t="shared" si="96"/>
        <v>217.65884352525285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32.334732153425783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32.334732153425783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3.4106051316484809E-13</v>
      </c>
      <c r="DP115" s="17">
        <f>DO115*VLOOKUP('Données projet'!$B$14,Paramètres!$A$1:$I$89,3,0)*VLOOKUP('Données projet'!$B$14,Paramètres!$A$1:$I$89,5,0)</f>
        <v>3.2455318432766944E-13</v>
      </c>
      <c r="DQ115" s="13">
        <f t="shared" si="97"/>
        <v>4.2513245787534721E-12</v>
      </c>
      <c r="DR115" s="20">
        <f t="shared" si="70"/>
        <v>7.9696537706996534E-12</v>
      </c>
      <c r="DS115" s="59">
        <f t="shared" si="71"/>
        <v>293.33333333334127</v>
      </c>
      <c r="DT115" s="59">
        <f ca="1">AVERAGE(OFFSET($DS$3,0,0,'Données projet'!$E$14+1,1))-AVERAGE(OFFSET($H$3,0,0,'Données projet'!$E$14+1,1))</f>
        <v>735.50267870886194</v>
      </c>
      <c r="DU115" s="59">
        <f t="shared" si="98"/>
        <v>525.80345400853275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225.79229267765052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225.79229267765052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4.4444444444444446</v>
      </c>
      <c r="EJ115" s="12">
        <f>IF('Données projet'!$A$192&gt;35,EJ114+EI115-ER114,IF(A115&lt;'Données projet'!$A$192,$EG$205^A115,IF(A115='Données projet'!$A$192,'Données projet'!$B$192,EJ114+EI115-ER114)))</f>
        <v>190.7777777777782</v>
      </c>
      <c r="EK115" s="17">
        <f>EJ115*VLOOKUP('Données projet'!$B$15,Paramètres!$A$1:$I$89,3,0)*VLOOKUP('Données projet'!$B$15,Paramètres!$A$1:$I$89,5,0)</f>
        <v>122.02146666666692</v>
      </c>
      <c r="EL115" s="13">
        <f t="shared" si="99"/>
        <v>32.14601383163086</v>
      </c>
      <c r="EM115" s="20">
        <f t="shared" si="73"/>
        <v>268.50836186786864</v>
      </c>
      <c r="EN115" s="59">
        <f t="shared" si="74"/>
        <v>561.8416952012019</v>
      </c>
      <c r="EO115" s="59">
        <f ca="1">AVERAGE(OFFSET($EN$3,0,0,'Données projet'!$E$15+1,1))-AVERAGE(OFFSET($H$3,0,0,'Données projet'!$E$15+1,1))</f>
        <v>274.14900959323484</v>
      </c>
      <c r="EP115" s="59">
        <f t="shared" si="100"/>
        <v>130.44590390921582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19.058327548726901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19.058327548726901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-2.2737367544323206E-13</v>
      </c>
      <c r="FF115" s="17">
        <f>FE115*VLOOKUP('Données projet'!$B$16,Paramètres!$A$1:$I$89,3,0)*VLOOKUP('Données projet'!$B$16,Paramètres!$A$1:$I$89,5,0)</f>
        <v>-1.3596945791505279E-13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405.42845699663462</v>
      </c>
      <c r="FK115" s="59">
        <f t="shared" si="102"/>
        <v>292.26503163353146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125.8455453210975</v>
      </c>
      <c r="FR115" s="21">
        <f>EXP(-LN(2)/25)*FR114+(1-EXP(-LN(2)/25))/(LN(2)/25)*Calculateur!FM115*Calculateur!FO115*VLOOKUP('Données projet'!$B$16,Paramètres!$A$1:$I$89,3,0)*0.475*44/12</f>
        <v>46.705799990538459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172.55134531163597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-2.2737367544323206E-13</v>
      </c>
      <c r="GA115" s="17">
        <f>FZ115*VLOOKUP('Données projet'!$B$17,Paramètres!$A$1:$I$89,3,0)*VLOOKUP('Données projet'!$B$17,Paramètres!$A$1:$I$89,5,0)</f>
        <v>-1.3596945791505279E-13</v>
      </c>
      <c r="GB115" s="13" t="e">
        <f t="shared" si="103"/>
        <v>#NUM!</v>
      </c>
      <c r="GC115" s="20" t="e">
        <f t="shared" si="79"/>
        <v>#NUM!</v>
      </c>
      <c r="GD115" s="59" t="e">
        <f t="shared" si="80"/>
        <v>#NUM!</v>
      </c>
      <c r="GE115" s="59">
        <f ca="1">AVERAGE(OFFSET($GD$3,0,0,'Données projet'!$E$17+1,1))-AVERAGE(OFFSET($H$3,0,0,'Données projet'!$E$17+1,1))</f>
        <v>405.42845699663462</v>
      </c>
      <c r="GF115" s="59">
        <f t="shared" si="104"/>
        <v>292.26503163353146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125.8455453210975</v>
      </c>
      <c r="GM115" s="21">
        <f>EXP(-LN(2)/25)*GM114+(1-EXP(-LN(2)/25))/(LN(2)/25)*Calculateur!GH115*Calculateur!GJ115*VLOOKUP('Données projet'!$B$17,Paramètres!$A$1:$I$89,3,0)*0.475*44/12</f>
        <v>46.705799990538459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172.55134531163597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-5.3205440053716299E-14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198.26255998041</v>
      </c>
      <c r="T116" s="59">
        <f t="shared" si="88"/>
        <v>238.62101708181166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38.428632874246155</v>
      </c>
      <c r="AA116" s="21">
        <f>EXP(-LN(2)/25)*AA115+(1-EXP(-LN(2)/25))/(LN(2)/25)*Calculateur!V116*Calculateur!X116*VLOOKUP('Données projet'!$B$9,Paramètres!$A$1:$I$89,3,0)*0.475*44/12</f>
        <v>14.324183248819628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52.752816123065784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3.4106051316484809E-13</v>
      </c>
      <c r="AJ116" s="13">
        <f>AI116*VLOOKUP('Données projet'!$B$10,Paramètres!$A$1:$I$89,3,0)*VLOOKUP('Données projet'!$B$10,Paramètres!$A$1:$I$89,5,0)</f>
        <v>1.9065282685915009E-13</v>
      </c>
      <c r="AK116" s="13">
        <f t="shared" si="89"/>
        <v>2.6568987209435707E-12</v>
      </c>
      <c r="AL116" s="20">
        <f t="shared" si="58"/>
        <v>4.959485612423072E-12</v>
      </c>
      <c r="AM116" s="59">
        <f t="shared" si="59"/>
        <v>293.33333333333826</v>
      </c>
      <c r="AN116" s="59">
        <f ca="1">AVERAGE(OFFSET($AM$3,0,0,'Données projet'!$E$10+1,1))-AVERAGE(OFFSET($H$3,0,0,'Données projet'!$E$10+1,1))</f>
        <v>347.02720636703873</v>
      </c>
      <c r="AO116" s="59">
        <f t="shared" si="90"/>
        <v>394.03759949558702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83.885617412634858</v>
      </c>
      <c r="AV116" s="21">
        <f>EXP(-LN(2)/25)*AV115+(1-EXP(-LN(2)/25))/(LN(2)/25)*Calculateur!AQ116*Calculateur!AS116*VLOOKUP('Données projet'!$B$10,Paramètres!$A$1:$I$89,3,0)*0.475*44/12</f>
        <v>30.486821724960862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114.37243913759572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-3.4106051316484809E-13</v>
      </c>
      <c r="BE116" s="13">
        <f>BD116*VLOOKUP('Données projet'!$B$11,Paramètres!$A$1:$I$89,3,0)*VLOOKUP('Données projet'!$B$11,Paramètres!$A$1:$I$89,5,0)</f>
        <v>-2.0395418687257919E-13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378.75660696651238</v>
      </c>
      <c r="BJ116" s="59">
        <f t="shared" si="92"/>
        <v>371.70674704563288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82.98168643858854</v>
      </c>
      <c r="BQ116" s="21">
        <f>EXP(-LN(2)/25)*BQ115+(1-EXP(-LN(2)/25))/(LN(2)/25)*Calculateur!BL116*Calculateur!BN116*VLOOKUP('Données projet'!$B$11,Paramètres!$A$1:$I$89,3,0)*0.475*44/12</f>
        <v>29.456579319198013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112.43826575778655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4.4444444444444446</v>
      </c>
      <c r="BY116" s="12">
        <f>IF('Données projet'!$A$114&gt;35,BY115+BX116-CG115,IF(A116&lt;'Données projet'!$A$114,$BV$205^A116,IF(A116='Données projet'!$A$114,'Données projet'!$B$114,BY115+BX116-CG115)))</f>
        <v>195.22222222222265</v>
      </c>
      <c r="BZ116" s="13">
        <f>BY116*VLOOKUP('Données projet'!$B$12,Paramètres!$A$1:$I$89,3,0)*VLOOKUP('Données projet'!$B$12,Paramètres!$A$1:$I$89,5,0)</f>
        <v>197.95533333333378</v>
      </c>
      <c r="CA116" s="13">
        <f t="shared" si="93"/>
        <v>49.294543489407985</v>
      </c>
      <c r="CB116" s="20">
        <f t="shared" si="64"/>
        <v>430.62686879960853</v>
      </c>
      <c r="CC116" s="59">
        <f t="shared" si="65"/>
        <v>723.96020213294184</v>
      </c>
      <c r="CD116" s="59">
        <f ca="1">AVERAGE(OFFSET($CC$3,0,0,'Données projet'!$E$12+1,1))-AVERAGE(OFFSET($H$3,0,0,'Données projet'!$E$12+1,1))</f>
        <v>410.75375635525211</v>
      </c>
      <c r="CE116" s="59">
        <f t="shared" si="94"/>
        <v>183.55513001437367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29.621935342569341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29.621935342569341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>
        <f>VLOOKUP(A116,'Données projet'!$A$139:$I$159,2,0)</f>
        <v>284</v>
      </c>
      <c r="CR116" s="12">
        <f>VLOOKUP(A116,'Données projet'!$A$139:$I$159,9,0)</f>
        <v>6</v>
      </c>
      <c r="CS116" s="12">
        <f t="array" ref="CS116">INDEX(CR:CR,MIN(IF(ISNUMBER(CR116:CR312),ROW(CR116:CR312),"")))</f>
        <v>6</v>
      </c>
      <c r="CT116" s="12">
        <f>IF('Données projet'!$A$140&gt;35,CT115+CS116-DB115,IF(A116&lt;'Données projet'!$A$140,$CQ$205^A116,IF(A116='Données projet'!$A$140,'Données projet'!$B$140,CT115+CS116-DB115)))</f>
        <v>283.99999999999994</v>
      </c>
      <c r="CU116" s="17">
        <f>CT116*VLOOKUP('Données projet'!$B$13,Paramètres!$A$1:$I$89,3,0)*VLOOKUP('Données projet'!$B$13,Paramètres!$A$1:$I$89,5,0)</f>
        <v>256.96319999999992</v>
      </c>
      <c r="CV116" s="13">
        <f t="shared" si="95"/>
        <v>62.074612956838024</v>
      </c>
      <c r="CW116" s="20">
        <f t="shared" si="67"/>
        <v>555.65752423315928</v>
      </c>
      <c r="CX116" s="59">
        <f t="shared" si="68"/>
        <v>848.99085756649265</v>
      </c>
      <c r="CY116" s="59">
        <f ca="1">AVERAGE(OFFSET($CX$3,0,0,'Données projet'!$E$13+1,1))-AVERAGE(OFFSET($H$3,0,0,'Données projet'!$E$13+1,1))</f>
        <v>436.12708882925142</v>
      </c>
      <c r="CZ116" s="59">
        <f t="shared" si="96"/>
        <v>217.65884352525285</v>
      </c>
      <c r="DA116" s="15">
        <f>IF(ISNA(VLOOKUP(A116,'Données projet'!$A$139:$I$159,3,0)),0,VLOOKUP(A116,'Données projet'!$A$139:$I$159,3,0))</f>
        <v>9</v>
      </c>
      <c r="DB116" s="15">
        <f>IF(ISNA(VLOOKUP(A116,'Données projet'!$A$139:$I$159,4,0)),0,VLOOKUP(A116,'Données projet'!$A$139:$I$159,4,0))</f>
        <v>42</v>
      </c>
      <c r="DC116" s="16">
        <f>IF(ISNA(VLOOKUP(A116,'Données projet'!$A$139:$I$159,5,0)),0%,VLOOKUP(A116,'Données projet'!$A$139:$I$159,5,0)*VLOOKUP('Données projet'!$B$13,Paramètres!$A$1:$I$89,7,0))</f>
        <v>0.25800000000000001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42.539155717250019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42.539155717250019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3.4106051316484809E-13</v>
      </c>
      <c r="DP116" s="17">
        <f>DO116*VLOOKUP('Données projet'!$B$14,Paramètres!$A$1:$I$89,3,0)*VLOOKUP('Données projet'!$B$14,Paramètres!$A$1:$I$89,5,0)</f>
        <v>3.2455318432766944E-13</v>
      </c>
      <c r="DQ116" s="13">
        <f t="shared" si="97"/>
        <v>4.2513245787534721E-12</v>
      </c>
      <c r="DR116" s="20">
        <f t="shared" si="70"/>
        <v>7.9696537706996534E-12</v>
      </c>
      <c r="DS116" s="59">
        <f t="shared" si="71"/>
        <v>293.33333333334127</v>
      </c>
      <c r="DT116" s="59">
        <f ca="1">AVERAGE(OFFSET($DS$3,0,0,'Données projet'!$E$14+1,1))-AVERAGE(OFFSET($H$3,0,0,'Données projet'!$E$14+1,1))</f>
        <v>735.50267870886194</v>
      </c>
      <c r="DU116" s="59">
        <f t="shared" si="98"/>
        <v>525.80345400853275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221.36464353794165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221.36464353794165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4.4444444444444446</v>
      </c>
      <c r="EJ116" s="12">
        <f>IF('Données projet'!$A$192&gt;35,EJ115+EI116-ER115,IF(A116&lt;'Données projet'!$A$192,$EG$205^A116,IF(A116='Données projet'!$A$192,'Données projet'!$B$192,EJ115+EI116-ER115)))</f>
        <v>195.22222222222265</v>
      </c>
      <c r="EK116" s="17">
        <f>EJ116*VLOOKUP('Données projet'!$B$15,Paramètres!$A$1:$I$89,3,0)*VLOOKUP('Données projet'!$B$15,Paramètres!$A$1:$I$89,5,0)</f>
        <v>124.8641333333336</v>
      </c>
      <c r="EL116" s="13">
        <f t="shared" si="99"/>
        <v>32.806841686946363</v>
      </c>
      <c r="EM116" s="20">
        <f t="shared" si="73"/>
        <v>274.61028149365421</v>
      </c>
      <c r="EN116" s="59">
        <f t="shared" si="74"/>
        <v>567.94361482698753</v>
      </c>
      <c r="EO116" s="59">
        <f ca="1">AVERAGE(OFFSET($EN$3,0,0,'Données projet'!$E$15+1,1))-AVERAGE(OFFSET($H$3,0,0,'Données projet'!$E$15+1,1))</f>
        <v>274.14900959323484</v>
      </c>
      <c r="EP116" s="59">
        <f t="shared" si="100"/>
        <v>130.44590390921582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18.684605369928352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18.684605369928352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-2.2737367544323206E-13</v>
      </c>
      <c r="FF116" s="17">
        <f>FE116*VLOOKUP('Données projet'!$B$16,Paramètres!$A$1:$I$89,3,0)*VLOOKUP('Données projet'!$B$16,Paramètres!$A$1:$I$89,5,0)</f>
        <v>-1.3596945791505279E-13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405.42845699663462</v>
      </c>
      <c r="FK116" s="59">
        <f t="shared" si="102"/>
        <v>292.26503163353146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123.37779093555419</v>
      </c>
      <c r="FR116" s="21">
        <f>EXP(-LN(2)/25)*FR115+(1-EXP(-LN(2)/25))/(LN(2)/25)*Calculateur!FM116*Calculateur!FO116*VLOOKUP('Données projet'!$B$16,Paramètres!$A$1:$I$89,3,0)*0.475*44/12</f>
        <v>45.428627433645914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168.80641836920012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-2.2737367544323206E-13</v>
      </c>
      <c r="GA116" s="17">
        <f>FZ116*VLOOKUP('Données projet'!$B$17,Paramètres!$A$1:$I$89,3,0)*VLOOKUP('Données projet'!$B$17,Paramètres!$A$1:$I$89,5,0)</f>
        <v>-1.3596945791505279E-13</v>
      </c>
      <c r="GB116" s="13" t="e">
        <f t="shared" si="103"/>
        <v>#NUM!</v>
      </c>
      <c r="GC116" s="20" t="e">
        <f t="shared" si="79"/>
        <v>#NUM!</v>
      </c>
      <c r="GD116" s="59" t="e">
        <f t="shared" si="80"/>
        <v>#NUM!</v>
      </c>
      <c r="GE116" s="59">
        <f ca="1">AVERAGE(OFFSET($GD$3,0,0,'Données projet'!$E$17+1,1))-AVERAGE(OFFSET($H$3,0,0,'Données projet'!$E$17+1,1))</f>
        <v>405.42845699663462</v>
      </c>
      <c r="GF116" s="59">
        <f t="shared" si="104"/>
        <v>292.26503163353146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123.37779093555419</v>
      </c>
      <c r="GM116" s="21">
        <f>EXP(-LN(2)/25)*GM115+(1-EXP(-LN(2)/25))/(LN(2)/25)*Calculateur!GH116*Calculateur!GJ116*VLOOKUP('Données projet'!$B$17,Paramètres!$A$1:$I$89,3,0)*0.475*44/12</f>
        <v>45.428627433645914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168.80641836920012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-5.3205440053716299E-14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198.26255998041</v>
      </c>
      <c r="T117" s="59">
        <f t="shared" si="88"/>
        <v>238.62101708181166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37.675070822733815</v>
      </c>
      <c r="AA117" s="21">
        <f>EXP(-LN(2)/25)*AA116+(1-EXP(-LN(2)/25))/(LN(2)/25)*Calculateur!V117*Calculateur!X117*VLOOKUP('Données projet'!$B$9,Paramètres!$A$1:$I$89,3,0)*0.475*44/12</f>
        <v>13.932487704604597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51.607558527338412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3.4106051316484809E-13</v>
      </c>
      <c r="AJ117" s="13">
        <f>AI117*VLOOKUP('Données projet'!$B$10,Paramètres!$A$1:$I$89,3,0)*VLOOKUP('Données projet'!$B$10,Paramètres!$A$1:$I$89,5,0)</f>
        <v>1.9065282685915009E-13</v>
      </c>
      <c r="AK117" s="13">
        <f t="shared" si="89"/>
        <v>2.6568987209435707E-12</v>
      </c>
      <c r="AL117" s="20">
        <f t="shared" si="58"/>
        <v>4.959485612423072E-12</v>
      </c>
      <c r="AM117" s="59">
        <f t="shared" si="59"/>
        <v>293.33333333333826</v>
      </c>
      <c r="AN117" s="59">
        <f ca="1">AVERAGE(OFFSET($AM$3,0,0,'Données projet'!$E$10+1,1))-AVERAGE(OFFSET($H$3,0,0,'Données projet'!$E$10+1,1))</f>
        <v>347.02720636703873</v>
      </c>
      <c r="AO117" s="59">
        <f t="shared" si="90"/>
        <v>394.03759949558702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82.24067162034757</v>
      </c>
      <c r="AV117" s="21">
        <f>EXP(-LN(2)/25)*AV116+(1-EXP(-LN(2)/25))/(LN(2)/25)*Calculateur!AQ117*Calculateur!AS117*VLOOKUP('Données projet'!$B$10,Paramètres!$A$1:$I$89,3,0)*0.475*44/12</f>
        <v>29.653157981659533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111.8938296020071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-3.4106051316484809E-13</v>
      </c>
      <c r="BE117" s="13">
        <f>BD117*VLOOKUP('Données projet'!$B$11,Paramètres!$A$1:$I$89,3,0)*VLOOKUP('Données projet'!$B$11,Paramètres!$A$1:$I$89,5,0)</f>
        <v>-2.0395418687257919E-13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378.75660696651238</v>
      </c>
      <c r="BJ117" s="59">
        <f t="shared" si="92"/>
        <v>371.70674704563288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81.354466181358845</v>
      </c>
      <c r="BQ117" s="21">
        <f>EXP(-LN(2)/25)*BQ116+(1-EXP(-LN(2)/25))/(LN(2)/25)*Calculateur!BL117*Calculateur!BN117*VLOOKUP('Données projet'!$B$11,Paramètres!$A$1:$I$89,3,0)*0.475*44/12</f>
        <v>28.651087608660362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110.00555379001921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4.4444444444444446</v>
      </c>
      <c r="BY117" s="12">
        <f>IF('Données projet'!$A$114&gt;35,BY116+BX117-CG116,IF(A117&lt;'Données projet'!$A$114,$BV$205^A117,IF(A117='Données projet'!$A$114,'Données projet'!$B$114,BY116+BX117-CG116)))</f>
        <v>199.66666666666711</v>
      </c>
      <c r="BZ117" s="13">
        <f>BY117*VLOOKUP('Données projet'!$B$12,Paramètres!$A$1:$I$89,3,0)*VLOOKUP('Données projet'!$B$12,Paramètres!$A$1:$I$89,5,0)</f>
        <v>202.46200000000044</v>
      </c>
      <c r="CA117" s="13">
        <f t="shared" si="93"/>
        <v>50.284854924894184</v>
      </c>
      <c r="CB117" s="20">
        <f t="shared" si="64"/>
        <v>440.20077232752482</v>
      </c>
      <c r="CC117" s="59">
        <f t="shared" si="65"/>
        <v>733.53410566085813</v>
      </c>
      <c r="CD117" s="59">
        <f ca="1">AVERAGE(OFFSET($CC$3,0,0,'Données projet'!$E$12+1,1))-AVERAGE(OFFSET($H$3,0,0,'Données projet'!$E$12+1,1))</f>
        <v>410.75375635525211</v>
      </c>
      <c r="CE117" s="59">
        <f t="shared" si="94"/>
        <v>183.55513001437367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29.041067258098089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29.041067258098089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6.4</v>
      </c>
      <c r="CT117" s="12">
        <f>IF('Données projet'!$A$140&gt;35,CT116+CS117-DB116,IF(A117&lt;'Données projet'!$A$140,$CQ$205^A117,IF(A117='Données projet'!$A$140,'Données projet'!$B$140,CT116+CS117-DB116)))</f>
        <v>248.39999999999992</v>
      </c>
      <c r="CU117" s="17">
        <f>CT117*VLOOKUP('Données projet'!$B$13,Paramètres!$A$1:$I$89,3,0)*VLOOKUP('Données projet'!$B$13,Paramètres!$A$1:$I$89,5,0)</f>
        <v>224.75231999999991</v>
      </c>
      <c r="CV117" s="13">
        <f t="shared" si="95"/>
        <v>55.146490754971083</v>
      </c>
      <c r="CW117" s="20">
        <f t="shared" si="67"/>
        <v>487.49042873157447</v>
      </c>
      <c r="CX117" s="59">
        <f t="shared" si="68"/>
        <v>780.82376206490778</v>
      </c>
      <c r="CY117" s="59">
        <f ca="1">AVERAGE(OFFSET($CX$3,0,0,'Données projet'!$E$13+1,1))-AVERAGE(OFFSET($H$3,0,0,'Données projet'!$E$13+1,1))</f>
        <v>436.12708882925142</v>
      </c>
      <c r="CZ117" s="59">
        <f t="shared" si="96"/>
        <v>217.65884352525285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41.704988819957748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41.704988819957748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3.4106051316484809E-13</v>
      </c>
      <c r="DP117" s="17">
        <f>DO117*VLOOKUP('Données projet'!$B$14,Paramètres!$A$1:$I$89,3,0)*VLOOKUP('Données projet'!$B$14,Paramètres!$A$1:$I$89,5,0)</f>
        <v>3.2455318432766944E-13</v>
      </c>
      <c r="DQ117" s="13">
        <f t="shared" si="97"/>
        <v>4.2513245787534721E-12</v>
      </c>
      <c r="DR117" s="20">
        <f t="shared" si="70"/>
        <v>7.9696537706996534E-12</v>
      </c>
      <c r="DS117" s="59">
        <f t="shared" si="71"/>
        <v>293.33333333334127</v>
      </c>
      <c r="DT117" s="59">
        <f ca="1">AVERAGE(OFFSET($DS$3,0,0,'Données projet'!$E$14+1,1))-AVERAGE(OFFSET($H$3,0,0,'Données projet'!$E$14+1,1))</f>
        <v>735.50267870886194</v>
      </c>
      <c r="DU117" s="59">
        <f t="shared" si="98"/>
        <v>525.80345400853275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217.02381789726314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217.02381789726314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4.4444444444444446</v>
      </c>
      <c r="EJ117" s="12">
        <f>IF('Données projet'!$A$192&gt;35,EJ116+EI117-ER116,IF(A117&lt;'Données projet'!$A$192,$EG$205^A117,IF(A117='Données projet'!$A$192,'Données projet'!$B$192,EJ116+EI117-ER116)))</f>
        <v>199.66666666666711</v>
      </c>
      <c r="EK117" s="17">
        <f>EJ117*VLOOKUP('Données projet'!$B$15,Paramètres!$A$1:$I$89,3,0)*VLOOKUP('Données projet'!$B$15,Paramètres!$A$1:$I$89,5,0)</f>
        <v>127.70680000000029</v>
      </c>
      <c r="EL117" s="13">
        <f t="shared" si="99"/>
        <v>33.465920525798971</v>
      </c>
      <c r="EM117" s="20">
        <f t="shared" si="73"/>
        <v>280.70915491576704</v>
      </c>
      <c r="EN117" s="59">
        <f t="shared" si="74"/>
        <v>574.04248824910042</v>
      </c>
      <c r="EO117" s="59">
        <f ca="1">AVERAGE(OFFSET($EN$3,0,0,'Données projet'!$E$15+1,1))-AVERAGE(OFFSET($H$3,0,0,'Données projet'!$E$15+1,1))</f>
        <v>274.14900959323484</v>
      </c>
      <c r="EP117" s="59">
        <f t="shared" si="100"/>
        <v>130.44590390921582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18.318211655108023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18.318211655108023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-2.2737367544323206E-13</v>
      </c>
      <c r="FF117" s="17">
        <f>FE117*VLOOKUP('Données projet'!$B$16,Paramètres!$A$1:$I$89,3,0)*VLOOKUP('Données projet'!$B$16,Paramètres!$A$1:$I$89,5,0)</f>
        <v>-1.3596945791505279E-13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405.42845699663462</v>
      </c>
      <c r="FK117" s="59">
        <f t="shared" si="102"/>
        <v>292.26503163353146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120.95842770832982</v>
      </c>
      <c r="FR117" s="21">
        <f>EXP(-LN(2)/25)*FR116+(1-EXP(-LN(2)/25))/(LN(2)/25)*Calculateur!FM117*Calculateur!FO117*VLOOKUP('Données projet'!$B$16,Paramètres!$A$1:$I$89,3,0)*0.475*44/12</f>
        <v>44.186379227485176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165.14480693581498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-2.2737367544323206E-13</v>
      </c>
      <c r="GA117" s="17">
        <f>FZ117*VLOOKUP('Données projet'!$B$17,Paramètres!$A$1:$I$89,3,0)*VLOOKUP('Données projet'!$B$17,Paramètres!$A$1:$I$89,5,0)</f>
        <v>-1.3596945791505279E-13</v>
      </c>
      <c r="GB117" s="13" t="e">
        <f t="shared" si="103"/>
        <v>#NUM!</v>
      </c>
      <c r="GC117" s="20" t="e">
        <f t="shared" si="79"/>
        <v>#NUM!</v>
      </c>
      <c r="GD117" s="59" t="e">
        <f t="shared" si="80"/>
        <v>#NUM!</v>
      </c>
      <c r="GE117" s="59">
        <f ca="1">AVERAGE(OFFSET($GD$3,0,0,'Données projet'!$E$17+1,1))-AVERAGE(OFFSET($H$3,0,0,'Données projet'!$E$17+1,1))</f>
        <v>405.42845699663462</v>
      </c>
      <c r="GF117" s="59">
        <f t="shared" si="104"/>
        <v>292.26503163353146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120.95842770832982</v>
      </c>
      <c r="GM117" s="21">
        <f>EXP(-LN(2)/25)*GM116+(1-EXP(-LN(2)/25))/(LN(2)/25)*Calculateur!GH117*Calculateur!GJ117*VLOOKUP('Données projet'!$B$17,Paramètres!$A$1:$I$89,3,0)*0.475*44/12</f>
        <v>44.186379227485176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165.14480693581498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-5.3205440053716299E-14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198.26255998041</v>
      </c>
      <c r="T118" s="59">
        <f t="shared" si="88"/>
        <v>238.62101708181166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36.936285663424165</v>
      </c>
      <c r="AA118" s="21">
        <f>EXP(-LN(2)/25)*AA117+(1-EXP(-LN(2)/25))/(LN(2)/25)*Calculateur!V118*Calculateur!X118*VLOOKUP('Données projet'!$B$9,Paramètres!$A$1:$I$89,3,0)*0.475*44/12</f>
        <v>13.551503095644499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50.487788759068664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3.4106051316484809E-13</v>
      </c>
      <c r="AJ118" s="13">
        <f>AI118*VLOOKUP('Données projet'!$B$10,Paramètres!$A$1:$I$89,3,0)*VLOOKUP('Données projet'!$B$10,Paramètres!$A$1:$I$89,5,0)</f>
        <v>1.9065282685915009E-13</v>
      </c>
      <c r="AK118" s="13">
        <f t="shared" si="89"/>
        <v>2.6568987209435707E-12</v>
      </c>
      <c r="AL118" s="20">
        <f t="shared" si="58"/>
        <v>4.959485612423072E-12</v>
      </c>
      <c r="AM118" s="59">
        <f t="shared" si="59"/>
        <v>293.33333333333826</v>
      </c>
      <c r="AN118" s="59">
        <f ca="1">AVERAGE(OFFSET($AM$3,0,0,'Données projet'!$E$10+1,1))-AVERAGE(OFFSET($H$3,0,0,'Données projet'!$E$10+1,1))</f>
        <v>347.02720636703873</v>
      </c>
      <c r="AO118" s="59">
        <f t="shared" si="90"/>
        <v>394.03759949558702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80.627982211729176</v>
      </c>
      <c r="AV118" s="21">
        <f>EXP(-LN(2)/25)*AV117+(1-EXP(-LN(2)/25))/(LN(2)/25)*Calculateur!AQ118*Calculateur!AS118*VLOOKUP('Données projet'!$B$10,Paramètres!$A$1:$I$89,3,0)*0.475*44/12</f>
        <v>28.842290817259247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109.47027302898843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-3.4106051316484809E-13</v>
      </c>
      <c r="BE118" s="13">
        <f>BD118*VLOOKUP('Données projet'!$B$11,Paramètres!$A$1:$I$89,3,0)*VLOOKUP('Données projet'!$B$11,Paramètres!$A$1:$I$89,5,0)</f>
        <v>-2.0395418687257919E-13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378.75660696651238</v>
      </c>
      <c r="BJ118" s="59">
        <f t="shared" si="92"/>
        <v>371.70674704563288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79.759154720867073</v>
      </c>
      <c r="BQ118" s="21">
        <f>EXP(-LN(2)/25)*BQ117+(1-EXP(-LN(2)/25))/(LN(2)/25)*Calculateur!BL118*Calculateur!BN118*VLOOKUP('Données projet'!$B$11,Paramètres!$A$1:$I$89,3,0)*0.475*44/12</f>
        <v>27.867622111306328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107.62677683217341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4.4444444444444446</v>
      </c>
      <c r="BY118" s="12">
        <f>IF('Données projet'!$A$114&gt;35,BY117+BX118-CG117,IF(A118&lt;'Données projet'!$A$114,$BV$205^A118,IF(A118='Données projet'!$A$114,'Données projet'!$B$114,BY117+BX118-CG117)))</f>
        <v>204.11111111111157</v>
      </c>
      <c r="BZ118" s="13">
        <f>BY118*VLOOKUP('Données projet'!$B$12,Paramètres!$A$1:$I$89,3,0)*VLOOKUP('Données projet'!$B$12,Paramètres!$A$1:$I$89,5,0)</f>
        <v>206.96866666666716</v>
      </c>
      <c r="CA118" s="13">
        <f t="shared" si="93"/>
        <v>51.272603575854859</v>
      </c>
      <c r="CB118" s="20">
        <f t="shared" si="64"/>
        <v>449.77021233905924</v>
      </c>
      <c r="CC118" s="59">
        <f t="shared" si="65"/>
        <v>743.10354567239256</v>
      </c>
      <c r="CD118" s="59">
        <f ca="1">AVERAGE(OFFSET($CC$3,0,0,'Données projet'!$E$12+1,1))-AVERAGE(OFFSET($H$3,0,0,'Données projet'!$E$12+1,1))</f>
        <v>410.75375635525211</v>
      </c>
      <c r="CE118" s="59">
        <f t="shared" si="94"/>
        <v>183.55513001437367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28.471589642468768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28.471589642468768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6.4</v>
      </c>
      <c r="CT118" s="12">
        <f>IF('Données projet'!$A$140&gt;35,CT117+CS118-DB117,IF(A118&lt;'Données projet'!$A$140,$CQ$205^A118,IF(A118='Données projet'!$A$140,'Données projet'!$B$140,CT117+CS118-DB117)))</f>
        <v>254.79999999999993</v>
      </c>
      <c r="CU118" s="17">
        <f>CT118*VLOOKUP('Données projet'!$B$13,Paramètres!$A$1:$I$89,3,0)*VLOOKUP('Données projet'!$B$13,Paramètres!$A$1:$I$89,5,0)</f>
        <v>230.54303999999991</v>
      </c>
      <c r="CV118" s="13">
        <f t="shared" si="95"/>
        <v>56.400083354856683</v>
      </c>
      <c r="CW118" s="20">
        <f t="shared" si="67"/>
        <v>499.75927317637519</v>
      </c>
      <c r="CX118" s="59">
        <f t="shared" si="68"/>
        <v>793.0926065097085</v>
      </c>
      <c r="CY118" s="59">
        <f ca="1">AVERAGE(OFFSET($CX$3,0,0,'Données projet'!$E$13+1,1))-AVERAGE(OFFSET($H$3,0,0,'Données projet'!$E$13+1,1))</f>
        <v>436.12708882925142</v>
      </c>
      <c r="CZ118" s="59">
        <f t="shared" si="96"/>
        <v>217.65884352525285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40.887179426729809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40.887179426729809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3.4106051316484809E-13</v>
      </c>
      <c r="DP118" s="17">
        <f>DO118*VLOOKUP('Données projet'!$B$14,Paramètres!$A$1:$I$89,3,0)*VLOOKUP('Données projet'!$B$14,Paramètres!$A$1:$I$89,5,0)</f>
        <v>3.2455318432766944E-13</v>
      </c>
      <c r="DQ118" s="13">
        <f t="shared" si="97"/>
        <v>4.2513245787534721E-12</v>
      </c>
      <c r="DR118" s="20">
        <f t="shared" si="70"/>
        <v>7.9696537706996534E-12</v>
      </c>
      <c r="DS118" s="59">
        <f t="shared" si="71"/>
        <v>293.33333333334127</v>
      </c>
      <c r="DT118" s="59">
        <f ca="1">AVERAGE(OFFSET($DS$3,0,0,'Données projet'!$E$14+1,1))-AVERAGE(OFFSET($H$3,0,0,'Données projet'!$E$14+1,1))</f>
        <v>735.50267870886194</v>
      </c>
      <c r="DU118" s="59">
        <f t="shared" si="98"/>
        <v>525.80345400853275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212.76811319975613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212.76811319975613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4.4444444444444446</v>
      </c>
      <c r="EJ118" s="12">
        <f>IF('Données projet'!$A$192&gt;35,EJ117+EI118-ER117,IF(A118&lt;'Données projet'!$A$192,$EG$205^A118,IF(A118='Données projet'!$A$192,'Données projet'!$B$192,EJ117+EI118-ER117)))</f>
        <v>204.11111111111157</v>
      </c>
      <c r="EK118" s="17">
        <f>EJ118*VLOOKUP('Données projet'!$B$15,Paramètres!$A$1:$I$89,3,0)*VLOOKUP('Données projet'!$B$15,Paramètres!$A$1:$I$89,5,0)</f>
        <v>130.54946666666694</v>
      </c>
      <c r="EL118" s="13">
        <f t="shared" si="99"/>
        <v>34.123293762768355</v>
      </c>
      <c r="EM118" s="20">
        <f t="shared" si="73"/>
        <v>286.80505774793318</v>
      </c>
      <c r="EN118" s="59">
        <f t="shared" si="74"/>
        <v>580.13839108126649</v>
      </c>
      <c r="EO118" s="59">
        <f ca="1">AVERAGE(OFFSET($EN$3,0,0,'Données projet'!$E$15+1,1))-AVERAGE(OFFSET($H$3,0,0,'Données projet'!$E$15+1,1))</f>
        <v>274.14900959323484</v>
      </c>
      <c r="EP118" s="59">
        <f t="shared" si="100"/>
        <v>130.44590390921582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17.959002697557221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17.959002697557221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-2.2737367544323206E-13</v>
      </c>
      <c r="FF118" s="17">
        <f>FE118*VLOOKUP('Données projet'!$B$16,Paramètres!$A$1:$I$89,3,0)*VLOOKUP('Données projet'!$B$16,Paramètres!$A$1:$I$89,5,0)</f>
        <v>-1.3596945791505279E-13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405.42845699663462</v>
      </c>
      <c r="FK118" s="59">
        <f t="shared" si="102"/>
        <v>292.26503163353146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118.58650671832547</v>
      </c>
      <c r="FR118" s="21">
        <f>EXP(-LN(2)/25)*FR117+(1-EXP(-LN(2)/25))/(LN(2)/25)*Calculateur!FM118*Calculateur!FO118*VLOOKUP('Données projet'!$B$16,Paramètres!$A$1:$I$89,3,0)*0.475*44/12</f>
        <v>42.978100363848903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161.56460708217438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-2.2737367544323206E-13</v>
      </c>
      <c r="GA118" s="17">
        <f>FZ118*VLOOKUP('Données projet'!$B$17,Paramètres!$A$1:$I$89,3,0)*VLOOKUP('Données projet'!$B$17,Paramètres!$A$1:$I$89,5,0)</f>
        <v>-1.3596945791505279E-13</v>
      </c>
      <c r="GB118" s="13" t="e">
        <f t="shared" si="103"/>
        <v>#NUM!</v>
      </c>
      <c r="GC118" s="20" t="e">
        <f t="shared" si="79"/>
        <v>#NUM!</v>
      </c>
      <c r="GD118" s="59" t="e">
        <f t="shared" si="80"/>
        <v>#NUM!</v>
      </c>
      <c r="GE118" s="59">
        <f ca="1">AVERAGE(OFFSET($GD$3,0,0,'Données projet'!$E$17+1,1))-AVERAGE(OFFSET($H$3,0,0,'Données projet'!$E$17+1,1))</f>
        <v>405.42845699663462</v>
      </c>
      <c r="GF118" s="59">
        <f t="shared" si="104"/>
        <v>292.26503163353146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118.58650671832547</v>
      </c>
      <c r="GM118" s="21">
        <f>EXP(-LN(2)/25)*GM117+(1-EXP(-LN(2)/25))/(LN(2)/25)*Calculateur!GH118*Calculateur!GJ118*VLOOKUP('Données projet'!$B$17,Paramètres!$A$1:$I$89,3,0)*0.475*44/12</f>
        <v>42.978100363848903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161.56460708217438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-5.3205440053716299E-14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198.26255998041</v>
      </c>
      <c r="T119" s="59">
        <f t="shared" si="88"/>
        <v>238.62101708181166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36.211987630474127</v>
      </c>
      <c r="AA119" s="21">
        <f>EXP(-LN(2)/25)*AA118+(1-EXP(-LN(2)/25))/(LN(2)/25)*Calculateur!V119*Calculateur!X119*VLOOKUP('Données projet'!$B$9,Paramètres!$A$1:$I$89,3,0)*0.475*44/12</f>
        <v>13.180936530851525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49.392924161325652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3.4106051316484809E-13</v>
      </c>
      <c r="AJ119" s="13">
        <f>AI119*VLOOKUP('Données projet'!$B$10,Paramètres!$A$1:$I$89,3,0)*VLOOKUP('Données projet'!$B$10,Paramètres!$A$1:$I$89,5,0)</f>
        <v>1.9065282685915009E-13</v>
      </c>
      <c r="AK119" s="13">
        <f t="shared" si="89"/>
        <v>2.6568987209435707E-12</v>
      </c>
      <c r="AL119" s="20">
        <f t="shared" si="58"/>
        <v>4.959485612423072E-12</v>
      </c>
      <c r="AM119" s="59">
        <f t="shared" si="59"/>
        <v>293.33333333333826</v>
      </c>
      <c r="AN119" s="59">
        <f ca="1">AVERAGE(OFFSET($AM$3,0,0,'Données projet'!$E$10+1,1))-AVERAGE(OFFSET($H$3,0,0,'Données projet'!$E$10+1,1))</f>
        <v>347.02720636703873</v>
      </c>
      <c r="AO119" s="59">
        <f t="shared" si="90"/>
        <v>394.03759949558702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79.046916658770371</v>
      </c>
      <c r="AV119" s="21">
        <f>EXP(-LN(2)/25)*AV118+(1-EXP(-LN(2)/25))/(LN(2)/25)*Calculateur!AQ119*Calculateur!AS119*VLOOKUP('Données projet'!$B$10,Paramètres!$A$1:$I$89,3,0)*0.475*44/12</f>
        <v>28.053596858111138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107.10051351688151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-3.4106051316484809E-13</v>
      </c>
      <c r="BE119" s="13">
        <f>BD119*VLOOKUP('Données projet'!$B$11,Paramètres!$A$1:$I$89,3,0)*VLOOKUP('Données projet'!$B$11,Paramètres!$A$1:$I$89,5,0)</f>
        <v>-2.0395418687257919E-13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378.75660696651238</v>
      </c>
      <c r="BJ119" s="59">
        <f t="shared" si="92"/>
        <v>371.70674704563288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78.195126345071628</v>
      </c>
      <c r="BQ119" s="21">
        <f>EXP(-LN(2)/25)*BQ118+(1-EXP(-LN(2)/25))/(LN(2)/25)*Calculateur!BL119*Calculateur!BN119*VLOOKUP('Données projet'!$B$11,Paramètres!$A$1:$I$89,3,0)*0.475*44/12</f>
        <v>27.105580519178101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105.30070686424973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4.4444444444444446</v>
      </c>
      <c r="BY119" s="12">
        <f>IF('Données projet'!$A$114&gt;35,BY118+BX119-CG118,IF(A119&lt;'Données projet'!$A$114,$BV$205^A119,IF(A119='Données projet'!$A$114,'Données projet'!$B$114,BY118+BX119-CG118)))</f>
        <v>208.55555555555603</v>
      </c>
      <c r="BZ119" s="13">
        <f>BY119*VLOOKUP('Données projet'!$B$12,Paramètres!$A$1:$I$89,3,0)*VLOOKUP('Données projet'!$B$12,Paramètres!$A$1:$I$89,5,0)</f>
        <v>211.47533333333382</v>
      </c>
      <c r="CA119" s="13">
        <f t="shared" si="93"/>
        <v>52.257851672580038</v>
      </c>
      <c r="CB119" s="20">
        <f t="shared" si="64"/>
        <v>459.33529721863329</v>
      </c>
      <c r="CC119" s="59">
        <f t="shared" si="65"/>
        <v>752.66863055196654</v>
      </c>
      <c r="CD119" s="59">
        <f ca="1">AVERAGE(OFFSET($CC$3,0,0,'Données projet'!$E$12+1,1))-AVERAGE(OFFSET($H$3,0,0,'Données projet'!$E$12+1,1))</f>
        <v>410.75375635525211</v>
      </c>
      <c r="CE119" s="59">
        <f t="shared" si="94"/>
        <v>183.55513001437367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27.913279135534893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27.913279135534893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6.4</v>
      </c>
      <c r="CT119" s="12">
        <f>IF('Données projet'!$A$140&gt;35,CT118+CS119-DB118,IF(A119&lt;'Données projet'!$A$140,$CQ$205^A119,IF(A119='Données projet'!$A$140,'Données projet'!$B$140,CT118+CS119-DB118)))</f>
        <v>261.19999999999993</v>
      </c>
      <c r="CU119" s="17">
        <f>CT119*VLOOKUP('Données projet'!$B$13,Paramètres!$A$1:$I$89,3,0)*VLOOKUP('Données projet'!$B$13,Paramètres!$A$1:$I$89,5,0)</f>
        <v>236.33375999999993</v>
      </c>
      <c r="CV119" s="13">
        <f t="shared" si="95"/>
        <v>57.650015765889798</v>
      </c>
      <c r="CW119" s="20">
        <f t="shared" si="67"/>
        <v>512.0217427922579</v>
      </c>
      <c r="CX119" s="59">
        <f t="shared" si="68"/>
        <v>805.35507612559127</v>
      </c>
      <c r="CY119" s="59">
        <f ca="1">AVERAGE(OFFSET($CX$3,0,0,'Données projet'!$E$13+1,1))-AVERAGE(OFFSET($H$3,0,0,'Données projet'!$E$13+1,1))</f>
        <v>436.12708882925142</v>
      </c>
      <c r="CZ119" s="59">
        <f t="shared" si="96"/>
        <v>217.65884352525285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40.085406776888597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40.085406776888597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3.4106051316484809E-13</v>
      </c>
      <c r="DP119" s="17">
        <f>DO119*VLOOKUP('Données projet'!$B$14,Paramètres!$A$1:$I$89,3,0)*VLOOKUP('Données projet'!$B$14,Paramètres!$A$1:$I$89,5,0)</f>
        <v>3.2455318432766944E-13</v>
      </c>
      <c r="DQ119" s="13">
        <f t="shared" si="97"/>
        <v>4.2513245787534721E-12</v>
      </c>
      <c r="DR119" s="20">
        <f t="shared" si="70"/>
        <v>7.9696537706996534E-12</v>
      </c>
      <c r="DS119" s="59">
        <f t="shared" si="71"/>
        <v>293.33333333334127</v>
      </c>
      <c r="DT119" s="59">
        <f ca="1">AVERAGE(OFFSET($DS$3,0,0,'Données projet'!$E$14+1,1))-AVERAGE(OFFSET($H$3,0,0,'Données projet'!$E$14+1,1))</f>
        <v>735.50267870886194</v>
      </c>
      <c r="DU119" s="59">
        <f t="shared" si="98"/>
        <v>525.80345400853275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208.59586027564367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208.59586027564367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4.4444444444444446</v>
      </c>
      <c r="EJ119" s="12">
        <f>IF('Données projet'!$A$192&gt;35,EJ118+EI119-ER118,IF(A119&lt;'Données projet'!$A$192,$EG$205^A119,IF(A119='Données projet'!$A$192,'Données projet'!$B$192,EJ118+EI119-ER118)))</f>
        <v>208.55555555555603</v>
      </c>
      <c r="EK119" s="17">
        <f>EJ119*VLOOKUP('Données projet'!$B$15,Paramètres!$A$1:$I$89,3,0)*VLOOKUP('Données projet'!$B$15,Paramètres!$A$1:$I$89,5,0)</f>
        <v>133.39213333333362</v>
      </c>
      <c r="EL119" s="13">
        <f t="shared" si="99"/>
        <v>34.779002813782796</v>
      </c>
      <c r="EM119" s="20">
        <f t="shared" si="73"/>
        <v>292.89806212289437</v>
      </c>
      <c r="EN119" s="59">
        <f t="shared" si="74"/>
        <v>586.23139545622769</v>
      </c>
      <c r="EO119" s="59">
        <f ca="1">AVERAGE(OFFSET($EN$3,0,0,'Données projet'!$E$15+1,1))-AVERAGE(OFFSET($H$3,0,0,'Données projet'!$E$15+1,1))</f>
        <v>274.14900959323484</v>
      </c>
      <c r="EP119" s="59">
        <f t="shared" si="100"/>
        <v>130.44590390921582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17.60683760856816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17.60683760856816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-2.2737367544323206E-13</v>
      </c>
      <c r="FF119" s="17">
        <f>FE119*VLOOKUP('Données projet'!$B$16,Paramètres!$A$1:$I$89,3,0)*VLOOKUP('Données projet'!$B$16,Paramètres!$A$1:$I$89,5,0)</f>
        <v>-1.3596945791505279E-13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405.42845699663462</v>
      </c>
      <c r="FK119" s="59">
        <f t="shared" si="102"/>
        <v>292.26503163353146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116.26109765220615</v>
      </c>
      <c r="FR119" s="21">
        <f>EXP(-LN(2)/25)*FR118+(1-EXP(-LN(2)/25))/(LN(2)/25)*Calculateur!FM119*Calculateur!FO119*VLOOKUP('Données projet'!$B$16,Paramètres!$A$1:$I$89,3,0)*0.475*44/12</f>
        <v>41.802861949279382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158.06395960148552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-2.2737367544323206E-13</v>
      </c>
      <c r="GA119" s="17">
        <f>FZ119*VLOOKUP('Données projet'!$B$17,Paramètres!$A$1:$I$89,3,0)*VLOOKUP('Données projet'!$B$17,Paramètres!$A$1:$I$89,5,0)</f>
        <v>-1.3596945791505279E-13</v>
      </c>
      <c r="GB119" s="13" t="e">
        <f t="shared" si="103"/>
        <v>#NUM!</v>
      </c>
      <c r="GC119" s="20" t="e">
        <f t="shared" si="79"/>
        <v>#NUM!</v>
      </c>
      <c r="GD119" s="59" t="e">
        <f t="shared" si="80"/>
        <v>#NUM!</v>
      </c>
      <c r="GE119" s="59">
        <f ca="1">AVERAGE(OFFSET($GD$3,0,0,'Données projet'!$E$17+1,1))-AVERAGE(OFFSET($H$3,0,0,'Données projet'!$E$17+1,1))</f>
        <v>405.42845699663462</v>
      </c>
      <c r="GF119" s="59">
        <f t="shared" si="104"/>
        <v>292.26503163353146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116.26109765220615</v>
      </c>
      <c r="GM119" s="21">
        <f>EXP(-LN(2)/25)*GM118+(1-EXP(-LN(2)/25))/(LN(2)/25)*Calculateur!GH119*Calculateur!GJ119*VLOOKUP('Données projet'!$B$17,Paramètres!$A$1:$I$89,3,0)*0.475*44/12</f>
        <v>41.802861949279382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158.06395960148552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-5.3205440053716299E-14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198.26255998041</v>
      </c>
      <c r="T120" s="59">
        <f t="shared" si="88"/>
        <v>238.62101708181166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35.501892640172059</v>
      </c>
      <c r="AA120" s="21">
        <f>EXP(-LN(2)/25)*AA119+(1-EXP(-LN(2)/25))/(LN(2)/25)*Calculateur!V120*Calculateur!X120*VLOOKUP('Données projet'!$B$9,Paramètres!$A$1:$I$89,3,0)*0.475*44/12</f>
        <v>12.820503128260064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48.322395768432123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3.4106051316484809E-13</v>
      </c>
      <c r="AJ120" s="13">
        <f>AI120*VLOOKUP('Données projet'!$B$10,Paramètres!$A$1:$I$89,3,0)*VLOOKUP('Données projet'!$B$10,Paramètres!$A$1:$I$89,5,0)</f>
        <v>1.9065282685915009E-13</v>
      </c>
      <c r="AK120" s="13">
        <f t="shared" si="89"/>
        <v>2.6568987209435707E-12</v>
      </c>
      <c r="AL120" s="20">
        <f t="shared" si="58"/>
        <v>4.959485612423072E-12</v>
      </c>
      <c r="AM120" s="59">
        <f t="shared" si="59"/>
        <v>293.33333333333826</v>
      </c>
      <c r="AN120" s="59">
        <f ca="1">AVERAGE(OFFSET($AM$3,0,0,'Données projet'!$E$10+1,1))-AVERAGE(OFFSET($H$3,0,0,'Données projet'!$E$10+1,1))</f>
        <v>347.02720636703873</v>
      </c>
      <c r="AO120" s="59">
        <f t="shared" si="90"/>
        <v>394.03759949558702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77.49685483695032</v>
      </c>
      <c r="AV120" s="21">
        <f>EXP(-LN(2)/25)*AV119+(1-EXP(-LN(2)/25))/(LN(2)/25)*Calculateur!AQ120*Calculateur!AS120*VLOOKUP('Données projet'!$B$10,Paramètres!$A$1:$I$89,3,0)*0.475*44/12</f>
        <v>27.286469776751549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104.78332461370186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-3.4106051316484809E-13</v>
      </c>
      <c r="BE120" s="13">
        <f>BD120*VLOOKUP('Données projet'!$B$11,Paramètres!$A$1:$I$89,3,0)*VLOOKUP('Données projet'!$B$11,Paramètres!$A$1:$I$89,5,0)</f>
        <v>-2.0395418687257919E-13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378.75660696651238</v>
      </c>
      <c r="BJ120" s="59">
        <f t="shared" si="92"/>
        <v>371.70674704563288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76.661767611762428</v>
      </c>
      <c r="BQ120" s="21">
        <f>EXP(-LN(2)/25)*BQ119+(1-EXP(-LN(2)/25))/(LN(2)/25)*Calculateur!BL120*Calculateur!BN120*VLOOKUP('Données projet'!$B$11,Paramètres!$A$1:$I$89,3,0)*0.475*44/12</f>
        <v>26.364376994460645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103.02614460622307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>
        <f>VLOOKUP(A120,'Données projet'!$A$113:$I$133,2,0)</f>
        <v>213</v>
      </c>
      <c r="BW120" s="12">
        <f>VLOOKUP(A120,'Données projet'!$A$113:$I$133,9,0)</f>
        <v>4.4444444444444446</v>
      </c>
      <c r="BX120" s="12">
        <f t="array" ref="BX120">INDEX(BW:BW,MIN(IF(ISNUMBER(BW120:BW316),ROW(BW120:BW316),"")))</f>
        <v>4.4444444444444446</v>
      </c>
      <c r="BY120" s="12">
        <f>IF('Données projet'!$A$114&gt;35,BY119+BX120-CG119,IF(A120&lt;'Données projet'!$A$114,$BV$205^A120,IF(A120='Données projet'!$A$114,'Données projet'!$B$114,BY119+BX120-CG119)))</f>
        <v>213.00000000000048</v>
      </c>
      <c r="BZ120" s="13">
        <f>BY120*VLOOKUP('Données projet'!$B$12,Paramètres!$A$1:$I$89,3,0)*VLOOKUP('Données projet'!$B$12,Paramètres!$A$1:$I$89,5,0)</f>
        <v>215.98200000000051</v>
      </c>
      <c r="CA120" s="13">
        <f t="shared" si="93"/>
        <v>53.240658641505178</v>
      </c>
      <c r="CB120" s="20">
        <f t="shared" si="64"/>
        <v>468.89613046728908</v>
      </c>
      <c r="CC120" s="59">
        <f t="shared" si="65"/>
        <v>762.2294638006224</v>
      </c>
      <c r="CD120" s="59">
        <f ca="1">AVERAGE(OFFSET($CC$3,0,0,'Données projet'!$E$12+1,1))-AVERAGE(OFFSET($H$3,0,0,'Données projet'!$E$12+1,1))</f>
        <v>410.75375635525211</v>
      </c>
      <c r="CE120" s="59">
        <f t="shared" si="94"/>
        <v>183.55513001437367</v>
      </c>
      <c r="CF120" s="15">
        <f>IF(ISNA(VLOOKUP(A120,'Données projet'!$A$113:$I$133,3,0)),0,VLOOKUP(A120,'Données projet'!$A$113:$I$133,3,0))</f>
        <v>8</v>
      </c>
      <c r="CG120" s="15">
        <f>IF(ISNA(VLOOKUP(A120,'Données projet'!$A$113:$I$133,4,0)),0,VLOOKUP(A120,'Données projet'!$A$113:$I$133,4,0))</f>
        <v>27</v>
      </c>
      <c r="CH120" s="16">
        <f>IF(ISNA(VLOOKUP(A120,'Données projet'!$A$113:$I$133,5,0)),0%,VLOOKUP(A120,'Données projet'!$A$113:$I$133,5,0)*VLOOKUP('Données projet'!$B$12,Paramètres!$A$1:$I$89,7,0))</f>
        <v>0.25800000000000001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35.174433314226306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35.174433314226306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6.4</v>
      </c>
      <c r="CT120" s="12">
        <f>IF('Données projet'!$A$140&gt;35,CT119+CS120-DB119,IF(A120&lt;'Données projet'!$A$140,$CQ$205^A120,IF(A120='Données projet'!$A$140,'Données projet'!$B$140,CT119+CS120-DB119)))</f>
        <v>267.59999999999991</v>
      </c>
      <c r="CU120" s="17">
        <f>CT120*VLOOKUP('Données projet'!$B$13,Paramètres!$A$1:$I$89,3,0)*VLOOKUP('Données projet'!$B$13,Paramètres!$A$1:$I$89,5,0)</f>
        <v>242.12447999999992</v>
      </c>
      <c r="CV120" s="13">
        <f t="shared" si="95"/>
        <v>58.896387987806008</v>
      </c>
      <c r="CW120" s="20">
        <f t="shared" si="67"/>
        <v>524.27801174542856</v>
      </c>
      <c r="CX120" s="59">
        <f t="shared" si="68"/>
        <v>817.61134507876181</v>
      </c>
      <c r="CY120" s="59">
        <f ca="1">AVERAGE(OFFSET($CX$3,0,0,'Données projet'!$E$13+1,1))-AVERAGE(OFFSET($H$3,0,0,'Données projet'!$E$13+1,1))</f>
        <v>436.12708882925142</v>
      </c>
      <c r="CZ120" s="59">
        <f t="shared" si="96"/>
        <v>217.65884352525285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39.299356399677741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39.299356399677741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3.4106051316484809E-13</v>
      </c>
      <c r="DP120" s="17">
        <f>DO120*VLOOKUP('Données projet'!$B$14,Paramètres!$A$1:$I$89,3,0)*VLOOKUP('Données projet'!$B$14,Paramètres!$A$1:$I$89,5,0)</f>
        <v>3.2455318432766944E-13</v>
      </c>
      <c r="DQ120" s="13">
        <f t="shared" si="97"/>
        <v>4.2513245787534721E-12</v>
      </c>
      <c r="DR120" s="20">
        <f t="shared" si="70"/>
        <v>7.9696537706996534E-12</v>
      </c>
      <c r="DS120" s="59">
        <f t="shared" si="71"/>
        <v>293.33333333334127</v>
      </c>
      <c r="DT120" s="59">
        <f ca="1">AVERAGE(OFFSET($DS$3,0,0,'Données projet'!$E$14+1,1))-AVERAGE(OFFSET($H$3,0,0,'Données projet'!$E$14+1,1))</f>
        <v>735.50267870886194</v>
      </c>
      <c r="DU120" s="59">
        <f t="shared" si="98"/>
        <v>525.80345400853275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204.50542268655005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204.50542268655005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>
        <f>VLOOKUP(A120,'Données projet'!$A$191:$I$211,2,0)</f>
        <v>213</v>
      </c>
      <c r="EH120" s="12">
        <f>VLOOKUP(A120,'Données projet'!$A$191:$I$211,9,0)</f>
        <v>4.4444444444444446</v>
      </c>
      <c r="EI120" s="12">
        <f t="array" ref="EI120">INDEX(EH:EH,MIN(IF(ISNUMBER(EH120:EH316),ROW(EH120:EH316),"")))</f>
        <v>4.4444444444444446</v>
      </c>
      <c r="EJ120" s="12">
        <f>IF('Données projet'!$A$192&gt;35,EJ119+EI120-ER119,IF(A120&lt;'Données projet'!$A$192,$EG$205^A120,IF(A120='Données projet'!$A$192,'Données projet'!$B$192,EJ119+EI120-ER119)))</f>
        <v>213.00000000000048</v>
      </c>
      <c r="EK120" s="17">
        <f>EJ120*VLOOKUP('Données projet'!$B$15,Paramètres!$A$1:$I$89,3,0)*VLOOKUP('Données projet'!$B$15,Paramètres!$A$1:$I$89,5,0)</f>
        <v>136.23480000000032</v>
      </c>
      <c r="EL120" s="13">
        <f t="shared" si="99"/>
        <v>35.433087228729882</v>
      </c>
      <c r="EM120" s="20">
        <f t="shared" si="73"/>
        <v>298.98823692337174</v>
      </c>
      <c r="EN120" s="59">
        <f t="shared" si="74"/>
        <v>592.32157025670506</v>
      </c>
      <c r="EO120" s="59">
        <f ca="1">AVERAGE(OFFSET($EN$3,0,0,'Données projet'!$E$15+1,1))-AVERAGE(OFFSET($H$3,0,0,'Données projet'!$E$15+1,1))</f>
        <v>274.14900959323484</v>
      </c>
      <c r="EP120" s="59">
        <f t="shared" si="100"/>
        <v>130.44590390921582</v>
      </c>
      <c r="EQ120" s="15">
        <f>IF(ISNA(VLOOKUP(A120,'Données projet'!$A$191:$I$211,3,0)),0,VLOOKUP(A120,'Données projet'!$A$191:$I$211,3,0))</f>
        <v>8</v>
      </c>
      <c r="ER120" s="15">
        <f>IF(ISNA(VLOOKUP(A120,'Données projet'!$A$191:$I$211,4,0)),0,VLOOKUP(A120,'Données projet'!$A$191:$I$211,4,0))</f>
        <v>27</v>
      </c>
      <c r="ES120" s="16">
        <f>IF(ISNA(VLOOKUP(A120,'Données projet'!$A$191:$I$211,5,0)),0%,VLOOKUP(A120,'Données projet'!$A$191:$I$211,5,0)*VLOOKUP('Données projet'!$B$15,Paramètres!$A$1:$I$89,7,0))</f>
        <v>0.25800000000000001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22.18695024435813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22.18695024435813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-2.2737367544323206E-13</v>
      </c>
      <c r="FF120" s="17">
        <f>FE120*VLOOKUP('Données projet'!$B$16,Paramètres!$A$1:$I$89,3,0)*VLOOKUP('Données projet'!$B$16,Paramètres!$A$1:$I$89,5,0)</f>
        <v>-1.3596945791505279E-13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405.42845699663462</v>
      </c>
      <c r="FK120" s="59">
        <f t="shared" si="102"/>
        <v>292.26503163353146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113.98128843951395</v>
      </c>
      <c r="FR120" s="21">
        <f>EXP(-LN(2)/25)*FR119+(1-EXP(-LN(2)/25))/(LN(2)/25)*Calculateur!FM120*Calculateur!FO120*VLOOKUP('Données projet'!$B$16,Paramètres!$A$1:$I$89,3,0)*0.475*44/12</f>
        <v>40.659760490959371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154.64104893047332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-2.2737367544323206E-13</v>
      </c>
      <c r="GA120" s="17">
        <f>FZ120*VLOOKUP('Données projet'!$B$17,Paramètres!$A$1:$I$89,3,0)*VLOOKUP('Données projet'!$B$17,Paramètres!$A$1:$I$89,5,0)</f>
        <v>-1.3596945791505279E-13</v>
      </c>
      <c r="GB120" s="13" t="e">
        <f t="shared" si="103"/>
        <v>#NUM!</v>
      </c>
      <c r="GC120" s="20" t="e">
        <f t="shared" si="79"/>
        <v>#NUM!</v>
      </c>
      <c r="GD120" s="59" t="e">
        <f t="shared" si="80"/>
        <v>#NUM!</v>
      </c>
      <c r="GE120" s="59">
        <f ca="1">AVERAGE(OFFSET($GD$3,0,0,'Données projet'!$E$17+1,1))-AVERAGE(OFFSET($H$3,0,0,'Données projet'!$E$17+1,1))</f>
        <v>405.42845699663462</v>
      </c>
      <c r="GF120" s="59">
        <f t="shared" si="104"/>
        <v>292.26503163353146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113.98128843951395</v>
      </c>
      <c r="GM120" s="21">
        <f>EXP(-LN(2)/25)*GM119+(1-EXP(-LN(2)/25))/(LN(2)/25)*Calculateur!GH120*Calculateur!GJ120*VLOOKUP('Données projet'!$B$17,Paramètres!$A$1:$I$89,3,0)*0.475*44/12</f>
        <v>40.659760490959371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154.64104893047332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-5.3205440053716299E-14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198.26255998041</v>
      </c>
      <c r="T121" s="59">
        <f t="shared" si="88"/>
        <v>238.62101708181166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34.805722179514639</v>
      </c>
      <c r="AA121" s="21">
        <f>EXP(-LN(2)/25)*AA120+(1-EXP(-LN(2)/25))/(LN(2)/25)*Calculateur!V121*Calculateur!X121*VLOOKUP('Données projet'!$B$9,Paramètres!$A$1:$I$89,3,0)*0.475*44/12</f>
        <v>12.469925796016835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47.27564797553147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3.4106051316484809E-13</v>
      </c>
      <c r="AJ121" s="13">
        <f>AI121*VLOOKUP('Données projet'!$B$10,Paramètres!$A$1:$I$89,3,0)*VLOOKUP('Données projet'!$B$10,Paramètres!$A$1:$I$89,5,0)</f>
        <v>1.9065282685915009E-13</v>
      </c>
      <c r="AK121" s="13">
        <f t="shared" si="89"/>
        <v>2.6568987209435707E-12</v>
      </c>
      <c r="AL121" s="20">
        <f t="shared" si="58"/>
        <v>4.959485612423072E-12</v>
      </c>
      <c r="AM121" s="59">
        <f t="shared" si="59"/>
        <v>293.33333333333826</v>
      </c>
      <c r="AN121" s="59">
        <f ca="1">AVERAGE(OFFSET($AM$3,0,0,'Données projet'!$E$10+1,1))-AVERAGE(OFFSET($H$3,0,0,'Données projet'!$E$10+1,1))</f>
        <v>347.02720636703873</v>
      </c>
      <c r="AO121" s="59">
        <f t="shared" si="90"/>
        <v>394.03759949558702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75.977188782011808</v>
      </c>
      <c r="AV121" s="21">
        <f>EXP(-LN(2)/25)*AV120+(1-EXP(-LN(2)/25))/(LN(2)/25)*Calculateur!AQ121*Calculateur!AS121*VLOOKUP('Données projet'!$B$10,Paramètres!$A$1:$I$89,3,0)*0.475*44/12</f>
        <v>26.540319825773196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102.517508607785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-3.4106051316484809E-13</v>
      </c>
      <c r="BE121" s="13">
        <f>BD121*VLOOKUP('Données projet'!$B$11,Paramètres!$A$1:$I$89,3,0)*VLOOKUP('Données projet'!$B$11,Paramètres!$A$1:$I$89,5,0)</f>
        <v>-2.0395418687257919E-13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378.75660696651238</v>
      </c>
      <c r="BJ121" s="59">
        <f t="shared" si="92"/>
        <v>371.70674704563288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75.158477107956941</v>
      </c>
      <c r="BQ121" s="21">
        <f>EXP(-LN(2)/25)*BQ120+(1-EXP(-LN(2)/25))/(LN(2)/25)*Calculateur!BL121*Calculateur!BN121*VLOOKUP('Données projet'!$B$11,Paramètres!$A$1:$I$89,3,0)*0.475*44/12</f>
        <v>25.643441719104789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100.80191882706173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4.583333333333333</v>
      </c>
      <c r="BY121" s="12">
        <f>IF('Données projet'!$A$114&gt;35,BY120+BX121-CG120,IF(A121&lt;'Données projet'!$A$114,$BV$205^A121,IF(A121='Données projet'!$A$114,'Données projet'!$B$114,BY120+BX121-CG120)))</f>
        <v>190.58333333333383</v>
      </c>
      <c r="BZ121" s="13">
        <f>BY121*VLOOKUP('Données projet'!$B$12,Paramètres!$A$1:$I$89,3,0)*VLOOKUP('Données projet'!$B$12,Paramètres!$A$1:$I$89,5,0)</f>
        <v>193.2515000000005</v>
      </c>
      <c r="CA121" s="13">
        <f t="shared" si="93"/>
        <v>48.258101879655513</v>
      </c>
      <c r="CB121" s="20">
        <f t="shared" si="64"/>
        <v>420.62922327373423</v>
      </c>
      <c r="CC121" s="59">
        <f t="shared" si="65"/>
        <v>713.96255660706754</v>
      </c>
      <c r="CD121" s="59">
        <f ca="1">AVERAGE(OFFSET($CC$3,0,0,'Données projet'!$E$12+1,1))-AVERAGE(OFFSET($H$3,0,0,'Données projet'!$E$12+1,1))</f>
        <v>410.75375635525211</v>
      </c>
      <c r="CE121" s="59">
        <f t="shared" si="94"/>
        <v>183.55513001437367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34.484684131220213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34.484684131220213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6.4</v>
      </c>
      <c r="CT121" s="12">
        <f>IF('Données projet'!$A$140&gt;35,CT120+CS121-DB120,IF(A121&lt;'Données projet'!$A$140,$CQ$205^A121,IF(A121='Données projet'!$A$140,'Données projet'!$B$140,CT120+CS121-DB120)))</f>
        <v>273.99999999999989</v>
      </c>
      <c r="CU121" s="17">
        <f>CT121*VLOOKUP('Données projet'!$B$13,Paramètres!$A$1:$I$89,3,0)*VLOOKUP('Données projet'!$B$13,Paramètres!$A$1:$I$89,5,0)</f>
        <v>247.91519999999991</v>
      </c>
      <c r="CV121" s="13">
        <f t="shared" si="95"/>
        <v>60.139294964297406</v>
      </c>
      <c r="CW121" s="20">
        <f t="shared" si="67"/>
        <v>536.52824539615108</v>
      </c>
      <c r="CX121" s="59">
        <f t="shared" si="68"/>
        <v>829.86157872948434</v>
      </c>
      <c r="CY121" s="59">
        <f ca="1">AVERAGE(OFFSET($CX$3,0,0,'Données projet'!$E$13+1,1))-AVERAGE(OFFSET($H$3,0,0,'Données projet'!$E$13+1,1))</f>
        <v>436.12708882925142</v>
      </c>
      <c r="CZ121" s="59">
        <f t="shared" si="96"/>
        <v>217.65884352525285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38.5287199909206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38.5287199909206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3.4106051316484809E-13</v>
      </c>
      <c r="DP121" s="17">
        <f>DO121*VLOOKUP('Données projet'!$B$14,Paramètres!$A$1:$I$89,3,0)*VLOOKUP('Données projet'!$B$14,Paramètres!$A$1:$I$89,5,0)</f>
        <v>3.2455318432766944E-13</v>
      </c>
      <c r="DQ121" s="13">
        <f t="shared" si="97"/>
        <v>4.2513245787534721E-12</v>
      </c>
      <c r="DR121" s="20">
        <f t="shared" si="70"/>
        <v>7.9696537706996534E-12</v>
      </c>
      <c r="DS121" s="59">
        <f t="shared" si="71"/>
        <v>293.33333333334127</v>
      </c>
      <c r="DT121" s="59">
        <f ca="1">AVERAGE(OFFSET($DS$3,0,0,'Données projet'!$E$14+1,1))-AVERAGE(OFFSET($H$3,0,0,'Données projet'!$E$14+1,1))</f>
        <v>735.50267870886194</v>
      </c>
      <c r="DU121" s="59">
        <f t="shared" si="98"/>
        <v>525.80345400853275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200.49519608365799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200.49519608365799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4.583333333333333</v>
      </c>
      <c r="EJ121" s="12">
        <f>IF('Données projet'!$A$192&gt;35,EJ120+EI121-ER120,IF(A121&lt;'Données projet'!$A$192,$EG$205^A121,IF(A121='Données projet'!$A$192,'Données projet'!$B$192,EJ120+EI121-ER120)))</f>
        <v>190.58333333333383</v>
      </c>
      <c r="EK121" s="17">
        <f>EJ121*VLOOKUP('Données projet'!$B$15,Paramètres!$A$1:$I$89,3,0)*VLOOKUP('Données projet'!$B$15,Paramètres!$A$1:$I$89,5,0)</f>
        <v>121.89710000000032</v>
      </c>
      <c r="EL121" s="13">
        <f t="shared" si="99"/>
        <v>32.117061979051961</v>
      </c>
      <c r="EM121" s="20">
        <f t="shared" si="73"/>
        <v>268.24133211351608</v>
      </c>
      <c r="EN121" s="59">
        <f t="shared" si="74"/>
        <v>561.57466544684939</v>
      </c>
      <c r="EO121" s="59">
        <f ca="1">AVERAGE(OFFSET($EN$3,0,0,'Données projet'!$E$15+1,1))-AVERAGE(OFFSET($H$3,0,0,'Données projet'!$E$15+1,1))</f>
        <v>274.14900959323484</v>
      </c>
      <c r="EP121" s="59">
        <f t="shared" si="100"/>
        <v>130.44590390921582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21.751877682769674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21.751877682769674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-2.2737367544323206E-13</v>
      </c>
      <c r="FF121" s="17">
        <f>FE121*VLOOKUP('Données projet'!$B$16,Paramètres!$A$1:$I$89,3,0)*VLOOKUP('Données projet'!$B$16,Paramètres!$A$1:$I$89,5,0)</f>
        <v>-1.3596945791505279E-13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405.42845699663462</v>
      </c>
      <c r="FK121" s="59">
        <f t="shared" si="102"/>
        <v>292.26503163353146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111.74618489493632</v>
      </c>
      <c r="FR121" s="21">
        <f>EXP(-LN(2)/25)*FR120+(1-EXP(-LN(2)/25))/(LN(2)/25)*Calculateur!FM121*Calculateur!FO121*VLOOKUP('Données projet'!$B$16,Paramètres!$A$1:$I$89,3,0)*0.475*44/12</f>
        <v>39.547917202130215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151.29410209706654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-2.2737367544323206E-13</v>
      </c>
      <c r="GA121" s="17">
        <f>FZ121*VLOOKUP('Données projet'!$B$17,Paramètres!$A$1:$I$89,3,0)*VLOOKUP('Données projet'!$B$17,Paramètres!$A$1:$I$89,5,0)</f>
        <v>-1.3596945791505279E-13</v>
      </c>
      <c r="GB121" s="13" t="e">
        <f t="shared" si="103"/>
        <v>#NUM!</v>
      </c>
      <c r="GC121" s="20" t="e">
        <f t="shared" si="79"/>
        <v>#NUM!</v>
      </c>
      <c r="GD121" s="59" t="e">
        <f t="shared" si="80"/>
        <v>#NUM!</v>
      </c>
      <c r="GE121" s="59">
        <f ca="1">AVERAGE(OFFSET($GD$3,0,0,'Données projet'!$E$17+1,1))-AVERAGE(OFFSET($H$3,0,0,'Données projet'!$E$17+1,1))</f>
        <v>405.42845699663462</v>
      </c>
      <c r="GF121" s="59">
        <f t="shared" si="104"/>
        <v>292.26503163353146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111.74618489493632</v>
      </c>
      <c r="GM121" s="21">
        <f>EXP(-LN(2)/25)*GM120+(1-EXP(-LN(2)/25))/(LN(2)/25)*Calculateur!GH121*Calculateur!GJ121*VLOOKUP('Données projet'!$B$17,Paramètres!$A$1:$I$89,3,0)*0.475*44/12</f>
        <v>39.547917202130215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151.29410209706654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-5.3205440053716299E-14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198.26255998041</v>
      </c>
      <c r="T122" s="59">
        <f t="shared" si="88"/>
        <v>238.62101708181166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34.12320319696866</v>
      </c>
      <c r="AA122" s="21">
        <f>EXP(-LN(2)/25)*AA121+(1-EXP(-LN(2)/25))/(LN(2)/25)*Calculateur!V122*Calculateur!X122*VLOOKUP('Données projet'!$B$9,Paramètres!$A$1:$I$89,3,0)*0.475*44/12</f>
        <v>12.128935019359856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46.252138216328518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3.4106051316484809E-13</v>
      </c>
      <c r="AJ122" s="13">
        <f>AI122*VLOOKUP('Données projet'!$B$10,Paramètres!$A$1:$I$89,3,0)*VLOOKUP('Données projet'!$B$10,Paramètres!$A$1:$I$89,5,0)</f>
        <v>1.9065282685915009E-13</v>
      </c>
      <c r="AK122" s="13">
        <f t="shared" si="89"/>
        <v>2.6568987209435707E-12</v>
      </c>
      <c r="AL122" s="20">
        <f t="shared" si="58"/>
        <v>4.959485612423072E-12</v>
      </c>
      <c r="AM122" s="59">
        <f t="shared" si="59"/>
        <v>293.33333333333826</v>
      </c>
      <c r="AN122" s="59">
        <f ca="1">AVERAGE(OFFSET($AM$3,0,0,'Données projet'!$E$10+1,1))-AVERAGE(OFFSET($H$3,0,0,'Données projet'!$E$10+1,1))</f>
        <v>347.02720636703873</v>
      </c>
      <c r="AO122" s="59">
        <f t="shared" si="90"/>
        <v>394.03759949558702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74.487322451505875</v>
      </c>
      <c r="AV122" s="21">
        <f>EXP(-LN(2)/25)*AV121+(1-EXP(-LN(2)/25))/(LN(2)/25)*Calculateur!AQ122*Calculateur!AS122*VLOOKUP('Données projet'!$B$10,Paramètres!$A$1:$I$89,3,0)*0.475*44/12</f>
        <v>25.814573384442667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100.30189583594854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-3.4106051316484809E-13</v>
      </c>
      <c r="BE122" s="13">
        <f>BD122*VLOOKUP('Données projet'!$B$11,Paramètres!$A$1:$I$89,3,0)*VLOOKUP('Données projet'!$B$11,Paramètres!$A$1:$I$89,5,0)</f>
        <v>-2.0395418687257919E-13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378.75660696651238</v>
      </c>
      <c r="BJ122" s="59">
        <f t="shared" si="92"/>
        <v>371.70674704563288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73.684665214014402</v>
      </c>
      <c r="BQ122" s="21">
        <f>EXP(-LN(2)/25)*BQ121+(1-EXP(-LN(2)/25))/(LN(2)/25)*Calculateur!BL122*Calculateur!BN122*VLOOKUP('Données projet'!$B$11,Paramètres!$A$1:$I$89,3,0)*0.475*44/12</f>
        <v>24.942220456765877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98.626885670780283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4.583333333333333</v>
      </c>
      <c r="BY122" s="12">
        <f>IF('Données projet'!$A$114&gt;35,BY121+BX122-CG121,IF(A122&lt;'Données projet'!$A$114,$BV$205^A122,IF(A122='Données projet'!$A$114,'Données projet'!$B$114,BY121+BX122-CG121)))</f>
        <v>195.16666666666717</v>
      </c>
      <c r="BZ122" s="13">
        <f>BY122*VLOOKUP('Données projet'!$B$12,Paramètres!$A$1:$I$89,3,0)*VLOOKUP('Données projet'!$B$12,Paramètres!$A$1:$I$89,5,0)</f>
        <v>197.89900000000051</v>
      </c>
      <c r="CA122" s="13">
        <f t="shared" si="93"/>
        <v>49.282148105201117</v>
      </c>
      <c r="CB122" s="20">
        <f t="shared" si="64"/>
        <v>430.50716628322613</v>
      </c>
      <c r="CC122" s="59">
        <f t="shared" si="65"/>
        <v>723.84049961655944</v>
      </c>
      <c r="CD122" s="59">
        <f ca="1">AVERAGE(OFFSET($CC$3,0,0,'Données projet'!$E$12+1,1))-AVERAGE(OFFSET($H$3,0,0,'Données projet'!$E$12+1,1))</f>
        <v>410.75375635525211</v>
      </c>
      <c r="CE122" s="59">
        <f t="shared" si="94"/>
        <v>183.55513001437367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33.808460508987409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33.808460508987409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6.4</v>
      </c>
      <c r="CT122" s="12">
        <f>IF('Données projet'!$A$140&gt;35,CT121+CS122-DB121,IF(A122&lt;'Données projet'!$A$140,$CQ$205^A122,IF(A122='Données projet'!$A$140,'Données projet'!$B$140,CT121+CS122-DB121)))</f>
        <v>280.39999999999986</v>
      </c>
      <c r="CU122" s="17">
        <f>CT122*VLOOKUP('Données projet'!$B$13,Paramètres!$A$1:$I$89,3,0)*VLOOKUP('Données projet'!$B$13,Paramètres!$A$1:$I$89,5,0)</f>
        <v>253.70591999999988</v>
      </c>
      <c r="CV122" s="13">
        <f t="shared" si="95"/>
        <v>61.378826950685919</v>
      </c>
      <c r="CW122" s="20">
        <f t="shared" si="67"/>
        <v>548.77260093911116</v>
      </c>
      <c r="CX122" s="59">
        <f t="shared" si="68"/>
        <v>842.10593427244453</v>
      </c>
      <c r="CY122" s="59">
        <f ca="1">AVERAGE(OFFSET($CX$3,0,0,'Données projet'!$E$13+1,1))-AVERAGE(OFFSET($H$3,0,0,'Données projet'!$E$13+1,1))</f>
        <v>436.12708882925142</v>
      </c>
      <c r="CZ122" s="59">
        <f t="shared" si="96"/>
        <v>217.65884352525285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37.773195292097391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37.773195292097391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3.4106051316484809E-13</v>
      </c>
      <c r="DP122" s="17">
        <f>DO122*VLOOKUP('Données projet'!$B$14,Paramètres!$A$1:$I$89,3,0)*VLOOKUP('Données projet'!$B$14,Paramètres!$A$1:$I$89,5,0)</f>
        <v>3.2455318432766944E-13</v>
      </c>
      <c r="DQ122" s="13">
        <f t="shared" si="97"/>
        <v>4.2513245787534721E-12</v>
      </c>
      <c r="DR122" s="20">
        <f t="shared" si="70"/>
        <v>7.9696537706996534E-12</v>
      </c>
      <c r="DS122" s="59">
        <f t="shared" si="71"/>
        <v>293.33333333334127</v>
      </c>
      <c r="DT122" s="59">
        <f ca="1">AVERAGE(OFFSET($DS$3,0,0,'Données projet'!$E$14+1,1))-AVERAGE(OFFSET($H$3,0,0,'Données projet'!$E$14+1,1))</f>
        <v>735.50267870886194</v>
      </c>
      <c r="DU122" s="59">
        <f t="shared" si="98"/>
        <v>525.80345400853275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196.56360757845192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196.56360757845192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4.583333333333333</v>
      </c>
      <c r="EJ122" s="12">
        <f>IF('Données projet'!$A$192&gt;35,EJ121+EI122-ER121,IF(A122&lt;'Données projet'!$A$192,$EG$205^A122,IF(A122='Données projet'!$A$192,'Données projet'!$B$192,EJ121+EI122-ER121)))</f>
        <v>195.16666666666717</v>
      </c>
      <c r="EK122" s="17">
        <f>EJ122*VLOOKUP('Données projet'!$B$15,Paramètres!$A$1:$I$89,3,0)*VLOOKUP('Données projet'!$B$15,Paramètres!$A$1:$I$89,5,0)</f>
        <v>124.82860000000031</v>
      </c>
      <c r="EL122" s="13">
        <f t="shared" si="99"/>
        <v>32.798592226082356</v>
      </c>
      <c r="EM122" s="20">
        <f t="shared" si="73"/>
        <v>274.5340264604273</v>
      </c>
      <c r="EN122" s="59">
        <f t="shared" si="74"/>
        <v>567.86735979376067</v>
      </c>
      <c r="EO122" s="59">
        <f ca="1">AVERAGE(OFFSET($EN$3,0,0,'Données projet'!$E$15+1,1))-AVERAGE(OFFSET($H$3,0,0,'Données projet'!$E$15+1,1))</f>
        <v>274.14900959323484</v>
      </c>
      <c r="EP122" s="59">
        <f t="shared" si="100"/>
        <v>130.44590390921582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21.325336628745905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21.325336628745905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-2.2737367544323206E-13</v>
      </c>
      <c r="FF122" s="17">
        <f>FE122*VLOOKUP('Données projet'!$B$16,Paramètres!$A$1:$I$89,3,0)*VLOOKUP('Données projet'!$B$16,Paramètres!$A$1:$I$89,5,0)</f>
        <v>-1.3596945791505279E-13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405.42845699663462</v>
      </c>
      <c r="FK122" s="59">
        <f t="shared" si="102"/>
        <v>292.26503163353146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109.55491036758932</v>
      </c>
      <c r="FR122" s="21">
        <f>EXP(-LN(2)/25)*FR121+(1-EXP(-LN(2)/25))/(LN(2)/25)*Calculateur!FM122*Calculateur!FO122*VLOOKUP('Données projet'!$B$16,Paramètres!$A$1:$I$89,3,0)*0.475*44/12</f>
        <v>38.466477326503387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148.02138769409271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-2.2737367544323206E-13</v>
      </c>
      <c r="GA122" s="17">
        <f>FZ122*VLOOKUP('Données projet'!$B$17,Paramètres!$A$1:$I$89,3,0)*VLOOKUP('Données projet'!$B$17,Paramètres!$A$1:$I$89,5,0)</f>
        <v>-1.3596945791505279E-13</v>
      </c>
      <c r="GB122" s="13" t="e">
        <f t="shared" si="103"/>
        <v>#NUM!</v>
      </c>
      <c r="GC122" s="20" t="e">
        <f t="shared" si="79"/>
        <v>#NUM!</v>
      </c>
      <c r="GD122" s="59" t="e">
        <f t="shared" si="80"/>
        <v>#NUM!</v>
      </c>
      <c r="GE122" s="59">
        <f ca="1">AVERAGE(OFFSET($GD$3,0,0,'Données projet'!$E$17+1,1))-AVERAGE(OFFSET($H$3,0,0,'Données projet'!$E$17+1,1))</f>
        <v>405.42845699663462</v>
      </c>
      <c r="GF122" s="59">
        <f t="shared" si="104"/>
        <v>292.26503163353146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109.55491036758932</v>
      </c>
      <c r="GM122" s="21">
        <f>EXP(-LN(2)/25)*GM121+(1-EXP(-LN(2)/25))/(LN(2)/25)*Calculateur!GH122*Calculateur!GJ122*VLOOKUP('Données projet'!$B$17,Paramètres!$A$1:$I$89,3,0)*0.475*44/12</f>
        <v>38.466477326503387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148.02138769409271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-5.3205440053716299E-14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198.26255998041</v>
      </c>
      <c r="T123" s="59">
        <f t="shared" si="88"/>
        <v>238.62101708181166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33.454067995374935</v>
      </c>
      <c r="AA123" s="21">
        <f>EXP(-LN(2)/25)*AA122+(1-EXP(-LN(2)/25))/(LN(2)/25)*Calculateur!V123*Calculateur!X123*VLOOKUP('Données projet'!$B$9,Paramètres!$A$1:$I$89,3,0)*0.475*44/12</f>
        <v>11.797268653422488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45.25133664879742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3.4106051316484809E-13</v>
      </c>
      <c r="AJ123" s="13">
        <f>AI123*VLOOKUP('Données projet'!$B$10,Paramètres!$A$1:$I$89,3,0)*VLOOKUP('Données projet'!$B$10,Paramètres!$A$1:$I$89,5,0)</f>
        <v>1.9065282685915009E-13</v>
      </c>
      <c r="AK123" s="13">
        <f t="shared" si="89"/>
        <v>2.6568987209435707E-12</v>
      </c>
      <c r="AL123" s="20">
        <f t="shared" si="58"/>
        <v>4.959485612423072E-12</v>
      </c>
      <c r="AM123" s="59">
        <f t="shared" si="59"/>
        <v>293.33333333333826</v>
      </c>
      <c r="AN123" s="59">
        <f ca="1">AVERAGE(OFFSET($AM$3,0,0,'Données projet'!$E$10+1,1))-AVERAGE(OFFSET($H$3,0,0,'Données projet'!$E$10+1,1))</f>
        <v>347.02720636703873</v>
      </c>
      <c r="AO123" s="59">
        <f t="shared" si="90"/>
        <v>394.03759949558702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73.026671491012422</v>
      </c>
      <c r="AV123" s="21">
        <f>EXP(-LN(2)/25)*AV122+(1-EXP(-LN(2)/25))/(LN(2)/25)*Calculateur!AQ123*Calculateur!AS123*VLOOKUP('Données projet'!$B$10,Paramètres!$A$1:$I$89,3,0)*0.475*44/12</f>
        <v>25.108672517715668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98.135344008728083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-3.4106051316484809E-13</v>
      </c>
      <c r="BE123" s="13">
        <f>BD123*VLOOKUP('Données projet'!$B$11,Paramètres!$A$1:$I$89,3,0)*VLOOKUP('Données projet'!$B$11,Paramètres!$A$1:$I$89,5,0)</f>
        <v>-2.0395418687257919E-13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378.75660696651238</v>
      </c>
      <c r="BJ123" s="59">
        <f t="shared" si="92"/>
        <v>371.70674704563288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72.239753872375587</v>
      </c>
      <c r="BQ123" s="21">
        <f>EXP(-LN(2)/25)*BQ122+(1-EXP(-LN(2)/25))/(LN(2)/25)*Calculateur!BL123*Calculateur!BN123*VLOOKUP('Données projet'!$B$11,Paramètres!$A$1:$I$89,3,0)*0.475*44/12</f>
        <v>24.260174126721246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96.499927999096826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4.583333333333333</v>
      </c>
      <c r="BY123" s="12">
        <f>IF('Données projet'!$A$114&gt;35,BY122+BX123-CG122,IF(A123&lt;'Données projet'!$A$114,$BV$205^A123,IF(A123='Données projet'!$A$114,'Données projet'!$B$114,BY122+BX123-CG122)))</f>
        <v>199.75000000000051</v>
      </c>
      <c r="BZ123" s="13">
        <f>BY123*VLOOKUP('Données projet'!$B$12,Paramètres!$A$1:$I$89,3,0)*VLOOKUP('Données projet'!$B$12,Paramètres!$A$1:$I$89,5,0)</f>
        <v>202.54650000000055</v>
      </c>
      <c r="CA123" s="13">
        <f t="shared" si="93"/>
        <v>50.303398588797315</v>
      </c>
      <c r="CB123" s="20">
        <f t="shared" si="64"/>
        <v>440.38024004215623</v>
      </c>
      <c r="CC123" s="59">
        <f t="shared" si="65"/>
        <v>733.71357337548955</v>
      </c>
      <c r="CD123" s="59">
        <f ca="1">AVERAGE(OFFSET($CC$3,0,0,'Données projet'!$E$12+1,1))-AVERAGE(OFFSET($H$3,0,0,'Données projet'!$E$12+1,1))</f>
        <v>410.75375635525211</v>
      </c>
      <c r="CE123" s="59">
        <f t="shared" si="94"/>
        <v>183.55513001437367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33.14549721953091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33.14549721953091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6.4</v>
      </c>
      <c r="CT123" s="12">
        <f>IF('Données projet'!$A$140&gt;35,CT122+CS123-DB122,IF(A123&lt;'Données projet'!$A$140,$CQ$205^A123,IF(A123='Données projet'!$A$140,'Données projet'!$B$140,CT122+CS123-DB122)))</f>
        <v>286.79999999999984</v>
      </c>
      <c r="CU123" s="17">
        <f>CT123*VLOOKUP('Données projet'!$B$13,Paramètres!$A$1:$I$89,3,0)*VLOOKUP('Données projet'!$B$13,Paramètres!$A$1:$I$89,5,0)</f>
        <v>259.49663999999984</v>
      </c>
      <c r="CV123" s="13">
        <f t="shared" si="95"/>
        <v>62.61506984708253</v>
      </c>
      <c r="CW123" s="20">
        <f t="shared" si="67"/>
        <v>561.01122798366839</v>
      </c>
      <c r="CX123" s="59">
        <f t="shared" si="68"/>
        <v>854.34456131700176</v>
      </c>
      <c r="CY123" s="59">
        <f ca="1">AVERAGE(OFFSET($CX$3,0,0,'Données projet'!$E$13+1,1))-AVERAGE(OFFSET($H$3,0,0,'Données projet'!$E$13+1,1))</f>
        <v>436.12708882925142</v>
      </c>
      <c r="CZ123" s="59">
        <f t="shared" si="96"/>
        <v>217.65884352525285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37.032485971793541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37.032485971793541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3.4106051316484809E-13</v>
      </c>
      <c r="DP123" s="17">
        <f>DO123*VLOOKUP('Données projet'!$B$14,Paramètres!$A$1:$I$89,3,0)*VLOOKUP('Données projet'!$B$14,Paramètres!$A$1:$I$89,5,0)</f>
        <v>3.2455318432766944E-13</v>
      </c>
      <c r="DQ123" s="13">
        <f t="shared" si="97"/>
        <v>4.2513245787534721E-12</v>
      </c>
      <c r="DR123" s="20">
        <f t="shared" si="70"/>
        <v>7.9696537706996534E-12</v>
      </c>
      <c r="DS123" s="59">
        <f t="shared" si="71"/>
        <v>293.33333333334127</v>
      </c>
      <c r="DT123" s="59">
        <f ca="1">AVERAGE(OFFSET($DS$3,0,0,'Données projet'!$E$14+1,1))-AVERAGE(OFFSET($H$3,0,0,'Données projet'!$E$14+1,1))</f>
        <v>735.50267870886194</v>
      </c>
      <c r="DU123" s="59">
        <f t="shared" si="98"/>
        <v>525.80345400853275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192.70911512580076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192.70911512580076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4.583333333333333</v>
      </c>
      <c r="EJ123" s="12">
        <f>IF('Données projet'!$A$192&gt;35,EJ122+EI123-ER122,IF(A123&lt;'Données projet'!$A$192,$EG$205^A123,IF(A123='Données projet'!$A$192,'Données projet'!$B$192,EJ122+EI123-ER122)))</f>
        <v>199.75000000000051</v>
      </c>
      <c r="EK123" s="17">
        <f>EJ123*VLOOKUP('Données projet'!$B$15,Paramètres!$A$1:$I$89,3,0)*VLOOKUP('Données projet'!$B$15,Paramètres!$A$1:$I$89,5,0)</f>
        <v>127.76010000000032</v>
      </c>
      <c r="EL123" s="13">
        <f t="shared" si="99"/>
        <v>33.478261831811778</v>
      </c>
      <c r="EM123" s="20">
        <f t="shared" si="73"/>
        <v>280.82348019040609</v>
      </c>
      <c r="EN123" s="59">
        <f t="shared" si="74"/>
        <v>574.1568135237394</v>
      </c>
      <c r="EO123" s="59">
        <f ca="1">AVERAGE(OFFSET($EN$3,0,0,'Données projet'!$E$15+1,1))-AVERAGE(OFFSET($H$3,0,0,'Données projet'!$E$15+1,1))</f>
        <v>274.14900959323484</v>
      </c>
      <c r="EP123" s="59">
        <f t="shared" si="100"/>
        <v>130.44590390921582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20.90715978462719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20.90715978462719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-2.2737367544323206E-13</v>
      </c>
      <c r="FF123" s="17">
        <f>FE123*VLOOKUP('Données projet'!$B$16,Paramètres!$A$1:$I$89,3,0)*VLOOKUP('Données projet'!$B$16,Paramètres!$A$1:$I$89,5,0)</f>
        <v>-1.3596945791505279E-13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405.42845699663462</v>
      </c>
      <c r="FK123" s="59">
        <f t="shared" si="102"/>
        <v>292.26503163353146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107.4066053971781</v>
      </c>
      <c r="FR123" s="21">
        <f>EXP(-LN(2)/25)*FR122+(1-EXP(-LN(2)/25))/(LN(2)/25)*Calculateur!FM123*Calculateur!FO123*VLOOKUP('Données projet'!$B$16,Paramètres!$A$1:$I$89,3,0)*0.475*44/12</f>
        <v>37.414609481146023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144.82121487832413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-2.2737367544323206E-13</v>
      </c>
      <c r="GA123" s="17">
        <f>FZ123*VLOOKUP('Données projet'!$B$17,Paramètres!$A$1:$I$89,3,0)*VLOOKUP('Données projet'!$B$17,Paramètres!$A$1:$I$89,5,0)</f>
        <v>-1.3596945791505279E-13</v>
      </c>
      <c r="GB123" s="13" t="e">
        <f t="shared" si="103"/>
        <v>#NUM!</v>
      </c>
      <c r="GC123" s="20" t="e">
        <f t="shared" si="79"/>
        <v>#NUM!</v>
      </c>
      <c r="GD123" s="59" t="e">
        <f t="shared" si="80"/>
        <v>#NUM!</v>
      </c>
      <c r="GE123" s="59">
        <f ca="1">AVERAGE(OFFSET($GD$3,0,0,'Données projet'!$E$17+1,1))-AVERAGE(OFFSET($H$3,0,0,'Données projet'!$E$17+1,1))</f>
        <v>405.42845699663462</v>
      </c>
      <c r="GF123" s="59">
        <f t="shared" si="104"/>
        <v>292.26503163353146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107.4066053971781</v>
      </c>
      <c r="GM123" s="21">
        <f>EXP(-LN(2)/25)*GM122+(1-EXP(-LN(2)/25))/(LN(2)/25)*Calculateur!GH123*Calculateur!GJ123*VLOOKUP('Données projet'!$B$17,Paramètres!$A$1:$I$89,3,0)*0.475*44/12</f>
        <v>37.414609481146023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144.82121487832413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-5.3205440053716299E-14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198.26255998041</v>
      </c>
      <c r="T124" s="59">
        <f t="shared" si="88"/>
        <v>238.62101708181166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32.798054126952287</v>
      </c>
      <c r="AA124" s="21">
        <f>EXP(-LN(2)/25)*AA123+(1-EXP(-LN(2)/25))/(LN(2)/25)*Calculateur!V124*Calculateur!X124*VLOOKUP('Données projet'!$B$9,Paramètres!$A$1:$I$89,3,0)*0.475*44/12</f>
        <v>11.474671721703254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44.27272584865554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3.4106051316484809E-13</v>
      </c>
      <c r="AJ124" s="13">
        <f>AI124*VLOOKUP('Données projet'!$B$10,Paramètres!$A$1:$I$89,3,0)*VLOOKUP('Données projet'!$B$10,Paramètres!$A$1:$I$89,5,0)</f>
        <v>1.9065282685915009E-13</v>
      </c>
      <c r="AK124" s="13">
        <f t="shared" si="89"/>
        <v>2.6568987209435707E-12</v>
      </c>
      <c r="AL124" s="20">
        <f t="shared" si="58"/>
        <v>4.959485612423072E-12</v>
      </c>
      <c r="AM124" s="59">
        <f t="shared" si="59"/>
        <v>293.33333333333826</v>
      </c>
      <c r="AN124" s="59">
        <f ca="1">AVERAGE(OFFSET($AM$3,0,0,'Données projet'!$E$10+1,1))-AVERAGE(OFFSET($H$3,0,0,'Données projet'!$E$10+1,1))</f>
        <v>347.02720636703873</v>
      </c>
      <c r="AO124" s="59">
        <f t="shared" si="90"/>
        <v>394.03759949558702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71.594663004945133</v>
      </c>
      <c r="AV124" s="21">
        <f>EXP(-LN(2)/25)*AV123+(1-EXP(-LN(2)/25))/(LN(2)/25)*Calculateur!AQ124*Calculateur!AS124*VLOOKUP('Données projet'!$B$10,Paramètres!$A$1:$I$89,3,0)*0.475*44/12</f>
        <v>24.422074547311031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96.01673755225616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-3.4106051316484809E-13</v>
      </c>
      <c r="BE124" s="13">
        <f>BD124*VLOOKUP('Données projet'!$B$11,Paramètres!$A$1:$I$89,3,0)*VLOOKUP('Données projet'!$B$11,Paramètres!$A$1:$I$89,5,0)</f>
        <v>-2.0395418687257919E-13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378.75660696651238</v>
      </c>
      <c r="BJ124" s="59">
        <f t="shared" si="92"/>
        <v>371.70674704563288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70.823176360837408</v>
      </c>
      <c r="BQ124" s="21">
        <f>EXP(-LN(2)/25)*BQ123+(1-EXP(-LN(2)/25))/(LN(2)/25)*Calculateur!BL124*Calculateur!BN124*VLOOKUP('Données projet'!$B$11,Paramètres!$A$1:$I$89,3,0)*0.475*44/12</f>
        <v>23.596778389438942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94.419954750276347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4.583333333333333</v>
      </c>
      <c r="BY124" s="12">
        <f>IF('Données projet'!$A$114&gt;35,BY123+BX124-CG123,IF(A124&lt;'Données projet'!$A$114,$BV$205^A124,IF(A124='Données projet'!$A$114,'Données projet'!$B$114,BY123+BX124-CG123)))</f>
        <v>204.33333333333385</v>
      </c>
      <c r="BZ124" s="13">
        <f>BY124*VLOOKUP('Données projet'!$B$12,Paramètres!$A$1:$I$89,3,0)*VLOOKUP('Données projet'!$B$12,Paramètres!$A$1:$I$89,5,0)</f>
        <v>207.19400000000053</v>
      </c>
      <c r="CA124" s="13">
        <f t="shared" si="93"/>
        <v>51.321924863825693</v>
      </c>
      <c r="CB124" s="20">
        <f t="shared" si="64"/>
        <v>450.24856913783066</v>
      </c>
      <c r="CC124" s="59">
        <f t="shared" si="65"/>
        <v>743.58190247116397</v>
      </c>
      <c r="CD124" s="59">
        <f ca="1">AVERAGE(OFFSET($CC$3,0,0,'Données projet'!$E$12+1,1))-AVERAGE(OFFSET($H$3,0,0,'Données projet'!$E$12+1,1))</f>
        <v>410.75375635525211</v>
      </c>
      <c r="CE124" s="59">
        <f t="shared" si="94"/>
        <v>183.55513001437367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32.495534235812976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32.495534235812976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6.4</v>
      </c>
      <c r="CT124" s="12">
        <f>IF('Données projet'!$A$140&gt;35,CT123+CS124-DB123,IF(A124&lt;'Données projet'!$A$140,$CQ$205^A124,IF(A124='Données projet'!$A$140,'Données projet'!$B$140,CT123+CS124-DB123)))</f>
        <v>293.19999999999982</v>
      </c>
      <c r="CU124" s="17">
        <f>CT124*VLOOKUP('Données projet'!$B$13,Paramètres!$A$1:$I$89,3,0)*VLOOKUP('Données projet'!$B$13,Paramètres!$A$1:$I$89,5,0)</f>
        <v>265.28735999999981</v>
      </c>
      <c r="CV124" s="13">
        <f t="shared" si="95"/>
        <v>63.84810550096995</v>
      </c>
      <c r="CW124" s="20">
        <f t="shared" si="67"/>
        <v>573.2442690808557</v>
      </c>
      <c r="CX124" s="59">
        <f t="shared" si="68"/>
        <v>866.57760241418896</v>
      </c>
      <c r="CY124" s="59">
        <f ca="1">AVERAGE(OFFSET($CX$3,0,0,'Données projet'!$E$13+1,1))-AVERAGE(OFFSET($H$3,0,0,'Données projet'!$E$13+1,1))</f>
        <v>436.12708882925142</v>
      </c>
      <c r="CZ124" s="59">
        <f t="shared" si="96"/>
        <v>217.65884352525285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36.306301509472775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36.306301509472775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3.4106051316484809E-13</v>
      </c>
      <c r="DP124" s="17">
        <f>DO124*VLOOKUP('Données projet'!$B$14,Paramètres!$A$1:$I$89,3,0)*VLOOKUP('Données projet'!$B$14,Paramètres!$A$1:$I$89,5,0)</f>
        <v>3.2455318432766944E-13</v>
      </c>
      <c r="DQ124" s="13">
        <f t="shared" si="97"/>
        <v>4.2513245787534721E-12</v>
      </c>
      <c r="DR124" s="20">
        <f t="shared" si="70"/>
        <v>7.9696537706996534E-12</v>
      </c>
      <c r="DS124" s="59">
        <f t="shared" si="71"/>
        <v>293.33333333334127</v>
      </c>
      <c r="DT124" s="59">
        <f ca="1">AVERAGE(OFFSET($DS$3,0,0,'Données projet'!$E$14+1,1))-AVERAGE(OFFSET($H$3,0,0,'Données projet'!$E$14+1,1))</f>
        <v>735.50267870886194</v>
      </c>
      <c r="DU124" s="59">
        <f t="shared" si="98"/>
        <v>525.80345400853275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188.93020691913785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188.93020691913785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4.583333333333333</v>
      </c>
      <c r="EJ124" s="12">
        <f>IF('Données projet'!$A$192&gt;35,EJ123+EI124-ER123,IF(A124&lt;'Données projet'!$A$192,$EG$205^A124,IF(A124='Données projet'!$A$192,'Données projet'!$B$192,EJ123+EI124-ER123)))</f>
        <v>204.33333333333385</v>
      </c>
      <c r="EK124" s="17">
        <f>EJ124*VLOOKUP('Données projet'!$B$15,Paramètres!$A$1:$I$89,3,0)*VLOOKUP('Données projet'!$B$15,Paramètres!$A$1:$I$89,5,0)</f>
        <v>130.69160000000034</v>
      </c>
      <c r="EL124" s="13">
        <f t="shared" si="99"/>
        <v>34.156118403625534</v>
      </c>
      <c r="EM124" s="20">
        <f t="shared" si="73"/>
        <v>287.10977621964838</v>
      </c>
      <c r="EN124" s="59">
        <f t="shared" si="74"/>
        <v>580.4431095529817</v>
      </c>
      <c r="EO124" s="59">
        <f ca="1">AVERAGE(OFFSET($EN$3,0,0,'Données projet'!$E$15+1,1))-AVERAGE(OFFSET($H$3,0,0,'Données projet'!$E$15+1,1))</f>
        <v>274.14900959323484</v>
      </c>
      <c r="EP124" s="59">
        <f t="shared" si="100"/>
        <v>130.44590390921582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20.497183133358952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20.497183133358952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-2.2737367544323206E-13</v>
      </c>
      <c r="FF124" s="17">
        <f>FE124*VLOOKUP('Données projet'!$B$16,Paramètres!$A$1:$I$89,3,0)*VLOOKUP('Données projet'!$B$16,Paramètres!$A$1:$I$89,5,0)</f>
        <v>-1.3596945791505279E-13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405.42845699663462</v>
      </c>
      <c r="FK124" s="59">
        <f t="shared" si="102"/>
        <v>292.26503163353146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105.3004273769</v>
      </c>
      <c r="FR124" s="21">
        <f>EXP(-LN(2)/25)*FR123+(1-EXP(-LN(2)/25))/(LN(2)/25)*Calculateur!FM124*Calculateur!FO124*VLOOKUP('Données projet'!$B$16,Paramètres!$A$1:$I$89,3,0)*0.475*44/12</f>
        <v>36.391505017335284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141.69193239423529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-2.2737367544323206E-13</v>
      </c>
      <c r="GA124" s="17">
        <f>FZ124*VLOOKUP('Données projet'!$B$17,Paramètres!$A$1:$I$89,3,0)*VLOOKUP('Données projet'!$B$17,Paramètres!$A$1:$I$89,5,0)</f>
        <v>-1.3596945791505279E-13</v>
      </c>
      <c r="GB124" s="13" t="e">
        <f t="shared" si="103"/>
        <v>#NUM!</v>
      </c>
      <c r="GC124" s="20" t="e">
        <f t="shared" si="79"/>
        <v>#NUM!</v>
      </c>
      <c r="GD124" s="59" t="e">
        <f t="shared" si="80"/>
        <v>#NUM!</v>
      </c>
      <c r="GE124" s="59">
        <f ca="1">AVERAGE(OFFSET($GD$3,0,0,'Données projet'!$E$17+1,1))-AVERAGE(OFFSET($H$3,0,0,'Données projet'!$E$17+1,1))</f>
        <v>405.42845699663462</v>
      </c>
      <c r="GF124" s="59">
        <f t="shared" si="104"/>
        <v>292.26503163353146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105.3004273769</v>
      </c>
      <c r="GM124" s="21">
        <f>EXP(-LN(2)/25)*GM123+(1-EXP(-LN(2)/25))/(LN(2)/25)*Calculateur!GH124*Calculateur!GJ124*VLOOKUP('Données projet'!$B$17,Paramètres!$A$1:$I$89,3,0)*0.475*44/12</f>
        <v>36.391505017335284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141.69193239423529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-5.3205440053716299E-14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198.26255998041</v>
      </c>
      <c r="T125" s="59">
        <f t="shared" si="88"/>
        <v>238.62101708181166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32.154904290360456</v>
      </c>
      <c r="AA125" s="21">
        <f>EXP(-LN(2)/25)*AA124+(1-EXP(-LN(2)/25))/(LN(2)/25)*Calculateur!V125*Calculateur!X125*VLOOKUP('Données projet'!$B$9,Paramètres!$A$1:$I$89,3,0)*0.475*44/12</f>
        <v>11.160896220046519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43.315800510406973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3.4106051316484809E-13</v>
      </c>
      <c r="AJ125" s="13">
        <f>AI125*VLOOKUP('Données projet'!$B$10,Paramètres!$A$1:$I$89,3,0)*VLOOKUP('Données projet'!$B$10,Paramètres!$A$1:$I$89,5,0)</f>
        <v>1.9065282685915009E-13</v>
      </c>
      <c r="AK125" s="13">
        <f t="shared" si="89"/>
        <v>2.6568987209435707E-12</v>
      </c>
      <c r="AL125" s="20">
        <f t="shared" si="58"/>
        <v>4.959485612423072E-12</v>
      </c>
      <c r="AM125" s="59">
        <f t="shared" si="59"/>
        <v>293.33333333333826</v>
      </c>
      <c r="AN125" s="59">
        <f ca="1">AVERAGE(OFFSET($AM$3,0,0,'Données projet'!$E$10+1,1))-AVERAGE(OFFSET($H$3,0,0,'Données projet'!$E$10+1,1))</f>
        <v>347.02720636703873</v>
      </c>
      <c r="AO125" s="59">
        <f t="shared" si="90"/>
        <v>394.03759949558702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70.190735331850689</v>
      </c>
      <c r="AV125" s="21">
        <f>EXP(-LN(2)/25)*AV124+(1-EXP(-LN(2)/25))/(LN(2)/25)*Calculateur!AQ125*Calculateur!AS125*VLOOKUP('Données projet'!$B$10,Paramètres!$A$1:$I$89,3,0)*0.475*44/12</f>
        <v>23.754251634513729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93.944986966364411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-3.4106051316484809E-13</v>
      </c>
      <c r="BE125" s="13">
        <f>BD125*VLOOKUP('Données projet'!$B$11,Paramètres!$A$1:$I$89,3,0)*VLOOKUP('Données projet'!$B$11,Paramètres!$A$1:$I$89,5,0)</f>
        <v>-2.0395418687257919E-13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378.75660696651238</v>
      </c>
      <c r="BJ125" s="59">
        <f t="shared" si="92"/>
        <v>371.70674704563288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69.434377070273527</v>
      </c>
      <c r="BQ125" s="21">
        <f>EXP(-LN(2)/25)*BQ124+(1-EXP(-LN(2)/25))/(LN(2)/25)*Calculateur!BL125*Calculateur!BN125*VLOOKUP('Données projet'!$B$11,Paramètres!$A$1:$I$89,3,0)*0.475*44/12</f>
        <v>22.951523243479091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92.385900313752614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4.583333333333333</v>
      </c>
      <c r="BY125" s="12">
        <f>IF('Données projet'!$A$114&gt;35,BY124+BX125-CG124,IF(A125&lt;'Données projet'!$A$114,$BV$205^A125,IF(A125='Données projet'!$A$114,'Données projet'!$B$114,BY124+BX125-CG124)))</f>
        <v>208.9166666666672</v>
      </c>
      <c r="BZ125" s="13">
        <f>BY125*VLOOKUP('Données projet'!$B$12,Paramètres!$A$1:$I$89,3,0)*VLOOKUP('Données projet'!$B$12,Paramètres!$A$1:$I$89,5,0)</f>
        <v>211.84150000000056</v>
      </c>
      <c r="CA125" s="13">
        <f t="shared" si="93"/>
        <v>52.337795071390225</v>
      </c>
      <c r="CB125" s="20">
        <f t="shared" si="64"/>
        <v>460.11227224933896</v>
      </c>
      <c r="CC125" s="59">
        <f t="shared" si="65"/>
        <v>753.44560558267221</v>
      </c>
      <c r="CD125" s="59">
        <f ca="1">AVERAGE(OFFSET($CC$3,0,0,'Données projet'!$E$12+1,1))-AVERAGE(OFFSET($H$3,0,0,'Données projet'!$E$12+1,1))</f>
        <v>410.75375635525211</v>
      </c>
      <c r="CE125" s="59">
        <f t="shared" si="94"/>
        <v>183.55513001437367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31.858316629767472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31.858316629767472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6.4</v>
      </c>
      <c r="CT125" s="12">
        <f>IF('Données projet'!$A$140&gt;35,CT124+CS125-DB124,IF(A125&lt;'Données projet'!$A$140,$CQ$205^A125,IF(A125='Données projet'!$A$140,'Données projet'!$B$140,CT124+CS125-DB124)))</f>
        <v>299.5999999999998</v>
      </c>
      <c r="CU125" s="17">
        <f>CT125*VLOOKUP('Données projet'!$B$13,Paramètres!$A$1:$I$89,3,0)*VLOOKUP('Données projet'!$B$13,Paramètres!$A$1:$I$89,5,0)</f>
        <v>271.07807999999977</v>
      </c>
      <c r="CV125" s="13">
        <f t="shared" si="95"/>
        <v>65.078011982620907</v>
      </c>
      <c r="CW125" s="20">
        <f t="shared" si="67"/>
        <v>585.47186020306435</v>
      </c>
      <c r="CX125" s="59">
        <f t="shared" si="68"/>
        <v>878.80519353639761</v>
      </c>
      <c r="CY125" s="59">
        <f ca="1">AVERAGE(OFFSET($CX$3,0,0,'Données projet'!$E$13+1,1))-AVERAGE(OFFSET($H$3,0,0,'Données projet'!$E$13+1,1))</f>
        <v>436.12708882925142</v>
      </c>
      <c r="CZ125" s="59">
        <f t="shared" si="96"/>
        <v>217.65884352525285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35.594357081529331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35.594357081529331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3.4106051316484809E-13</v>
      </c>
      <c r="DP125" s="17">
        <f>DO125*VLOOKUP('Données projet'!$B$14,Paramètres!$A$1:$I$89,3,0)*VLOOKUP('Données projet'!$B$14,Paramètres!$A$1:$I$89,5,0)</f>
        <v>3.2455318432766944E-13</v>
      </c>
      <c r="DQ125" s="13">
        <f t="shared" si="97"/>
        <v>4.2513245787534721E-12</v>
      </c>
      <c r="DR125" s="20">
        <f t="shared" si="70"/>
        <v>7.9696537706996534E-12</v>
      </c>
      <c r="DS125" s="59">
        <f t="shared" si="71"/>
        <v>293.33333333334127</v>
      </c>
      <c r="DT125" s="59">
        <f ca="1">AVERAGE(OFFSET($DS$3,0,0,'Données projet'!$E$14+1,1))-AVERAGE(OFFSET($H$3,0,0,'Données projet'!$E$14+1,1))</f>
        <v>735.50267870886194</v>
      </c>
      <c r="DU125" s="59">
        <f t="shared" si="98"/>
        <v>525.80345400853275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185.22540079750115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185.22540079750115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4.583333333333333</v>
      </c>
      <c r="EJ125" s="12">
        <f>IF('Données projet'!$A$192&gt;35,EJ124+EI125-ER124,IF(A125&lt;'Données projet'!$A$192,$EG$205^A125,IF(A125='Données projet'!$A$192,'Données projet'!$B$192,EJ124+EI125-ER124)))</f>
        <v>208.9166666666672</v>
      </c>
      <c r="EK125" s="17">
        <f>EJ125*VLOOKUP('Données projet'!$B$15,Paramètres!$A$1:$I$89,3,0)*VLOOKUP('Données projet'!$B$15,Paramètres!$A$1:$I$89,5,0)</f>
        <v>133.62310000000033</v>
      </c>
      <c r="EL125" s="13">
        <f t="shared" si="99"/>
        <v>34.832207291256942</v>
      </c>
      <c r="EM125" s="20">
        <f t="shared" si="73"/>
        <v>293.39299353227307</v>
      </c>
      <c r="EN125" s="59">
        <f t="shared" si="74"/>
        <v>586.72632686560632</v>
      </c>
      <c r="EO125" s="59">
        <f ca="1">AVERAGE(OFFSET($EN$3,0,0,'Données projet'!$E$15+1,1))-AVERAGE(OFFSET($H$3,0,0,'Données projet'!$E$15+1,1))</f>
        <v>274.14900959323484</v>
      </c>
      <c r="EP125" s="59">
        <f t="shared" si="100"/>
        <v>130.44590390921582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20.095245874161019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20.095245874161019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-2.2737367544323206E-13</v>
      </c>
      <c r="FF125" s="17">
        <f>FE125*VLOOKUP('Données projet'!$B$16,Paramètres!$A$1:$I$89,3,0)*VLOOKUP('Données projet'!$B$16,Paramètres!$A$1:$I$89,5,0)</f>
        <v>-1.3596945791505279E-13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405.42845699663462</v>
      </c>
      <c r="FK125" s="59">
        <f t="shared" si="102"/>
        <v>292.26503163353146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103.23555022295781</v>
      </c>
      <c r="FR125" s="21">
        <f>EXP(-LN(2)/25)*FR124+(1-EXP(-LN(2)/25))/(LN(2)/25)*Calculateur!FM125*Calculateur!FO125*VLOOKUP('Données projet'!$B$16,Paramètres!$A$1:$I$89,3,0)*0.475*44/12</f>
        <v>35.396377398890174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138.63192762184798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-2.2737367544323206E-13</v>
      </c>
      <c r="GA125" s="17">
        <f>FZ125*VLOOKUP('Données projet'!$B$17,Paramètres!$A$1:$I$89,3,0)*VLOOKUP('Données projet'!$B$17,Paramètres!$A$1:$I$89,5,0)</f>
        <v>-1.3596945791505279E-13</v>
      </c>
      <c r="GB125" s="13" t="e">
        <f t="shared" si="103"/>
        <v>#NUM!</v>
      </c>
      <c r="GC125" s="20" t="e">
        <f t="shared" si="79"/>
        <v>#NUM!</v>
      </c>
      <c r="GD125" s="59" t="e">
        <f t="shared" si="80"/>
        <v>#NUM!</v>
      </c>
      <c r="GE125" s="59">
        <f ca="1">AVERAGE(OFFSET($GD$3,0,0,'Données projet'!$E$17+1,1))-AVERAGE(OFFSET($H$3,0,0,'Données projet'!$E$17+1,1))</f>
        <v>405.42845699663462</v>
      </c>
      <c r="GF125" s="59">
        <f t="shared" si="104"/>
        <v>292.26503163353146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103.23555022295781</v>
      </c>
      <c r="GM125" s="21">
        <f>EXP(-LN(2)/25)*GM124+(1-EXP(-LN(2)/25))/(LN(2)/25)*Calculateur!GH125*Calculateur!GJ125*VLOOKUP('Données projet'!$B$17,Paramètres!$A$1:$I$89,3,0)*0.475*44/12</f>
        <v>35.396377398890174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138.63192762184798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-5.3205440053716299E-14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198.26255998041</v>
      </c>
      <c r="T126" s="59">
        <f t="shared" si="88"/>
        <v>238.62101708181166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31.524366229781524</v>
      </c>
      <c r="AA126" s="21">
        <f>EXP(-LN(2)/25)*AA125+(1-EXP(-LN(2)/25))/(LN(2)/25)*Calculateur!V126*Calculateur!X126*VLOOKUP('Données projet'!$B$9,Paramètres!$A$1:$I$89,3,0)*0.475*44/12</f>
        <v>10.855700925983323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42.380067155764849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3.4106051316484809E-13</v>
      </c>
      <c r="AJ126" s="13">
        <f>AI126*VLOOKUP('Données projet'!$B$10,Paramètres!$A$1:$I$89,3,0)*VLOOKUP('Données projet'!$B$10,Paramètres!$A$1:$I$89,5,0)</f>
        <v>1.9065282685915009E-13</v>
      </c>
      <c r="AK126" s="13">
        <f t="shared" si="89"/>
        <v>2.6568987209435707E-12</v>
      </c>
      <c r="AL126" s="20">
        <f t="shared" si="58"/>
        <v>4.959485612423072E-12</v>
      </c>
      <c r="AM126" s="59">
        <f t="shared" si="59"/>
        <v>293.33333333333826</v>
      </c>
      <c r="AN126" s="59">
        <f ca="1">AVERAGE(OFFSET($AM$3,0,0,'Données projet'!$E$10+1,1))-AVERAGE(OFFSET($H$3,0,0,'Données projet'!$E$10+1,1))</f>
        <v>347.02720636703873</v>
      </c>
      <c r="AO126" s="59">
        <f t="shared" si="90"/>
        <v>394.03759949558702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68.814337824114304</v>
      </c>
      <c r="AV126" s="21">
        <f>EXP(-LN(2)/25)*AV125+(1-EXP(-LN(2)/25))/(LN(2)/25)*Calculateur!AQ126*Calculateur!AS126*VLOOKUP('Données projet'!$B$10,Paramètres!$A$1:$I$89,3,0)*0.475*44/12</f>
        <v>23.104690374386148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91.919028198500456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-3.4106051316484809E-13</v>
      </c>
      <c r="BE126" s="13">
        <f>BD126*VLOOKUP('Données projet'!$B$11,Paramètres!$A$1:$I$89,3,0)*VLOOKUP('Données projet'!$B$11,Paramètres!$A$1:$I$89,5,0)</f>
        <v>-2.0395418687257919E-13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378.75660696651238</v>
      </c>
      <c r="BJ126" s="59">
        <f t="shared" si="92"/>
        <v>371.70674704563288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68.072811286713687</v>
      </c>
      <c r="BQ126" s="21">
        <f>EXP(-LN(2)/25)*BQ125+(1-EXP(-LN(2)/25))/(LN(2)/25)*Calculateur!BL126*Calculateur!BN126*VLOOKUP('Données projet'!$B$11,Paramètres!$A$1:$I$89,3,0)*0.475*44/12</f>
        <v>22.323912633418004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90.396723920131691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4.583333333333333</v>
      </c>
      <c r="BY126" s="12">
        <f>IF('Données projet'!$A$114&gt;35,BY125+BX126-CG125,IF(A126&lt;'Données projet'!$A$114,$BV$205^A126,IF(A126='Données projet'!$A$114,'Données projet'!$B$114,BY125+BX126-CG125)))</f>
        <v>213.50000000000054</v>
      </c>
      <c r="BZ126" s="13">
        <f>BY126*VLOOKUP('Données projet'!$B$12,Paramètres!$A$1:$I$89,3,0)*VLOOKUP('Données projet'!$B$12,Paramètres!$A$1:$I$89,5,0)</f>
        <v>216.48900000000054</v>
      </c>
      <c r="CA126" s="13">
        <f t="shared" si="93"/>
        <v>53.351074192023248</v>
      </c>
      <c r="CB126" s="20">
        <f t="shared" si="64"/>
        <v>469.97146255110812</v>
      </c>
      <c r="CC126" s="59">
        <f t="shared" si="65"/>
        <v>763.30479588444143</v>
      </c>
      <c r="CD126" s="59">
        <f ca="1">AVERAGE(OFFSET($CC$3,0,0,'Données projet'!$E$12+1,1))-AVERAGE(OFFSET($H$3,0,0,'Données projet'!$E$12+1,1))</f>
        <v>410.75375635525211</v>
      </c>
      <c r="CE126" s="59">
        <f t="shared" si="94"/>
        <v>183.55513001437367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31.233594472312159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31.233594472312159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>
        <f>VLOOKUP(A126,'Données projet'!$A$139:$I$159,2,0)</f>
        <v>306</v>
      </c>
      <c r="CR126" s="12">
        <f>VLOOKUP(A126,'Données projet'!$A$139:$I$159,9,0)</f>
        <v>6.4</v>
      </c>
      <c r="CS126" s="12">
        <f t="array" ref="CS126">INDEX(CR:CR,MIN(IF(ISNUMBER(CR126:CR322),ROW(CR126:CR322),"")))</f>
        <v>6.4</v>
      </c>
      <c r="CT126" s="12">
        <f>IF('Données projet'!$A$140&gt;35,CT125+CS126-DB125,IF(A126&lt;'Données projet'!$A$140,$CQ$205^A126,IF(A126='Données projet'!$A$140,'Données projet'!$B$140,CT125+CS126-DB125)))</f>
        <v>305.99999999999977</v>
      </c>
      <c r="CU126" s="17">
        <f>CT126*VLOOKUP('Données projet'!$B$13,Paramètres!$A$1:$I$89,3,0)*VLOOKUP('Données projet'!$B$13,Paramètres!$A$1:$I$89,5,0)</f>
        <v>276.86879999999979</v>
      </c>
      <c r="CV126" s="13">
        <f t="shared" si="95"/>
        <v>66.304863836318603</v>
      </c>
      <c r="CW126" s="20">
        <f t="shared" si="67"/>
        <v>597.69413118158775</v>
      </c>
      <c r="CX126" s="59">
        <f t="shared" si="68"/>
        <v>891.02746451492112</v>
      </c>
      <c r="CY126" s="59">
        <f ca="1">AVERAGE(OFFSET($CX$3,0,0,'Données projet'!$E$13+1,1))-AVERAGE(OFFSET($H$3,0,0,'Données projet'!$E$13+1,1))</f>
        <v>436.12708882925142</v>
      </c>
      <c r="CZ126" s="59">
        <f t="shared" si="96"/>
        <v>217.65884352525285</v>
      </c>
      <c r="DA126" s="15">
        <f>IF(ISNA(VLOOKUP(A126,'Données projet'!$A$139:$I$159,3,0)),0,VLOOKUP(A126,'Données projet'!$A$139:$I$159,3,0))</f>
        <v>10</v>
      </c>
      <c r="DB126" s="15">
        <f>IF(ISNA(VLOOKUP(A126,'Données projet'!$A$139:$I$159,4,0)),0,VLOOKUP(A126,'Données projet'!$A$139:$I$159,4,0))</f>
        <v>45</v>
      </c>
      <c r="DC126" s="16">
        <f>IF(ISNA(VLOOKUP(A126,'Données projet'!$A$139:$I$159,5,0)),0%,VLOOKUP(A126,'Données projet'!$A$139:$I$159,5,0)*VLOOKUP('Données projet'!$B$13,Paramètres!$A$1:$I$89,7,0))</f>
        <v>0.25800000000000001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46.509039098625038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46.509039098625038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3.4106051316484809E-13</v>
      </c>
      <c r="DP126" s="17">
        <f>DO126*VLOOKUP('Données projet'!$B$14,Paramètres!$A$1:$I$89,3,0)*VLOOKUP('Données projet'!$B$14,Paramètres!$A$1:$I$89,5,0)</f>
        <v>3.2455318432766944E-13</v>
      </c>
      <c r="DQ126" s="13">
        <f t="shared" si="97"/>
        <v>4.2513245787534721E-12</v>
      </c>
      <c r="DR126" s="20">
        <f t="shared" si="70"/>
        <v>7.9696537706996534E-12</v>
      </c>
      <c r="DS126" s="59">
        <f t="shared" si="71"/>
        <v>293.33333333334127</v>
      </c>
      <c r="DT126" s="59">
        <f ca="1">AVERAGE(OFFSET($DS$3,0,0,'Données projet'!$E$14+1,1))-AVERAGE(OFFSET($H$3,0,0,'Données projet'!$E$14+1,1))</f>
        <v>735.50267870886194</v>
      </c>
      <c r="DU126" s="59">
        <f t="shared" si="98"/>
        <v>525.80345400853275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181.59324366420114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181.59324366420114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4.583333333333333</v>
      </c>
      <c r="EJ126" s="12">
        <f>IF('Données projet'!$A$192&gt;35,EJ125+EI126-ER125,IF(A126&lt;'Données projet'!$A$192,$EG$205^A126,IF(A126='Données projet'!$A$192,'Données projet'!$B$192,EJ125+EI126-ER125)))</f>
        <v>213.50000000000054</v>
      </c>
      <c r="EK126" s="17">
        <f>EJ126*VLOOKUP('Données projet'!$B$15,Paramètres!$A$1:$I$89,3,0)*VLOOKUP('Données projet'!$B$15,Paramètres!$A$1:$I$89,5,0)</f>
        <v>136.55460000000033</v>
      </c>
      <c r="EL126" s="13">
        <f t="shared" si="99"/>
        <v>35.506571740994474</v>
      </c>
      <c r="EM126" s="20">
        <f t="shared" si="73"/>
        <v>299.67320744889929</v>
      </c>
      <c r="EN126" s="59">
        <f t="shared" si="74"/>
        <v>593.00654078223261</v>
      </c>
      <c r="EO126" s="59">
        <f ca="1">AVERAGE(OFFSET($EN$3,0,0,'Données projet'!$E$15+1,1))-AVERAGE(OFFSET($H$3,0,0,'Données projet'!$E$15+1,1))</f>
        <v>274.14900959323484</v>
      </c>
      <c r="EP126" s="59">
        <f t="shared" si="100"/>
        <v>130.44590390921582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19.701190359458437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19.701190359458437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-2.2737367544323206E-13</v>
      </c>
      <c r="FF126" s="17">
        <f>FE126*VLOOKUP('Données projet'!$B$16,Paramètres!$A$1:$I$89,3,0)*VLOOKUP('Données projet'!$B$16,Paramètres!$A$1:$I$89,5,0)</f>
        <v>-1.3596945791505279E-13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405.42845699663462</v>
      </c>
      <c r="FK126" s="59">
        <f t="shared" si="102"/>
        <v>292.26503163353146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101.21116405055372</v>
      </c>
      <c r="FR126" s="21">
        <f>EXP(-LN(2)/25)*FR125+(1-EXP(-LN(2)/25))/(LN(2)/25)*Calculateur!FM126*Calculateur!FO126*VLOOKUP('Données projet'!$B$16,Paramètres!$A$1:$I$89,3,0)*0.475*44/12</f>
        <v>34.428461597502931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135.63962564805666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-2.2737367544323206E-13</v>
      </c>
      <c r="GA126" s="17">
        <f>FZ126*VLOOKUP('Données projet'!$B$17,Paramètres!$A$1:$I$89,3,0)*VLOOKUP('Données projet'!$B$17,Paramètres!$A$1:$I$89,5,0)</f>
        <v>-1.3596945791505279E-13</v>
      </c>
      <c r="GB126" s="13" t="e">
        <f t="shared" si="103"/>
        <v>#NUM!</v>
      </c>
      <c r="GC126" s="20" t="e">
        <f t="shared" si="79"/>
        <v>#NUM!</v>
      </c>
      <c r="GD126" s="59" t="e">
        <f t="shared" si="80"/>
        <v>#NUM!</v>
      </c>
      <c r="GE126" s="59">
        <f ca="1">AVERAGE(OFFSET($GD$3,0,0,'Données projet'!$E$17+1,1))-AVERAGE(OFFSET($H$3,0,0,'Données projet'!$E$17+1,1))</f>
        <v>405.42845699663462</v>
      </c>
      <c r="GF126" s="59">
        <f t="shared" si="104"/>
        <v>292.26503163353146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101.21116405055372</v>
      </c>
      <c r="GM126" s="21">
        <f>EXP(-LN(2)/25)*GM125+(1-EXP(-LN(2)/25))/(LN(2)/25)*Calculateur!GH126*Calculateur!GJ126*VLOOKUP('Données projet'!$B$17,Paramètres!$A$1:$I$89,3,0)*0.475*44/12</f>
        <v>34.428461597502931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135.63962564805666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-5.3205440053716299E-14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198.26255998041</v>
      </c>
      <c r="T127" s="59">
        <f t="shared" si="88"/>
        <v>238.62101708181166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30.906192635980304</v>
      </c>
      <c r="AA127" s="21">
        <f>EXP(-LN(2)/25)*AA126+(1-EXP(-LN(2)/25))/(LN(2)/25)*Calculateur!V127*Calculateur!X127*VLOOKUP('Données projet'!$B$9,Paramètres!$A$1:$I$89,3,0)*0.475*44/12</f>
        <v>10.558851213285807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41.46504384926611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3.4106051316484809E-13</v>
      </c>
      <c r="AJ127" s="13">
        <f>AI127*VLOOKUP('Données projet'!$B$10,Paramètres!$A$1:$I$89,3,0)*VLOOKUP('Données projet'!$B$10,Paramètres!$A$1:$I$89,5,0)</f>
        <v>1.9065282685915009E-13</v>
      </c>
      <c r="AK127" s="13">
        <f t="shared" si="89"/>
        <v>2.6568987209435707E-12</v>
      </c>
      <c r="AL127" s="20">
        <f t="shared" si="58"/>
        <v>4.959485612423072E-12</v>
      </c>
      <c r="AM127" s="59">
        <f t="shared" si="59"/>
        <v>293.33333333333826</v>
      </c>
      <c r="AN127" s="59">
        <f ca="1">AVERAGE(OFFSET($AM$3,0,0,'Données projet'!$E$10+1,1))-AVERAGE(OFFSET($H$3,0,0,'Données projet'!$E$10+1,1))</f>
        <v>347.02720636703873</v>
      </c>
      <c r="AO127" s="59">
        <f t="shared" si="90"/>
        <v>394.03759949558702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67.464930631985041</v>
      </c>
      <c r="AV127" s="21">
        <f>EXP(-LN(2)/25)*AV126+(1-EXP(-LN(2)/25))/(LN(2)/25)*Calculateur!AQ127*Calculateur!AS127*VLOOKUP('Données projet'!$B$10,Paramètres!$A$1:$I$89,3,0)*0.475*44/12</f>
        <v>22.472891401075699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89.937822033060741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-3.4106051316484809E-13</v>
      </c>
      <c r="BE127" s="13">
        <f>BD127*VLOOKUP('Données projet'!$B$11,Paramètres!$A$1:$I$89,3,0)*VLOOKUP('Données projet'!$B$11,Paramètres!$A$1:$I$89,5,0)</f>
        <v>-2.0395418687257919E-13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378.75660696651238</v>
      </c>
      <c r="BJ127" s="59">
        <f t="shared" si="92"/>
        <v>371.70674704563288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66.73794497769633</v>
      </c>
      <c r="BQ127" s="21">
        <f>EXP(-LN(2)/25)*BQ126+(1-EXP(-LN(2)/25))/(LN(2)/25)*Calculateur!BL127*Calculateur!BN127*VLOOKUP('Données projet'!$B$11,Paramètres!$A$1:$I$89,3,0)*0.475*44/12</f>
        <v>21.713464068493646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88.45140904618998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4.583333333333333</v>
      </c>
      <c r="BY127" s="12">
        <f>IF('Données projet'!$A$114&gt;35,BY126+BX127-CG126,IF(A127&lt;'Données projet'!$A$114,$BV$205^A127,IF(A127='Données projet'!$A$114,'Données projet'!$B$114,BY126+BX127-CG126)))</f>
        <v>218.08333333333388</v>
      </c>
      <c r="BZ127" s="13">
        <f>BY127*VLOOKUP('Données projet'!$B$12,Paramètres!$A$1:$I$89,3,0)*VLOOKUP('Données projet'!$B$12,Paramètres!$A$1:$I$89,5,0)</f>
        <v>221.13650000000058</v>
      </c>
      <c r="CA127" s="13">
        <f t="shared" si="93"/>
        <v>54.361824256934689</v>
      </c>
      <c r="CB127" s="20">
        <f t="shared" si="64"/>
        <v>479.82624808082892</v>
      </c>
      <c r="CC127" s="59">
        <f t="shared" si="65"/>
        <v>773.15958141416218</v>
      </c>
      <c r="CD127" s="59">
        <f ca="1">AVERAGE(OFFSET($CC$3,0,0,'Données projet'!$E$12+1,1))-AVERAGE(OFFSET($H$3,0,0,'Données projet'!$E$12+1,1))</f>
        <v>410.75375635525211</v>
      </c>
      <c r="CE127" s="59">
        <f t="shared" si="94"/>
        <v>183.55513001437367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30.621122735321656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30.621122735321656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5.666666666666667</v>
      </c>
      <c r="CT127" s="12">
        <f>IF('Données projet'!$A$140&gt;35,CT126+CS127-DB126,IF(A127&lt;'Données projet'!$A$140,$CQ$205^A127,IF(A127='Données projet'!$A$140,'Données projet'!$B$140,CT126+CS127-DB126)))</f>
        <v>266.66666666666646</v>
      </c>
      <c r="CU127" s="17">
        <f>CT127*VLOOKUP('Données projet'!$B$13,Paramètres!$A$1:$I$89,3,0)*VLOOKUP('Données projet'!$B$13,Paramètres!$A$1:$I$89,5,0)</f>
        <v>241.2799999999998</v>
      </c>
      <c r="CV127" s="13">
        <f t="shared" si="95"/>
        <v>58.714843403167137</v>
      </c>
      <c r="CW127" s="20">
        <f t="shared" si="67"/>
        <v>522.49101892718238</v>
      </c>
      <c r="CX127" s="59">
        <f t="shared" si="68"/>
        <v>815.82435226051575</v>
      </c>
      <c r="CY127" s="59">
        <f ca="1">AVERAGE(OFFSET($CX$3,0,0,'Données projet'!$E$13+1,1))-AVERAGE(OFFSET($H$3,0,0,'Données projet'!$E$13+1,1))</f>
        <v>436.12708882925142</v>
      </c>
      <c r="CZ127" s="59">
        <f t="shared" si="96"/>
        <v>217.65884352525285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45.597025209613776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45.597025209613776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3.4106051316484809E-13</v>
      </c>
      <c r="DP127" s="17">
        <f>DO127*VLOOKUP('Données projet'!$B$14,Paramètres!$A$1:$I$89,3,0)*VLOOKUP('Données projet'!$B$14,Paramètres!$A$1:$I$89,5,0)</f>
        <v>3.2455318432766944E-13</v>
      </c>
      <c r="DQ127" s="13">
        <f t="shared" si="97"/>
        <v>4.2513245787534721E-12</v>
      </c>
      <c r="DR127" s="20">
        <f t="shared" si="70"/>
        <v>7.9696537706996534E-12</v>
      </c>
      <c r="DS127" s="59">
        <f t="shared" si="71"/>
        <v>293.33333333334127</v>
      </c>
      <c r="DT127" s="59">
        <f ca="1">AVERAGE(OFFSET($DS$3,0,0,'Données projet'!$E$14+1,1))-AVERAGE(OFFSET($H$3,0,0,'Données projet'!$E$14+1,1))</f>
        <v>735.50267870886194</v>
      </c>
      <c r="DU127" s="59">
        <f t="shared" si="98"/>
        <v>525.80345400853275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178.03231091688806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178.03231091688806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4.583333333333333</v>
      </c>
      <c r="EJ127" s="12">
        <f>IF('Données projet'!$A$192&gt;35,EJ126+EI127-ER126,IF(A127&lt;'Données projet'!$A$192,$EG$205^A127,IF(A127='Données projet'!$A$192,'Données projet'!$B$192,EJ126+EI127-ER126)))</f>
        <v>218.08333333333388</v>
      </c>
      <c r="EK127" s="17">
        <f>EJ127*VLOOKUP('Données projet'!$B$15,Paramètres!$A$1:$I$89,3,0)*VLOOKUP('Données projet'!$B$15,Paramètres!$A$1:$I$89,5,0)</f>
        <v>139.48610000000033</v>
      </c>
      <c r="EL127" s="13">
        <f t="shared" si="99"/>
        <v>36.179253036273003</v>
      </c>
      <c r="EM127" s="20">
        <f t="shared" si="73"/>
        <v>305.95048987150938</v>
      </c>
      <c r="EN127" s="59">
        <f t="shared" si="74"/>
        <v>599.28382320484275</v>
      </c>
      <c r="EO127" s="59">
        <f ca="1">AVERAGE(OFFSET($EN$3,0,0,'Données projet'!$E$15+1,1))-AVERAGE(OFFSET($H$3,0,0,'Données projet'!$E$15+1,1))</f>
        <v>274.14900959323484</v>
      </c>
      <c r="EP127" s="59">
        <f t="shared" si="100"/>
        <v>130.44590390921582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19.314862033049042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19.314862033049042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-2.2737367544323206E-13</v>
      </c>
      <c r="FF127" s="17">
        <f>FE127*VLOOKUP('Données projet'!$B$16,Paramètres!$A$1:$I$89,3,0)*VLOOKUP('Données projet'!$B$16,Paramètres!$A$1:$I$89,5,0)</f>
        <v>-1.3596945791505279E-13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405.42845699663462</v>
      </c>
      <c r="FK127" s="59">
        <f t="shared" si="102"/>
        <v>292.26503163353146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99.226474856236834</v>
      </c>
      <c r="FR127" s="21">
        <f>EXP(-LN(2)/25)*FR126+(1-EXP(-LN(2)/25))/(LN(2)/25)*Calculateur!FM127*Calculateur!FO127*VLOOKUP('Données projet'!$B$16,Paramètres!$A$1:$I$89,3,0)*0.475*44/12</f>
        <v>33.487013504605102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132.71348836084195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-2.2737367544323206E-13</v>
      </c>
      <c r="GA127" s="17">
        <f>FZ127*VLOOKUP('Données projet'!$B$17,Paramètres!$A$1:$I$89,3,0)*VLOOKUP('Données projet'!$B$17,Paramètres!$A$1:$I$89,5,0)</f>
        <v>-1.3596945791505279E-13</v>
      </c>
      <c r="GB127" s="13" t="e">
        <f t="shared" si="103"/>
        <v>#NUM!</v>
      </c>
      <c r="GC127" s="20" t="e">
        <f t="shared" si="79"/>
        <v>#NUM!</v>
      </c>
      <c r="GD127" s="59" t="e">
        <f t="shared" si="80"/>
        <v>#NUM!</v>
      </c>
      <c r="GE127" s="59">
        <f ca="1">AVERAGE(OFFSET($GD$3,0,0,'Données projet'!$E$17+1,1))-AVERAGE(OFFSET($H$3,0,0,'Données projet'!$E$17+1,1))</f>
        <v>405.42845699663462</v>
      </c>
      <c r="GF127" s="59">
        <f t="shared" si="104"/>
        <v>292.26503163353146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99.226474856236834</v>
      </c>
      <c r="GM127" s="21">
        <f>EXP(-LN(2)/25)*GM126+(1-EXP(-LN(2)/25))/(LN(2)/25)*Calculateur!GH127*Calculateur!GJ127*VLOOKUP('Données projet'!$B$17,Paramètres!$A$1:$I$89,3,0)*0.475*44/12</f>
        <v>33.487013504605102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132.71348836084195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-5.3205440053716299E-14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198.26255998041</v>
      </c>
      <c r="T128" s="59">
        <f t="shared" si="88"/>
        <v>238.62101708181166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30.300141049304866</v>
      </c>
      <c r="AA128" s="21">
        <f>EXP(-LN(2)/25)*AA127+(1-EXP(-LN(2)/25))/(LN(2)/25)*Calculateur!V128*Calculateur!X128*VLOOKUP('Données projet'!$B$9,Paramètres!$A$1:$I$89,3,0)*0.475*44/12</f>
        <v>10.270118871592654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40.57025992089752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3.4106051316484809E-13</v>
      </c>
      <c r="AJ128" s="13">
        <f>AI128*VLOOKUP('Données projet'!$B$10,Paramètres!$A$1:$I$89,3,0)*VLOOKUP('Données projet'!$B$10,Paramètres!$A$1:$I$89,5,0)</f>
        <v>1.9065282685915009E-13</v>
      </c>
      <c r="AK128" s="13">
        <f t="shared" si="89"/>
        <v>2.6568987209435707E-12</v>
      </c>
      <c r="AL128" s="20">
        <f t="shared" si="58"/>
        <v>4.959485612423072E-12</v>
      </c>
      <c r="AM128" s="59">
        <f t="shared" si="59"/>
        <v>293.33333333333826</v>
      </c>
      <c r="AN128" s="59">
        <f ca="1">AVERAGE(OFFSET($AM$3,0,0,'Données projet'!$E$10+1,1))-AVERAGE(OFFSET($H$3,0,0,'Données projet'!$E$10+1,1))</f>
        <v>347.02720636703873</v>
      </c>
      <c r="AO128" s="59">
        <f t="shared" si="90"/>
        <v>394.03759949558702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66.141984491836325</v>
      </c>
      <c r="AV128" s="21">
        <f>EXP(-LN(2)/25)*AV127+(1-EXP(-LN(2)/25))/(LN(2)/25)*Calculateur!AQ128*Calculateur!AS128*VLOOKUP('Données projet'!$B$10,Paramètres!$A$1:$I$89,3,0)*0.475*44/12</f>
        <v>21.858369003915289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88.000353495751611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-3.4106051316484809E-13</v>
      </c>
      <c r="BE128" s="13">
        <f>BD128*VLOOKUP('Données projet'!$B$11,Paramètres!$A$1:$I$89,3,0)*VLOOKUP('Données projet'!$B$11,Paramètres!$A$1:$I$89,5,0)</f>
        <v>-2.0395418687257919E-13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378.75660696651238</v>
      </c>
      <c r="BJ128" s="59">
        <f t="shared" si="92"/>
        <v>371.70674704563288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65.429254582810742</v>
      </c>
      <c r="BQ128" s="21">
        <f>EXP(-LN(2)/25)*BQ127+(1-EXP(-LN(2)/25))/(LN(2)/25)*Calculateur!BL128*Calculateur!BN128*VLOOKUP('Données projet'!$B$11,Paramètres!$A$1:$I$89,3,0)*0.475*44/12</f>
        <v>21.119708251679238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86.548962834489984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4.583333333333333</v>
      </c>
      <c r="BY128" s="12">
        <f>IF('Données projet'!$A$114&gt;35,BY127+BX128-CG127,IF(A128&lt;'Données projet'!$A$114,$BV$205^A128,IF(A128='Données projet'!$A$114,'Données projet'!$B$114,BY127+BX128-CG127)))</f>
        <v>222.66666666666723</v>
      </c>
      <c r="BZ128" s="13">
        <f>BY128*VLOOKUP('Données projet'!$B$12,Paramètres!$A$1:$I$89,3,0)*VLOOKUP('Données projet'!$B$12,Paramètres!$A$1:$I$89,5,0)</f>
        <v>225.78400000000056</v>
      </c>
      <c r="CA128" s="13">
        <f t="shared" si="93"/>
        <v>55.370104541000075</v>
      </c>
      <c r="CB128" s="20">
        <f t="shared" si="64"/>
        <v>489.67673207557601</v>
      </c>
      <c r="CC128" s="59">
        <f t="shared" si="65"/>
        <v>783.01006540890933</v>
      </c>
      <c r="CD128" s="59">
        <f ca="1">AVERAGE(OFFSET($CC$3,0,0,'Données projet'!$E$12+1,1))-AVERAGE(OFFSET($H$3,0,0,'Données projet'!$E$12+1,1))</f>
        <v>410.75375635525211</v>
      </c>
      <c r="CE128" s="59">
        <f t="shared" si="94"/>
        <v>183.55513001437367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30.020661195522663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30.020661195522663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5.666666666666667</v>
      </c>
      <c r="CT128" s="12">
        <f>IF('Données projet'!$A$140&gt;35,CT127+CS128-DB127,IF(A128&lt;'Données projet'!$A$140,$CQ$205^A128,IF(A128='Données projet'!$A$140,'Données projet'!$B$140,CT127+CS128-DB127)))</f>
        <v>272.33333333333314</v>
      </c>
      <c r="CU128" s="17">
        <f>CT128*VLOOKUP('Données projet'!$B$13,Paramètres!$A$1:$I$89,3,0)*VLOOKUP('Données projet'!$B$13,Paramètres!$A$1:$I$89,5,0)</f>
        <v>246.40719999999982</v>
      </c>
      <c r="CV128" s="13">
        <f t="shared" si="95"/>
        <v>59.815949856261852</v>
      </c>
      <c r="CW128" s="20">
        <f t="shared" si="67"/>
        <v>533.33865266632245</v>
      </c>
      <c r="CX128" s="59">
        <f t="shared" si="68"/>
        <v>826.67198599965582</v>
      </c>
      <c r="CY128" s="59">
        <f ca="1">AVERAGE(OFFSET($CX$3,0,0,'Données projet'!$E$13+1,1))-AVERAGE(OFFSET($H$3,0,0,'Données projet'!$E$13+1,1))</f>
        <v>436.12708882925142</v>
      </c>
      <c r="CZ128" s="59">
        <f t="shared" si="96"/>
        <v>217.65884352525285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44.702895356692473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44.702895356692473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3.4106051316484809E-13</v>
      </c>
      <c r="DP128" s="17">
        <f>DO128*VLOOKUP('Données projet'!$B$14,Paramètres!$A$1:$I$89,3,0)*VLOOKUP('Données projet'!$B$14,Paramètres!$A$1:$I$89,5,0)</f>
        <v>3.2455318432766944E-13</v>
      </c>
      <c r="DQ128" s="13">
        <f t="shared" si="97"/>
        <v>4.2513245787534721E-12</v>
      </c>
      <c r="DR128" s="20">
        <f t="shared" si="70"/>
        <v>7.9696537706996534E-12</v>
      </c>
      <c r="DS128" s="59">
        <f t="shared" si="71"/>
        <v>293.33333333334127</v>
      </c>
      <c r="DT128" s="59">
        <f ca="1">AVERAGE(OFFSET($DS$3,0,0,'Données projet'!$E$14+1,1))-AVERAGE(OFFSET($H$3,0,0,'Données projet'!$E$14+1,1))</f>
        <v>735.50267870886194</v>
      </c>
      <c r="DU128" s="59">
        <f t="shared" si="98"/>
        <v>525.80345400853275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174.54120588879528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174.54120588879528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4.583333333333333</v>
      </c>
      <c r="EJ128" s="12">
        <f>IF('Données projet'!$A$192&gt;35,EJ127+EI128-ER127,IF(A128&lt;'Données projet'!$A$192,$EG$205^A128,IF(A128='Données projet'!$A$192,'Données projet'!$B$192,EJ127+EI128-ER127)))</f>
        <v>222.66666666666723</v>
      </c>
      <c r="EK128" s="17">
        <f>EJ128*VLOOKUP('Données projet'!$B$15,Paramètres!$A$1:$I$89,3,0)*VLOOKUP('Données projet'!$B$15,Paramètres!$A$1:$I$89,5,0)</f>
        <v>142.41760000000036</v>
      </c>
      <c r="EL128" s="13">
        <f t="shared" si="99"/>
        <v>36.850290626113143</v>
      </c>
      <c r="EM128" s="20">
        <f t="shared" si="73"/>
        <v>312.22490950714769</v>
      </c>
      <c r="EN128" s="59">
        <f t="shared" si="74"/>
        <v>605.55824284048094</v>
      </c>
      <c r="EO128" s="59">
        <f ca="1">AVERAGE(OFFSET($EN$3,0,0,'Données projet'!$E$15+1,1))-AVERAGE(OFFSET($H$3,0,0,'Données projet'!$E$15+1,1))</f>
        <v>274.14900959323484</v>
      </c>
      <c r="EP128" s="59">
        <f t="shared" si="100"/>
        <v>130.44590390921582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18.936109369483525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18.936109369483525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-2.2737367544323206E-13</v>
      </c>
      <c r="FF128" s="17">
        <f>FE128*VLOOKUP('Données projet'!$B$16,Paramètres!$A$1:$I$89,3,0)*VLOOKUP('Données projet'!$B$16,Paramètres!$A$1:$I$89,5,0)</f>
        <v>-1.3596945791505279E-13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405.42845699663462</v>
      </c>
      <c r="FK128" s="59">
        <f t="shared" si="102"/>
        <v>292.26503163353146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97.280704206479626</v>
      </c>
      <c r="FR128" s="21">
        <f>EXP(-LN(2)/25)*FR127+(1-EXP(-LN(2)/25))/(LN(2)/25)*Calculateur!FM128*Calculateur!FO128*VLOOKUP('Données projet'!$B$16,Paramètres!$A$1:$I$89,3,0)*0.475*44/12</f>
        <v>32.571309359316167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129.8520135657958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-2.2737367544323206E-13</v>
      </c>
      <c r="GA128" s="17">
        <f>FZ128*VLOOKUP('Données projet'!$B$17,Paramètres!$A$1:$I$89,3,0)*VLOOKUP('Données projet'!$B$17,Paramètres!$A$1:$I$89,5,0)</f>
        <v>-1.3596945791505279E-13</v>
      </c>
      <c r="GB128" s="13" t="e">
        <f t="shared" si="103"/>
        <v>#NUM!</v>
      </c>
      <c r="GC128" s="20" t="e">
        <f t="shared" si="79"/>
        <v>#NUM!</v>
      </c>
      <c r="GD128" s="59" t="e">
        <f t="shared" si="80"/>
        <v>#NUM!</v>
      </c>
      <c r="GE128" s="59">
        <f ca="1">AVERAGE(OFFSET($GD$3,0,0,'Données projet'!$E$17+1,1))-AVERAGE(OFFSET($H$3,0,0,'Données projet'!$E$17+1,1))</f>
        <v>405.42845699663462</v>
      </c>
      <c r="GF128" s="59">
        <f t="shared" si="104"/>
        <v>292.26503163353146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97.280704206479626</v>
      </c>
      <c r="GM128" s="21">
        <f>EXP(-LN(2)/25)*GM127+(1-EXP(-LN(2)/25))/(LN(2)/25)*Calculateur!GH128*Calculateur!GJ128*VLOOKUP('Données projet'!$B$17,Paramètres!$A$1:$I$89,3,0)*0.475*44/12</f>
        <v>32.571309359316167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129.8520135657958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-5.3205440053716299E-14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198.26255998041</v>
      </c>
      <c r="T129" s="59">
        <f t="shared" si="88"/>
        <v>238.62101708181166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29.705973764589164</v>
      </c>
      <c r="AA129" s="21">
        <f>EXP(-LN(2)/25)*AA128+(1-EXP(-LN(2)/25))/(LN(2)/25)*Calculateur!V129*Calculateur!X129*VLOOKUP('Données projet'!$B$9,Paramètres!$A$1:$I$89,3,0)*0.475*44/12</f>
        <v>9.9892819309668734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39.695255695556035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3.4106051316484809E-13</v>
      </c>
      <c r="AJ129" s="13">
        <f>AI129*VLOOKUP('Données projet'!$B$10,Paramètres!$A$1:$I$89,3,0)*VLOOKUP('Données projet'!$B$10,Paramètres!$A$1:$I$89,5,0)</f>
        <v>1.9065282685915009E-13</v>
      </c>
      <c r="AK129" s="13">
        <f t="shared" si="89"/>
        <v>2.6568987209435707E-12</v>
      </c>
      <c r="AL129" s="20">
        <f t="shared" si="58"/>
        <v>4.959485612423072E-12</v>
      </c>
      <c r="AM129" s="59">
        <f t="shared" si="59"/>
        <v>293.33333333333826</v>
      </c>
      <c r="AN129" s="59">
        <f ca="1">AVERAGE(OFFSET($AM$3,0,0,'Données projet'!$E$10+1,1))-AVERAGE(OFFSET($H$3,0,0,'Données projet'!$E$10+1,1))</f>
        <v>347.02720636703873</v>
      </c>
      <c r="AO129" s="59">
        <f t="shared" si="90"/>
        <v>394.03759949558702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64.844980518578453</v>
      </c>
      <c r="AV129" s="21">
        <f>EXP(-LN(2)/25)*AV128+(1-EXP(-LN(2)/25))/(LN(2)/25)*Calculateur!AQ129*Calculateur!AS129*VLOOKUP('Données projet'!$B$10,Paramètres!$A$1:$I$89,3,0)*0.475*44/12</f>
        <v>21.260650754021558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86.105631272600007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-3.4106051316484809E-13</v>
      </c>
      <c r="BE129" s="13">
        <f>BD129*VLOOKUP('Données projet'!$B$11,Paramètres!$A$1:$I$89,3,0)*VLOOKUP('Données projet'!$B$11,Paramètres!$A$1:$I$89,5,0)</f>
        <v>-2.0395418687257919E-13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378.75660696651238</v>
      </c>
      <c r="BJ129" s="59">
        <f t="shared" si="92"/>
        <v>371.70674704563288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64.14622680834654</v>
      </c>
      <c r="BQ129" s="21">
        <f>EXP(-LN(2)/25)*BQ128+(1-EXP(-LN(2)/25))/(LN(2)/25)*Calculateur!BL129*Calculateur!BN129*VLOOKUP('Données projet'!$B$11,Paramètres!$A$1:$I$89,3,0)*0.475*44/12</f>
        <v>20.542188718899883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84.68841552724642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4.583333333333333</v>
      </c>
      <c r="BY129" s="12">
        <f>IF('Données projet'!$A$114&gt;35,BY128+BX129-CG128,IF(A129&lt;'Données projet'!$A$114,$BV$205^A129,IF(A129='Données projet'!$A$114,'Données projet'!$B$114,BY128+BX129-CG128)))</f>
        <v>227.25000000000057</v>
      </c>
      <c r="BZ129" s="13">
        <f>BY129*VLOOKUP('Données projet'!$B$12,Paramètres!$A$1:$I$89,3,0)*VLOOKUP('Données projet'!$B$12,Paramètres!$A$1:$I$89,5,0)</f>
        <v>230.4315000000006</v>
      </c>
      <c r="CA129" s="13">
        <f t="shared" si="93"/>
        <v>56.375971739410943</v>
      </c>
      <c r="CB129" s="20">
        <f t="shared" si="64"/>
        <v>499.52301327947504</v>
      </c>
      <c r="CC129" s="59">
        <f t="shared" si="65"/>
        <v>792.85634661280835</v>
      </c>
      <c r="CD129" s="59">
        <f ca="1">AVERAGE(OFFSET($CC$3,0,0,'Données projet'!$E$12+1,1))-AVERAGE(OFFSET($H$3,0,0,'Données projet'!$E$12+1,1))</f>
        <v>410.75375635525211</v>
      </c>
      <c r="CE129" s="59">
        <f t="shared" si="94"/>
        <v>183.55513001437367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29.431974340273751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29.431974340273751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5.666666666666667</v>
      </c>
      <c r="CT129" s="12">
        <f>IF('Données projet'!$A$140&gt;35,CT128+CS129-DB128,IF(A129&lt;'Données projet'!$A$140,$CQ$205^A129,IF(A129='Données projet'!$A$140,'Données projet'!$B$140,CT128+CS129-DB128)))</f>
        <v>277.99999999999983</v>
      </c>
      <c r="CU129" s="17">
        <f>CT129*VLOOKUP('Données projet'!$B$13,Paramètres!$A$1:$I$89,3,0)*VLOOKUP('Données projet'!$B$13,Paramètres!$A$1:$I$89,5,0)</f>
        <v>251.53439999999983</v>
      </c>
      <c r="CV129" s="13">
        <f t="shared" si="95"/>
        <v>60.914392418364585</v>
      </c>
      <c r="CW129" s="20">
        <f t="shared" si="67"/>
        <v>544.18164679531799</v>
      </c>
      <c r="CX129" s="59">
        <f t="shared" si="68"/>
        <v>837.51498012865136</v>
      </c>
      <c r="CY129" s="59">
        <f ca="1">AVERAGE(OFFSET($CX$3,0,0,'Données projet'!$E$13+1,1))-AVERAGE(OFFSET($H$3,0,0,'Données projet'!$E$13+1,1))</f>
        <v>436.12708882925142</v>
      </c>
      <c r="CZ129" s="59">
        <f t="shared" si="96"/>
        <v>217.65884352525285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43.826298844821601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43.826298844821601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3.4106051316484809E-13</v>
      </c>
      <c r="DP129" s="17">
        <f>DO129*VLOOKUP('Données projet'!$B$14,Paramètres!$A$1:$I$89,3,0)*VLOOKUP('Données projet'!$B$14,Paramètres!$A$1:$I$89,5,0)</f>
        <v>3.2455318432766944E-13</v>
      </c>
      <c r="DQ129" s="13">
        <f t="shared" si="97"/>
        <v>4.2513245787534721E-12</v>
      </c>
      <c r="DR129" s="20">
        <f t="shared" si="70"/>
        <v>7.9696537706996534E-12</v>
      </c>
      <c r="DS129" s="59">
        <f t="shared" si="71"/>
        <v>293.33333333334127</v>
      </c>
      <c r="DT129" s="59">
        <f ca="1">AVERAGE(OFFSET($DS$3,0,0,'Données projet'!$E$14+1,1))-AVERAGE(OFFSET($H$3,0,0,'Données projet'!$E$14+1,1))</f>
        <v>735.50267870886194</v>
      </c>
      <c r="DU129" s="59">
        <f t="shared" si="98"/>
        <v>525.80345400853275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171.11855930093958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171.11855930093958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4.583333333333333</v>
      </c>
      <c r="EJ129" s="12">
        <f>IF('Données projet'!$A$192&gt;35,EJ128+EI129-ER128,IF(A129&lt;'Données projet'!$A$192,$EG$205^A129,IF(A129='Données projet'!$A$192,'Données projet'!$B$192,EJ128+EI129-ER128)))</f>
        <v>227.25000000000057</v>
      </c>
      <c r="EK129" s="17">
        <f>EJ129*VLOOKUP('Données projet'!$B$15,Paramètres!$A$1:$I$89,3,0)*VLOOKUP('Données projet'!$B$15,Paramètres!$A$1:$I$89,5,0)</f>
        <v>145.34910000000036</v>
      </c>
      <c r="EL129" s="13">
        <f t="shared" si="99"/>
        <v>37.51972224268652</v>
      </c>
      <c r="EM129" s="20">
        <f t="shared" si="73"/>
        <v>318.49653207267966</v>
      </c>
      <c r="EN129" s="59">
        <f t="shared" si="74"/>
        <v>611.82986540601291</v>
      </c>
      <c r="EO129" s="59">
        <f ca="1">AVERAGE(OFFSET($EN$3,0,0,'Données projet'!$E$15+1,1))-AVERAGE(OFFSET($H$3,0,0,'Données projet'!$E$15+1,1))</f>
        <v>274.14900959323484</v>
      </c>
      <c r="EP129" s="59">
        <f t="shared" si="100"/>
        <v>130.44590390921582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18.564783814634211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18.564783814634211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-2.2737367544323206E-13</v>
      </c>
      <c r="FF129" s="17">
        <f>FE129*VLOOKUP('Données projet'!$B$16,Paramètres!$A$1:$I$89,3,0)*VLOOKUP('Données projet'!$B$16,Paramètres!$A$1:$I$89,5,0)</f>
        <v>-1.3596945791505279E-13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405.42845699663462</v>
      </c>
      <c r="FK129" s="59">
        <f t="shared" si="102"/>
        <v>292.26503163353146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95.373088932361242</v>
      </c>
      <c r="FR129" s="21">
        <f>EXP(-LN(2)/25)*FR128+(1-EXP(-LN(2)/25))/(LN(2)/25)*Calculateur!FM129*Calculateur!FO129*VLOOKUP('Données projet'!$B$16,Paramètres!$A$1:$I$89,3,0)*0.475*44/12</f>
        <v>31.680645192034952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127.05373412439619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-2.2737367544323206E-13</v>
      </c>
      <c r="GA129" s="17">
        <f>FZ129*VLOOKUP('Données projet'!$B$17,Paramètres!$A$1:$I$89,3,0)*VLOOKUP('Données projet'!$B$17,Paramètres!$A$1:$I$89,5,0)</f>
        <v>-1.3596945791505279E-13</v>
      </c>
      <c r="GB129" s="13" t="e">
        <f t="shared" si="103"/>
        <v>#NUM!</v>
      </c>
      <c r="GC129" s="20" t="e">
        <f t="shared" si="79"/>
        <v>#NUM!</v>
      </c>
      <c r="GD129" s="59" t="e">
        <f t="shared" si="80"/>
        <v>#NUM!</v>
      </c>
      <c r="GE129" s="59">
        <f ca="1">AVERAGE(OFFSET($GD$3,0,0,'Données projet'!$E$17+1,1))-AVERAGE(OFFSET($H$3,0,0,'Données projet'!$E$17+1,1))</f>
        <v>405.42845699663462</v>
      </c>
      <c r="GF129" s="59">
        <f t="shared" si="104"/>
        <v>292.26503163353146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95.373088932361242</v>
      </c>
      <c r="GM129" s="21">
        <f>EXP(-LN(2)/25)*GM128+(1-EXP(-LN(2)/25))/(LN(2)/25)*Calculateur!GH129*Calculateur!GJ129*VLOOKUP('Données projet'!$B$17,Paramètres!$A$1:$I$89,3,0)*0.475*44/12</f>
        <v>31.680645192034952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127.05373412439619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-5.3205440053716299E-14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198.26255998041</v>
      </c>
      <c r="T130" s="59">
        <f t="shared" si="88"/>
        <v>238.62101708181166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29.123457737920479</v>
      </c>
      <c r="AA130" s="21">
        <f>EXP(-LN(2)/25)*AA129+(1-EXP(-LN(2)/25))/(LN(2)/25)*Calculateur!V130*Calculateur!X130*VLOOKUP('Données projet'!$B$9,Paramètres!$A$1:$I$89,3,0)*0.475*44/12</f>
        <v>9.7161244912510778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38.839582229171555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3.4106051316484809E-13</v>
      </c>
      <c r="AJ130" s="13">
        <f>AI130*VLOOKUP('Données projet'!$B$10,Paramètres!$A$1:$I$89,3,0)*VLOOKUP('Données projet'!$B$10,Paramètres!$A$1:$I$89,5,0)</f>
        <v>1.9065282685915009E-13</v>
      </c>
      <c r="AK130" s="13">
        <f t="shared" si="89"/>
        <v>2.6568987209435707E-12</v>
      </c>
      <c r="AL130" s="20">
        <f t="shared" si="58"/>
        <v>4.959485612423072E-12</v>
      </c>
      <c r="AM130" s="59">
        <f t="shared" si="59"/>
        <v>293.33333333333826</v>
      </c>
      <c r="AN130" s="59">
        <f ca="1">AVERAGE(OFFSET($AM$3,0,0,'Données projet'!$E$10+1,1))-AVERAGE(OFFSET($H$3,0,0,'Données projet'!$E$10+1,1))</f>
        <v>347.02720636703873</v>
      </c>
      <c r="AO130" s="59">
        <f t="shared" si="90"/>
        <v>394.03759949558702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63.573410002141856</v>
      </c>
      <c r="AV130" s="21">
        <f>EXP(-LN(2)/25)*AV129+(1-EXP(-LN(2)/25))/(LN(2)/25)*Calculateur!AQ130*Calculateur!AS130*VLOOKUP('Données projet'!$B$10,Paramètres!$A$1:$I$89,3,0)*0.475*44/12</f>
        <v>20.679277141103807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84.252687143245666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-3.4106051316484809E-13</v>
      </c>
      <c r="BE130" s="13">
        <f>BD130*VLOOKUP('Données projet'!$B$11,Paramètres!$A$1:$I$89,3,0)*VLOOKUP('Données projet'!$B$11,Paramètres!$A$1:$I$89,5,0)</f>
        <v>-2.0395418687257919E-13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378.75660696651238</v>
      </c>
      <c r="BJ130" s="59">
        <f t="shared" si="92"/>
        <v>371.70674704563288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62.888358425969912</v>
      </c>
      <c r="BQ130" s="21">
        <f>EXP(-LN(2)/25)*BQ129+(1-EXP(-LN(2)/25))/(LN(2)/25)*Calculateur!BL130*Calculateur!BN130*VLOOKUP('Données projet'!$B$11,Paramètres!$A$1:$I$89,3,0)*0.475*44/12</f>
        <v>19.980461488114813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82.868819914084725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4.583333333333333</v>
      </c>
      <c r="BY130" s="12">
        <f>IF('Données projet'!$A$114&gt;35,BY129+BX130-CG129,IF(A130&lt;'Données projet'!$A$114,$BV$205^A130,IF(A130='Données projet'!$A$114,'Données projet'!$B$114,BY129+BX130-CG129)))</f>
        <v>231.83333333333391</v>
      </c>
      <c r="BZ130" s="13">
        <f>BY130*VLOOKUP('Données projet'!$B$12,Paramètres!$A$1:$I$89,3,0)*VLOOKUP('Données projet'!$B$12,Paramètres!$A$1:$I$89,5,0)</f>
        <v>235.07900000000063</v>
      </c>
      <c r="CA130" s="13">
        <f t="shared" si="93"/>
        <v>57.379480129671336</v>
      </c>
      <c r="CB130" s="20">
        <f t="shared" si="64"/>
        <v>509.36518622584526</v>
      </c>
      <c r="CC130" s="59">
        <f t="shared" si="65"/>
        <v>802.69851955917852</v>
      </c>
      <c r="CD130" s="59">
        <f ca="1">AVERAGE(OFFSET($CC$3,0,0,'Données projet'!$E$12+1,1))-AVERAGE(OFFSET($H$3,0,0,'Données projet'!$E$12+1,1))</f>
        <v>410.75375635525211</v>
      </c>
      <c r="CE130" s="59">
        <f t="shared" si="94"/>
        <v>183.55513001437367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28.854831275192744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28.854831275192744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5.666666666666667</v>
      </c>
      <c r="CT130" s="12">
        <f>IF('Données projet'!$A$140&gt;35,CT129+CS130-DB129,IF(A130&lt;'Données projet'!$A$140,$CQ$205^A130,IF(A130='Données projet'!$A$140,'Données projet'!$B$140,CT129+CS130-DB129)))</f>
        <v>283.66666666666652</v>
      </c>
      <c r="CU130" s="17">
        <f>CT130*VLOOKUP('Données projet'!$B$13,Paramètres!$A$1:$I$89,3,0)*VLOOKUP('Données projet'!$B$13,Paramètres!$A$1:$I$89,5,0)</f>
        <v>256.66159999999985</v>
      </c>
      <c r="CV130" s="13">
        <f t="shared" si="95"/>
        <v>62.010231646530045</v>
      </c>
      <c r="CW130" s="20">
        <f t="shared" si="67"/>
        <v>555.02010678437284</v>
      </c>
      <c r="CX130" s="59">
        <f t="shared" si="68"/>
        <v>848.35344011770621</v>
      </c>
      <c r="CY130" s="59">
        <f ca="1">AVERAGE(OFFSET($CX$3,0,0,'Données projet'!$E$13+1,1))-AVERAGE(OFFSET($H$3,0,0,'Données projet'!$E$13+1,1))</f>
        <v>436.12708882925142</v>
      </c>
      <c r="CZ130" s="59">
        <f t="shared" si="96"/>
        <v>217.65884352525285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42.966891855877435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42.966891855877435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3.4106051316484809E-13</v>
      </c>
      <c r="DP130" s="17">
        <f>DO130*VLOOKUP('Données projet'!$B$14,Paramètres!$A$1:$I$89,3,0)*VLOOKUP('Données projet'!$B$14,Paramètres!$A$1:$I$89,5,0)</f>
        <v>3.2455318432766944E-13</v>
      </c>
      <c r="DQ130" s="13">
        <f t="shared" si="97"/>
        <v>4.2513245787534721E-12</v>
      </c>
      <c r="DR130" s="20">
        <f t="shared" si="70"/>
        <v>7.9696537706996534E-12</v>
      </c>
      <c r="DS130" s="59">
        <f t="shared" si="71"/>
        <v>293.33333333334127</v>
      </c>
      <c r="DT130" s="59">
        <f ca="1">AVERAGE(OFFSET($DS$3,0,0,'Données projet'!$E$14+1,1))-AVERAGE(OFFSET($H$3,0,0,'Données projet'!$E$14+1,1))</f>
        <v>735.50267870886194</v>
      </c>
      <c r="DU130" s="59">
        <f t="shared" si="98"/>
        <v>525.80345400853275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167.76302872506344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167.76302872506344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4.583333333333333</v>
      </c>
      <c r="EJ130" s="12">
        <f>IF('Données projet'!$A$192&gt;35,EJ129+EI130-ER129,IF(A130&lt;'Données projet'!$A$192,$EG$205^A130,IF(A130='Données projet'!$A$192,'Données projet'!$B$192,EJ129+EI130-ER129)))</f>
        <v>231.83333333333391</v>
      </c>
      <c r="EK130" s="17">
        <f>EJ130*VLOOKUP('Données projet'!$B$15,Paramètres!$A$1:$I$89,3,0)*VLOOKUP('Données projet'!$B$15,Paramètres!$A$1:$I$89,5,0)</f>
        <v>148.28060000000036</v>
      </c>
      <c r="EL130" s="13">
        <f t="shared" si="99"/>
        <v>38.187584009128628</v>
      </c>
      <c r="EM130" s="20">
        <f t="shared" si="73"/>
        <v>324.7654204825663</v>
      </c>
      <c r="EN130" s="59">
        <f t="shared" si="74"/>
        <v>618.09875381589961</v>
      </c>
      <c r="EO130" s="59">
        <f ca="1">AVERAGE(OFFSET($EN$3,0,0,'Données projet'!$E$15+1,1))-AVERAGE(OFFSET($H$3,0,0,'Données projet'!$E$15+1,1))</f>
        <v>274.14900959323484</v>
      </c>
      <c r="EP130" s="59">
        <f t="shared" si="100"/>
        <v>130.44590390921582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18.200739727429269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18.200739727429269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-2.2737367544323206E-13</v>
      </c>
      <c r="FF130" s="17">
        <f>FE130*VLOOKUP('Données projet'!$B$16,Paramètres!$A$1:$I$89,3,0)*VLOOKUP('Données projet'!$B$16,Paramètres!$A$1:$I$89,5,0)</f>
        <v>-1.3596945791505279E-13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405.42845699663462</v>
      </c>
      <c r="FK130" s="59">
        <f t="shared" si="102"/>
        <v>292.26503163353146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93.502880830237899</v>
      </c>
      <c r="FR130" s="21">
        <f>EXP(-LN(2)/25)*FR129+(1-EXP(-LN(2)/25))/(LN(2)/25)*Calculateur!FM130*Calculateur!FO130*VLOOKUP('Données projet'!$B$16,Paramètres!$A$1:$I$89,3,0)*0.475*44/12</f>
        <v>30.814336283246032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124.31721711348393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-2.2737367544323206E-13</v>
      </c>
      <c r="GA130" s="17">
        <f>FZ130*VLOOKUP('Données projet'!$B$17,Paramètres!$A$1:$I$89,3,0)*VLOOKUP('Données projet'!$B$17,Paramètres!$A$1:$I$89,5,0)</f>
        <v>-1.3596945791505279E-13</v>
      </c>
      <c r="GB130" s="13" t="e">
        <f t="shared" si="103"/>
        <v>#NUM!</v>
      </c>
      <c r="GC130" s="20" t="e">
        <f t="shared" si="79"/>
        <v>#NUM!</v>
      </c>
      <c r="GD130" s="59" t="e">
        <f t="shared" si="80"/>
        <v>#NUM!</v>
      </c>
      <c r="GE130" s="59">
        <f ca="1">AVERAGE(OFFSET($GD$3,0,0,'Données projet'!$E$17+1,1))-AVERAGE(OFFSET($H$3,0,0,'Données projet'!$E$17+1,1))</f>
        <v>405.42845699663462</v>
      </c>
      <c r="GF130" s="59">
        <f t="shared" si="104"/>
        <v>292.26503163353146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93.502880830237899</v>
      </c>
      <c r="GM130" s="21">
        <f>EXP(-LN(2)/25)*GM129+(1-EXP(-LN(2)/25))/(LN(2)/25)*Calculateur!GH130*Calculateur!GJ130*VLOOKUP('Données projet'!$B$17,Paramètres!$A$1:$I$89,3,0)*0.475*44/12</f>
        <v>30.814336283246032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124.31721711348393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-5.3205440053716299E-14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198.26255998041</v>
      </c>
      <c r="T131" s="59">
        <f t="shared" si="88"/>
        <v>238.62101708181166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28.552364495235071</v>
      </c>
      <c r="AA131" s="21">
        <f>EXP(-LN(2)/25)*AA130+(1-EXP(-LN(2)/25))/(LN(2)/25)*Calculateur!V131*Calculateur!X131*VLOOKUP('Données projet'!$B$9,Paramètres!$A$1:$I$89,3,0)*0.475*44/12</f>
        <v>9.450436556089036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38.002801051324106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3.4106051316484809E-13</v>
      </c>
      <c r="AJ131" s="13">
        <f>AI131*VLOOKUP('Données projet'!$B$10,Paramètres!$A$1:$I$89,3,0)*VLOOKUP('Données projet'!$B$10,Paramètres!$A$1:$I$89,5,0)</f>
        <v>1.9065282685915009E-13</v>
      </c>
      <c r="AK131" s="13">
        <f t="shared" si="89"/>
        <v>2.6568987209435707E-12</v>
      </c>
      <c r="AL131" s="20">
        <f t="shared" si="58"/>
        <v>4.959485612423072E-12</v>
      </c>
      <c r="AM131" s="59">
        <f t="shared" si="59"/>
        <v>293.33333333333826</v>
      </c>
      <c r="AN131" s="59">
        <f ca="1">AVERAGE(OFFSET($AM$3,0,0,'Données projet'!$E$10+1,1))-AVERAGE(OFFSET($H$3,0,0,'Données projet'!$E$10+1,1))</f>
        <v>347.02720636703873</v>
      </c>
      <c r="AO131" s="59">
        <f t="shared" si="90"/>
        <v>394.03759949558702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62.326774207951146</v>
      </c>
      <c r="AV131" s="21">
        <f>EXP(-LN(2)/25)*AV130+(1-EXP(-LN(2)/25))/(LN(2)/25)*Calculateur!AQ131*Calculateur!AS131*VLOOKUP('Données projet'!$B$10,Paramètres!$A$1:$I$89,3,0)*0.475*44/12</f>
        <v>20.113801220204401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82.44057542815554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-3.4106051316484809E-13</v>
      </c>
      <c r="BE131" s="13">
        <f>BD131*VLOOKUP('Données projet'!$B$11,Paramètres!$A$1:$I$89,3,0)*VLOOKUP('Données projet'!$B$11,Paramètres!$A$1:$I$89,5,0)</f>
        <v>-2.0395418687257919E-13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378.75660696651238</v>
      </c>
      <c r="BJ131" s="59">
        <f t="shared" si="92"/>
        <v>371.70674704563288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61.655156075347733</v>
      </c>
      <c r="BQ131" s="21">
        <f>EXP(-LN(2)/25)*BQ130+(1-EXP(-LN(2)/25))/(LN(2)/25)*Calculateur!BL131*Calculateur!BN131*VLOOKUP('Données projet'!$B$11,Paramètres!$A$1:$I$89,3,0)*0.475*44/12</f>
        <v>19.43409471799551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81.08925079334324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4.583333333333333</v>
      </c>
      <c r="BY131" s="12">
        <f>IF('Données projet'!$A$114&gt;35,BY130+BX131-CG130,IF(A131&lt;'Données projet'!$A$114,$BV$205^A131,IF(A131='Données projet'!$A$114,'Données projet'!$B$114,BY130+BX131-CG130)))</f>
        <v>236.41666666666725</v>
      </c>
      <c r="BZ131" s="13">
        <f>BY131*VLOOKUP('Données projet'!$B$12,Paramètres!$A$1:$I$89,3,0)*VLOOKUP('Données projet'!$B$12,Paramètres!$A$1:$I$89,5,0)</f>
        <v>239.72650000000061</v>
      </c>
      <c r="CA131" s="13">
        <f t="shared" si="93"/>
        <v>58.380681720421279</v>
      </c>
      <c r="CB131" s="20">
        <f t="shared" si="64"/>
        <v>519.20334149640132</v>
      </c>
      <c r="CC131" s="59">
        <f t="shared" si="65"/>
        <v>812.53667482973469</v>
      </c>
      <c r="CD131" s="59">
        <f ca="1">AVERAGE(OFFSET($CC$3,0,0,'Données projet'!$E$12+1,1))-AVERAGE(OFFSET($H$3,0,0,'Données projet'!$E$12+1,1))</f>
        <v>410.75375635525211</v>
      </c>
      <c r="CE131" s="59">
        <f t="shared" si="94"/>
        <v>183.55513001437367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28.289005633595465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28.289005633595465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5.666666666666667</v>
      </c>
      <c r="CT131" s="12">
        <f>IF('Données projet'!$A$140&gt;35,CT130+CS131-DB130,IF(A131&lt;'Données projet'!$A$140,$CQ$205^A131,IF(A131='Données projet'!$A$140,'Données projet'!$B$140,CT130+CS131-DB130)))</f>
        <v>289.3333333333332</v>
      </c>
      <c r="CU131" s="17">
        <f>CT131*VLOOKUP('Données projet'!$B$13,Paramètres!$A$1:$I$89,3,0)*VLOOKUP('Données projet'!$B$13,Paramètres!$A$1:$I$89,5,0)</f>
        <v>261.78879999999987</v>
      </c>
      <c r="CV131" s="13">
        <f t="shared" si="95"/>
        <v>63.103525540030383</v>
      </c>
      <c r="CW131" s="20">
        <f t="shared" si="67"/>
        <v>565.85413364888598</v>
      </c>
      <c r="CX131" s="59">
        <f t="shared" si="68"/>
        <v>859.18746698221935</v>
      </c>
      <c r="CY131" s="59">
        <f ca="1">AVERAGE(OFFSET($CX$3,0,0,'Données projet'!$E$13+1,1))-AVERAGE(OFFSET($H$3,0,0,'Données projet'!$E$13+1,1))</f>
        <v>436.12708882925142</v>
      </c>
      <c r="CZ131" s="59">
        <f t="shared" si="96"/>
        <v>217.65884352525285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42.124337313799963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42.124337313799963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3.4106051316484809E-13</v>
      </c>
      <c r="DP131" s="17">
        <f>DO131*VLOOKUP('Données projet'!$B$14,Paramètres!$A$1:$I$89,3,0)*VLOOKUP('Données projet'!$B$14,Paramètres!$A$1:$I$89,5,0)</f>
        <v>3.2455318432766944E-13</v>
      </c>
      <c r="DQ131" s="13">
        <f t="shared" si="97"/>
        <v>4.2513245787534721E-12</v>
      </c>
      <c r="DR131" s="20">
        <f t="shared" si="70"/>
        <v>7.9696537706996534E-12</v>
      </c>
      <c r="DS131" s="59">
        <f t="shared" si="71"/>
        <v>293.33333333334127</v>
      </c>
      <c r="DT131" s="59">
        <f ca="1">AVERAGE(OFFSET($DS$3,0,0,'Données projet'!$E$14+1,1))-AVERAGE(OFFSET($H$3,0,0,'Données projet'!$E$14+1,1))</f>
        <v>735.50267870886194</v>
      </c>
      <c r="DU131" s="59">
        <f t="shared" si="98"/>
        <v>525.80345400853275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164.47329805710868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164.47329805710868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4.583333333333333</v>
      </c>
      <c r="EJ131" s="12">
        <f>IF('Données projet'!$A$192&gt;35,EJ130+EI131-ER130,IF(A131&lt;'Données projet'!$A$192,$EG$205^A131,IF(A131='Données projet'!$A$192,'Données projet'!$B$192,EJ130+EI131-ER130)))</f>
        <v>236.41666666666725</v>
      </c>
      <c r="EK131" s="17">
        <f>EJ131*VLOOKUP('Données projet'!$B$15,Paramètres!$A$1:$I$89,3,0)*VLOOKUP('Données projet'!$B$15,Paramètres!$A$1:$I$89,5,0)</f>
        <v>151.21210000000036</v>
      </c>
      <c r="EL131" s="13">
        <f t="shared" si="99"/>
        <v>38.853910538585346</v>
      </c>
      <c r="EM131" s="20">
        <f t="shared" si="73"/>
        <v>331.03163502137016</v>
      </c>
      <c r="EN131" s="59">
        <f t="shared" si="74"/>
        <v>624.36496835470348</v>
      </c>
      <c r="EO131" s="59">
        <f ca="1">AVERAGE(OFFSET($EN$3,0,0,'Données projet'!$E$15+1,1))-AVERAGE(OFFSET($H$3,0,0,'Données projet'!$E$15+1,1))</f>
        <v>274.14900959323484</v>
      </c>
      <c r="EP131" s="59">
        <f t="shared" si="100"/>
        <v>130.44590390921582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17.843834322729446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17.843834322729446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-2.2737367544323206E-13</v>
      </c>
      <c r="FF131" s="17">
        <f>FE131*VLOOKUP('Données projet'!$B$16,Paramètres!$A$1:$I$89,3,0)*VLOOKUP('Données projet'!$B$16,Paramètres!$A$1:$I$89,5,0)</f>
        <v>-1.3596945791505279E-13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405.42845699663462</v>
      </c>
      <c r="FK131" s="59">
        <f t="shared" si="102"/>
        <v>292.26503163353146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91.669346368282888</v>
      </c>
      <c r="FR131" s="21">
        <f>EXP(-LN(2)/25)*FR130+(1-EXP(-LN(2)/25))/(LN(2)/25)*Calculateur!FM131*Calculateur!FO131*VLOOKUP('Données projet'!$B$16,Paramètres!$A$1:$I$89,3,0)*0.475*44/12</f>
        <v>29.971716637125152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121.64106300540804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-2.2737367544323206E-13</v>
      </c>
      <c r="GA131" s="17">
        <f>FZ131*VLOOKUP('Données projet'!$B$17,Paramètres!$A$1:$I$89,3,0)*VLOOKUP('Données projet'!$B$17,Paramètres!$A$1:$I$89,5,0)</f>
        <v>-1.3596945791505279E-13</v>
      </c>
      <c r="GB131" s="13" t="e">
        <f t="shared" si="103"/>
        <v>#NUM!</v>
      </c>
      <c r="GC131" s="20" t="e">
        <f t="shared" si="79"/>
        <v>#NUM!</v>
      </c>
      <c r="GD131" s="59" t="e">
        <f t="shared" si="80"/>
        <v>#NUM!</v>
      </c>
      <c r="GE131" s="59">
        <f ca="1">AVERAGE(OFFSET($GD$3,0,0,'Données projet'!$E$17+1,1))-AVERAGE(OFFSET($H$3,0,0,'Données projet'!$E$17+1,1))</f>
        <v>405.42845699663462</v>
      </c>
      <c r="GF131" s="59">
        <f t="shared" si="104"/>
        <v>292.26503163353146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91.669346368282888</v>
      </c>
      <c r="GM131" s="21">
        <f>EXP(-LN(2)/25)*GM130+(1-EXP(-LN(2)/25))/(LN(2)/25)*Calculateur!GH131*Calculateur!GJ131*VLOOKUP('Données projet'!$B$17,Paramètres!$A$1:$I$89,3,0)*0.475*44/12</f>
        <v>29.971716637125152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121.64106300540804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-5.3205440053716299E-14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198.26255998041</v>
      </c>
      <c r="T132" s="59">
        <f t="shared" si="88"/>
        <v>238.62101708181166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27.992470042706245</v>
      </c>
      <c r="AA132" s="21">
        <f>EXP(-LN(2)/25)*AA131+(1-EXP(-LN(2)/25))/(LN(2)/25)*Calculateur!V132*Calculateur!X132*VLOOKUP('Données projet'!$B$9,Paramètres!$A$1:$I$89,3,0)*0.475*44/12</f>
        <v>9.1920138714859227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37.184483914192171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3.4106051316484809E-13</v>
      </c>
      <c r="AJ132" s="13">
        <f>AI132*VLOOKUP('Données projet'!$B$10,Paramètres!$A$1:$I$89,3,0)*VLOOKUP('Données projet'!$B$10,Paramètres!$A$1:$I$89,5,0)</f>
        <v>1.9065282685915009E-13</v>
      </c>
      <c r="AK132" s="13">
        <f t="shared" si="89"/>
        <v>2.6568987209435707E-12</v>
      </c>
      <c r="AL132" s="20">
        <f t="shared" ref="AL132:AL153" si="112">(AJ132+AK132)*0.475*44/12</f>
        <v>4.959485612423072E-12</v>
      </c>
      <c r="AM132" s="59">
        <f t="shared" ref="AM132:AM195" si="113">AL132+(AD132+AE132)*44/12</f>
        <v>293.33333333333826</v>
      </c>
      <c r="AN132" s="59">
        <f ca="1">AVERAGE(OFFSET($AM$3,0,0,'Données projet'!$E$10+1,1))-AVERAGE(OFFSET($H$3,0,0,'Données projet'!$E$10+1,1))</f>
        <v>347.02720636703873</v>
      </c>
      <c r="AO132" s="59">
        <f t="shared" si="90"/>
        <v>394.03759949558702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61.104584181311765</v>
      </c>
      <c r="AV132" s="21">
        <f>EXP(-LN(2)/25)*AV131+(1-EXP(-LN(2)/25))/(LN(2)/25)*Calculateur!AQ132*Calculateur!AS132*VLOOKUP('Données projet'!$B$10,Paramètres!$A$1:$I$89,3,0)*0.475*44/12</f>
        <v>19.563788268099078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80.668372449410839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-3.4106051316484809E-13</v>
      </c>
      <c r="BE132" s="13">
        <f>BD132*VLOOKUP('Données projet'!$B$11,Paramètres!$A$1:$I$89,3,0)*VLOOKUP('Données projet'!$B$11,Paramètres!$A$1:$I$89,5,0)</f>
        <v>-2.0395418687257919E-13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378.75660696651238</v>
      </c>
      <c r="BJ132" s="59">
        <f t="shared" si="92"/>
        <v>371.70674704563288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60.44613607064209</v>
      </c>
      <c r="BQ132" s="21">
        <f>EXP(-LN(2)/25)*BQ131+(1-EXP(-LN(2)/25))/(LN(2)/25)*Calculateur!BL132*Calculateur!BN132*VLOOKUP('Données projet'!$B$11,Paramètres!$A$1:$I$89,3,0)*0.475*44/12</f>
        <v>18.902668375937299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79.348804446579393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>
        <f>VLOOKUP(A132,'Données projet'!$A$113:$I$133,2,0)</f>
        <v>241</v>
      </c>
      <c r="BW132" s="12">
        <f>VLOOKUP(A132,'Données projet'!$A$113:$I$133,9,0)</f>
        <v>4.583333333333333</v>
      </c>
      <c r="BX132" s="12">
        <f t="array" ref="BX132">INDEX(BW:BW,MIN(IF(ISNUMBER(BW132:BW328),ROW(BW132:BW328),"")))</f>
        <v>4.583333333333333</v>
      </c>
      <c r="BY132" s="12">
        <f>IF('Données projet'!$A$114&gt;35,BY131+BX132-CG131,IF(A132&lt;'Données projet'!$A$114,$BV$205^A132,IF(A132='Données projet'!$A$114,'Données projet'!$B$114,BY131+BX132-CG131)))</f>
        <v>241.0000000000006</v>
      </c>
      <c r="BZ132" s="13">
        <f>BY132*VLOOKUP('Données projet'!$B$12,Paramètres!$A$1:$I$89,3,0)*VLOOKUP('Données projet'!$B$12,Paramètres!$A$1:$I$89,5,0)</f>
        <v>244.37400000000065</v>
      </c>
      <c r="CA132" s="13">
        <f t="shared" si="93"/>
        <v>59.379626388394009</v>
      </c>
      <c r="CB132" s="20">
        <f t="shared" ref="CB132:CB153" si="118">(BZ132+CA132)*0.475*44/12</f>
        <v>529.03756595978723</v>
      </c>
      <c r="CC132" s="59">
        <f t="shared" ref="CC132:CC195" si="119">CB132+(BT132+BU132)*44/12</f>
        <v>822.3708992931206</v>
      </c>
      <c r="CD132" s="59">
        <f ca="1">AVERAGE(OFFSET($CC$3,0,0,'Données projet'!$E$12+1,1))-AVERAGE(OFFSET($H$3,0,0,'Données projet'!$E$12+1,1))</f>
        <v>410.75375635525211</v>
      </c>
      <c r="CE132" s="59">
        <f t="shared" si="94"/>
        <v>183.55513001437367</v>
      </c>
      <c r="CF132" s="15">
        <f>IF(ISNA(VLOOKUP(A132,'Données projet'!$A$113:$I$133,3,0)),0,VLOOKUP(A132,'Données projet'!$A$113:$I$133,3,0))</f>
        <v>9</v>
      </c>
      <c r="CG132" s="15">
        <f>IF(ISNA(VLOOKUP(A132,'Données projet'!$A$113:$I$133,4,0)),0,VLOOKUP(A132,'Données projet'!$A$113:$I$133,4,0))</f>
        <v>38</v>
      </c>
      <c r="CH132" s="16">
        <f>IF(ISNA(VLOOKUP(A132,'Données projet'!$A$113:$I$133,5,0)),0%,VLOOKUP(A132,'Données projet'!$A$113:$I$133,5,0)*VLOOKUP('Données projet'!$B$12,Paramètres!$A$1:$I$89,7,0))</f>
        <v>0.25800000000000001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38.724039531064562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38.724039531064562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5.666666666666667</v>
      </c>
      <c r="CT132" s="12">
        <f>IF('Données projet'!$A$140&gt;35,CT131+CS132-DB131,IF(A132&lt;'Données projet'!$A$140,$CQ$205^A132,IF(A132='Données projet'!$A$140,'Données projet'!$B$140,CT131+CS132-DB131)))</f>
        <v>294.99999999999989</v>
      </c>
      <c r="CU132" s="17">
        <f>CT132*VLOOKUP('Données projet'!$B$13,Paramètres!$A$1:$I$89,3,0)*VLOOKUP('Données projet'!$B$13,Paramètres!$A$1:$I$89,5,0)</f>
        <v>266.91599999999988</v>
      </c>
      <c r="CV132" s="13">
        <f t="shared" si="95"/>
        <v>64.194329696332119</v>
      </c>
      <c r="CW132" s="20">
        <f t="shared" ref="CW132:CW153" si="121">(CU132+CV132)*0.475*44/12</f>
        <v>576.68382422111142</v>
      </c>
      <c r="CX132" s="59">
        <f t="shared" ref="CX132:CX195" si="122">CW132+(CO132+CP132)*44/12</f>
        <v>870.01715755444479</v>
      </c>
      <c r="CY132" s="59">
        <f ca="1">AVERAGE(OFFSET($CX$3,0,0,'Données projet'!$E$13+1,1))-AVERAGE(OFFSET($H$3,0,0,'Données projet'!$E$13+1,1))</f>
        <v>436.12708882925142</v>
      </c>
      <c r="CZ132" s="59">
        <f t="shared" si="96"/>
        <v>217.65884352525285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41.2983047523851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41.2983047523851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3.4106051316484809E-13</v>
      </c>
      <c r="DP132" s="17">
        <f>DO132*VLOOKUP('Données projet'!$B$14,Paramètres!$A$1:$I$89,3,0)*VLOOKUP('Données projet'!$B$14,Paramètres!$A$1:$I$89,5,0)</f>
        <v>3.2455318432766944E-13</v>
      </c>
      <c r="DQ132" s="13">
        <f t="shared" si="97"/>
        <v>4.2513245787534721E-12</v>
      </c>
      <c r="DR132" s="20">
        <f t="shared" ref="DR132:DR153" si="124">(DP132+DQ132)*0.475*44/12</f>
        <v>7.9696537706996534E-12</v>
      </c>
      <c r="DS132" s="59">
        <f t="shared" ref="DS132:DS195" si="125">DR132+(DJ132+DK132)*44/12</f>
        <v>293.33333333334127</v>
      </c>
      <c r="DT132" s="59">
        <f ca="1">AVERAGE(OFFSET($DS$3,0,0,'Données projet'!$E$14+1,1))-AVERAGE(OFFSET($H$3,0,0,'Données projet'!$E$14+1,1))</f>
        <v>735.50267870886194</v>
      </c>
      <c r="DU132" s="59">
        <f t="shared" si="98"/>
        <v>525.80345400853275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161.24807700101493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161.24807700101493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>
        <f>VLOOKUP(A132,'Données projet'!$A$191:$I$211,2,0)</f>
        <v>241</v>
      </c>
      <c r="EH132" s="12">
        <f>VLOOKUP(A132,'Données projet'!$A$191:$I$211,9,0)</f>
        <v>4.583333333333333</v>
      </c>
      <c r="EI132" s="12">
        <f t="array" ref="EI132">INDEX(EH:EH,MIN(IF(ISNUMBER(EH132:EH328),ROW(EH132:EH328),"")))</f>
        <v>4.583333333333333</v>
      </c>
      <c r="EJ132" s="12">
        <f>IF('Données projet'!$A$192&gt;35,EJ131+EI132-ER131,IF(A132&lt;'Données projet'!$A$192,$EG$205^A132,IF(A132='Données projet'!$A$192,'Données projet'!$B$192,EJ131+EI132-ER131)))</f>
        <v>241.0000000000006</v>
      </c>
      <c r="EK132" s="17">
        <f>EJ132*VLOOKUP('Données projet'!$B$15,Paramètres!$A$1:$I$89,3,0)*VLOOKUP('Données projet'!$B$15,Paramètres!$A$1:$I$89,5,0)</f>
        <v>154.14360000000039</v>
      </c>
      <c r="EL132" s="13">
        <f t="shared" si="99"/>
        <v>39.518735025361337</v>
      </c>
      <c r="EM132" s="20">
        <f t="shared" ref="EM132:EM153" si="127">(EK132+EL132)*0.475*44/12</f>
        <v>337.29523350250497</v>
      </c>
      <c r="EN132" s="59">
        <f t="shared" ref="EN132:EN195" si="128">EM132+(EE132+EF132)*44/12</f>
        <v>630.62856683583823</v>
      </c>
      <c r="EO132" s="59">
        <f ca="1">AVERAGE(OFFSET($EN$3,0,0,'Données projet'!$E$15+1,1))-AVERAGE(OFFSET($H$3,0,0,'Données projet'!$E$15+1,1))</f>
        <v>274.14900959323484</v>
      </c>
      <c r="EP132" s="59">
        <f t="shared" si="100"/>
        <v>130.44590390921582</v>
      </c>
      <c r="EQ132" s="15">
        <f>IF(ISNA(VLOOKUP(A132,'Données projet'!$A$191:$I$211,3,0)),0,VLOOKUP(A132,'Données projet'!$A$191:$I$211,3,0))</f>
        <v>9</v>
      </c>
      <c r="ER132" s="15">
        <f>IF(ISNA(VLOOKUP(A132,'Données projet'!$A$191:$I$211,4,0)),0,VLOOKUP(A132,'Données projet'!$A$191:$I$211,4,0))</f>
        <v>38</v>
      </c>
      <c r="ES132" s="16">
        <f>IF(ISNA(VLOOKUP(A132,'Données projet'!$A$191:$I$211,5,0)),0%,VLOOKUP(A132,'Données projet'!$A$191:$I$211,5,0)*VLOOKUP('Données projet'!$B$15,Paramètres!$A$1:$I$89,7,0))</f>
        <v>0.25800000000000001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24.425932627286876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24.425932627286876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-2.2737367544323206E-13</v>
      </c>
      <c r="FF132" s="17">
        <f>FE132*VLOOKUP('Données projet'!$B$16,Paramètres!$A$1:$I$89,3,0)*VLOOKUP('Données projet'!$B$16,Paramètres!$A$1:$I$89,5,0)</f>
        <v>-1.3596945791505279E-13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405.42845699663462</v>
      </c>
      <c r="FK132" s="59">
        <f t="shared" si="102"/>
        <v>292.26503163353146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89.871766398781219</v>
      </c>
      <c r="FR132" s="21">
        <f>EXP(-LN(2)/25)*FR131+(1-EXP(-LN(2)/25))/(LN(2)/25)*Calculateur!FM132*Calculateur!FO132*VLOOKUP('Données projet'!$B$16,Paramètres!$A$1:$I$89,3,0)*0.475*44/12</f>
        <v>29.152138469538887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119.0239048683201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-2.2737367544323206E-13</v>
      </c>
      <c r="GA132" s="17">
        <f>FZ132*VLOOKUP('Données projet'!$B$17,Paramètres!$A$1:$I$89,3,0)*VLOOKUP('Données projet'!$B$17,Paramètres!$A$1:$I$89,5,0)</f>
        <v>-1.3596945791505279E-13</v>
      </c>
      <c r="GB132" s="13" t="e">
        <f t="shared" si="103"/>
        <v>#NUM!</v>
      </c>
      <c r="GC132" s="20" t="e">
        <f t="shared" ref="GC132:GC153" si="133">(GA132+GB132)*0.475*44/12</f>
        <v>#NUM!</v>
      </c>
      <c r="GD132" s="59" t="e">
        <f t="shared" ref="GD132:GD195" si="134">GC132+(FU132+FV132)*44/12</f>
        <v>#NUM!</v>
      </c>
      <c r="GE132" s="59">
        <f ca="1">AVERAGE(OFFSET($GD$3,0,0,'Données projet'!$E$17+1,1))-AVERAGE(OFFSET($H$3,0,0,'Données projet'!$E$17+1,1))</f>
        <v>405.42845699663462</v>
      </c>
      <c r="GF132" s="59">
        <f t="shared" si="104"/>
        <v>292.26503163353146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89.871766398781219</v>
      </c>
      <c r="GM132" s="21">
        <f>EXP(-LN(2)/25)*GM131+(1-EXP(-LN(2)/25))/(LN(2)/25)*Calculateur!GH132*Calculateur!GJ132*VLOOKUP('Données projet'!$B$17,Paramètres!$A$1:$I$89,3,0)*0.475*44/12</f>
        <v>29.152138469538887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119.0239048683201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-5.3205440053716299E-14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198.26255998041</v>
      </c>
      <c r="T133" s="59">
        <f t="shared" ref="T133:T196" si="142">$T$3</f>
        <v>238.62101708181166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27.443554778889613</v>
      </c>
      <c r="AA133" s="21">
        <f>EXP(-LN(2)/25)*AA132+(1-EXP(-LN(2)/25))/(LN(2)/25)*Calculateur!V133*Calculateur!X133*VLOOKUP('Données projet'!$B$9,Paramètres!$A$1:$I$89,3,0)*0.475*44/12</f>
        <v>8.9406577687831401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36.384212547672753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3.4106051316484809E-13</v>
      </c>
      <c r="AJ133" s="13">
        <f>AI133*VLOOKUP('Données projet'!$B$10,Paramètres!$A$1:$I$89,3,0)*VLOOKUP('Données projet'!$B$10,Paramètres!$A$1:$I$89,5,0)</f>
        <v>1.9065282685915009E-13</v>
      </c>
      <c r="AK133" s="13">
        <f t="shared" ref="AK133:AK153" si="143">EXP(-1.0587+0.8836*LN(AJ133)+0.284)</f>
        <v>2.6568987209435707E-12</v>
      </c>
      <c r="AL133" s="20">
        <f t="shared" si="112"/>
        <v>4.959485612423072E-12</v>
      </c>
      <c r="AM133" s="59">
        <f t="shared" si="113"/>
        <v>293.33333333333826</v>
      </c>
      <c r="AN133" s="59">
        <f ca="1">AVERAGE(OFFSET($AM$3,0,0,'Données projet'!$E$10+1,1))-AVERAGE(OFFSET($H$3,0,0,'Données projet'!$E$10+1,1))</f>
        <v>347.02720636703873</v>
      </c>
      <c r="AO133" s="59">
        <f t="shared" ref="AO133:AO196" si="144">$AO$3</f>
        <v>394.03759949558702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59.906360555632475</v>
      </c>
      <c r="AV133" s="21">
        <f>EXP(-LN(2)/25)*AV132+(1-EXP(-LN(2)/25))/(LN(2)/25)*Calculateur!AQ133*Calculateur!AS133*VLOOKUP('Données projet'!$B$10,Paramètres!$A$1:$I$89,3,0)*0.475*44/12</f>
        <v>19.028815449092995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78.935176004725463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-3.4106051316484809E-13</v>
      </c>
      <c r="BE133" s="13">
        <f>BD133*VLOOKUP('Données projet'!$B$11,Paramètres!$A$1:$I$89,3,0)*VLOOKUP('Données projet'!$B$11,Paramètres!$A$1:$I$89,5,0)</f>
        <v>-2.0395418687257919E-13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378.75660696651238</v>
      </c>
      <c r="BJ133" s="59">
        <f t="shared" ref="BJ133:BJ196" si="146">$BJ$3</f>
        <v>371.70674704563288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59.260824210799342</v>
      </c>
      <c r="BQ133" s="21">
        <f>EXP(-LN(2)/25)*BQ132+(1-EXP(-LN(2)/25))/(LN(2)/25)*Calculateur!BL133*Calculateur!BN133*VLOOKUP('Données projet'!$B$11,Paramètres!$A$1:$I$89,3,0)*0.475*44/12</f>
        <v>18.385773915149166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77.646598125948515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4.75</v>
      </c>
      <c r="BY133" s="12">
        <f>IF('Données projet'!$A$114&gt;35,BY132+BX133-CG132,IF(A133&lt;'Données projet'!$A$114,$BV$205^A133,IF(A133='Données projet'!$A$114,'Données projet'!$B$114,BY132+BX133-CG132)))</f>
        <v>207.7500000000006</v>
      </c>
      <c r="BZ133" s="13">
        <f>BY133*VLOOKUP('Données projet'!$B$12,Paramètres!$A$1:$I$89,3,0)*VLOOKUP('Données projet'!$B$12,Paramètres!$A$1:$I$89,5,0)</f>
        <v>210.65850000000063</v>
      </c>
      <c r="CA133" s="13">
        <f t="shared" ref="CA133:CA153" si="147">EXP(-1.0587+0.8836*LN(BZ133)+0.284)</f>
        <v>52.079458285184707</v>
      </c>
      <c r="CB133" s="20">
        <f t="shared" si="118"/>
        <v>457.6019440133644</v>
      </c>
      <c r="CC133" s="59">
        <f t="shared" si="119"/>
        <v>750.93527734669772</v>
      </c>
      <c r="CD133" s="59">
        <f ca="1">AVERAGE(OFFSET($CC$3,0,0,'Données projet'!$E$12+1,1))-AVERAGE(OFFSET($H$3,0,0,'Données projet'!$E$12+1,1))</f>
        <v>410.75375635525211</v>
      </c>
      <c r="CE133" s="59">
        <f t="shared" ref="CE133:CE196" si="148">$CE$3</f>
        <v>183.55513001437367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37.964684735192286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37.964684735192286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5.666666666666667</v>
      </c>
      <c r="CT133" s="12">
        <f>IF('Données projet'!$A$140&gt;35,CT132+CS133-DB132,IF(A133&lt;'Données projet'!$A$140,$CQ$205^A133,IF(A133='Données projet'!$A$140,'Données projet'!$B$140,CT132+CS133-DB132)))</f>
        <v>300.66666666666657</v>
      </c>
      <c r="CU133" s="17">
        <f>CT133*VLOOKUP('Données projet'!$B$13,Paramètres!$A$1:$I$89,3,0)*VLOOKUP('Données projet'!$B$13,Paramètres!$A$1:$I$89,5,0)</f>
        <v>272.0431999999999</v>
      </c>
      <c r="CV133" s="13">
        <f t="shared" ref="CV133:CV153" si="149">EXP(-1.0587+0.8836*LN(CU133)+0.284)</f>
        <v>65.28269745475086</v>
      </c>
      <c r="CW133" s="20">
        <f t="shared" si="121"/>
        <v>587.50927140035753</v>
      </c>
      <c r="CX133" s="59">
        <f t="shared" si="122"/>
        <v>880.84260473369091</v>
      </c>
      <c r="CY133" s="59">
        <f ca="1">AVERAGE(OFFSET($CX$3,0,0,'Données projet'!$E$13+1,1))-AVERAGE(OFFSET($H$3,0,0,'Données projet'!$E$13+1,1))</f>
        <v>436.12708882925142</v>
      </c>
      <c r="CZ133" s="59">
        <f t="shared" ref="CZ133:CZ196" si="150">$CZ$3</f>
        <v>217.65884352525285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40.48847018566947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40.48847018566947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3.4106051316484809E-13</v>
      </c>
      <c r="DP133" s="17">
        <f>DO133*VLOOKUP('Données projet'!$B$14,Paramètres!$A$1:$I$89,3,0)*VLOOKUP('Données projet'!$B$14,Paramètres!$A$1:$I$89,5,0)</f>
        <v>3.2455318432766944E-13</v>
      </c>
      <c r="DQ133" s="13">
        <f t="shared" ref="DQ133:DQ153" si="151">EXP(-1.0587+0.8836*LN(DP133)+0.284)</f>
        <v>4.2513245787534721E-12</v>
      </c>
      <c r="DR133" s="20">
        <f t="shared" si="124"/>
        <v>7.9696537706996534E-12</v>
      </c>
      <c r="DS133" s="59">
        <f t="shared" si="125"/>
        <v>293.33333333334127</v>
      </c>
      <c r="DT133" s="59">
        <f ca="1">AVERAGE(OFFSET($DS$3,0,0,'Données projet'!$E$14+1,1))-AVERAGE(OFFSET($H$3,0,0,'Données projet'!$E$14+1,1))</f>
        <v>735.50267870886194</v>
      </c>
      <c r="DU133" s="59">
        <f t="shared" ref="DU133:DU196" si="152">$DU$3</f>
        <v>525.80345400853275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158.08610056264058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158.08610056264058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4.75</v>
      </c>
      <c r="EJ133" s="12">
        <f>IF('Données projet'!$A$192&gt;35,EJ132+EI133-ER132,IF(A133&lt;'Données projet'!$A$192,$EG$205^A133,IF(A133='Données projet'!$A$192,'Données projet'!$B$192,EJ132+EI133-ER132)))</f>
        <v>207.7500000000006</v>
      </c>
      <c r="EK133" s="17">
        <f>EJ133*VLOOKUP('Données projet'!$B$15,Paramètres!$A$1:$I$89,3,0)*VLOOKUP('Données projet'!$B$15,Paramètres!$A$1:$I$89,5,0)</f>
        <v>132.87690000000038</v>
      </c>
      <c r="EL133" s="13">
        <f t="shared" ref="EL133:EL153" si="153">EXP(-1.0587+0.8836*LN(EK133)+0.284)</f>
        <v>34.660277226648944</v>
      </c>
      <c r="EM133" s="20">
        <f t="shared" si="127"/>
        <v>291.79391700308088</v>
      </c>
      <c r="EN133" s="59">
        <f t="shared" si="128"/>
        <v>585.12725033641414</v>
      </c>
      <c r="EO133" s="59">
        <f ca="1">AVERAGE(OFFSET($EN$3,0,0,'Données projet'!$E$15+1,1))-AVERAGE(OFFSET($H$3,0,0,'Données projet'!$E$15+1,1))</f>
        <v>274.14900959323484</v>
      </c>
      <c r="EP133" s="59">
        <f t="shared" ref="EP133:EP196" si="154">$EP$3</f>
        <v>130.44590390921582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23.946954986813594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23.946954986813594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-2.2737367544323206E-13</v>
      </c>
      <c r="FF133" s="17">
        <f>FE133*VLOOKUP('Données projet'!$B$16,Paramètres!$A$1:$I$89,3,0)*VLOOKUP('Données projet'!$B$16,Paramètres!$A$1:$I$89,5,0)</f>
        <v>-1.3596945791505279E-13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405.42845699663462</v>
      </c>
      <c r="FK133" s="59">
        <f t="shared" ref="FK133:FK196" si="156">$FK$3</f>
        <v>292.26503163353146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88.109435876065959</v>
      </c>
      <c r="FR133" s="21">
        <f>EXP(-LN(2)/25)*FR132+(1-EXP(-LN(2)/25))/(LN(2)/25)*Calculateur!FM133*Calculateur!FO133*VLOOKUP('Données projet'!$B$16,Paramètres!$A$1:$I$89,3,0)*0.475*44/12</f>
        <v>28.35497171004501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116.46440758611097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-2.2737367544323206E-13</v>
      </c>
      <c r="GA133" s="17">
        <f>FZ133*VLOOKUP('Données projet'!$B$17,Paramètres!$A$1:$I$89,3,0)*VLOOKUP('Données projet'!$B$17,Paramètres!$A$1:$I$89,5,0)</f>
        <v>-1.3596945791505279E-13</v>
      </c>
      <c r="GB133" s="13" t="e">
        <f t="shared" ref="GB133:GB153" si="157">EXP(-1.0587+0.8836*LN(GA133)+0.284)</f>
        <v>#NUM!</v>
      </c>
      <c r="GC133" s="20" t="e">
        <f t="shared" si="133"/>
        <v>#NUM!</v>
      </c>
      <c r="GD133" s="59" t="e">
        <f t="shared" si="134"/>
        <v>#NUM!</v>
      </c>
      <c r="GE133" s="59">
        <f ca="1">AVERAGE(OFFSET($GD$3,0,0,'Données projet'!$E$17+1,1))-AVERAGE(OFFSET($H$3,0,0,'Données projet'!$E$17+1,1))</f>
        <v>405.42845699663462</v>
      </c>
      <c r="GF133" s="59">
        <f t="shared" ref="GF133:GF196" si="158">$GF$3</f>
        <v>292.26503163353146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88.109435876065959</v>
      </c>
      <c r="GM133" s="21">
        <f>EXP(-LN(2)/25)*GM132+(1-EXP(-LN(2)/25))/(LN(2)/25)*Calculateur!GH133*Calculateur!GJ133*VLOOKUP('Données projet'!$B$17,Paramètres!$A$1:$I$89,3,0)*0.475*44/12</f>
        <v>28.35497171004501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116.46440758611097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-5.3205440053716299E-14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198.26255998041</v>
      </c>
      <c r="T134" s="59">
        <f t="shared" si="142"/>
        <v>238.62101708181166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26.905403408591173</v>
      </c>
      <c r="AA134" s="21">
        <f>EXP(-LN(2)/25)*AA133+(1-EXP(-LN(2)/25))/(LN(2)/25)*Calculateur!V134*Calculateur!X134*VLOOKUP('Données projet'!$B$9,Paramètres!$A$1:$I$89,3,0)*0.475*44/12</f>
        <v>8.6961750119270071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35.60157842051818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3.4106051316484809E-13</v>
      </c>
      <c r="AJ134" s="13">
        <f>AI134*VLOOKUP('Données projet'!$B$10,Paramètres!$A$1:$I$89,3,0)*VLOOKUP('Données projet'!$B$10,Paramètres!$A$1:$I$89,5,0)</f>
        <v>1.9065282685915009E-13</v>
      </c>
      <c r="AK134" s="13">
        <f t="shared" si="143"/>
        <v>2.6568987209435707E-12</v>
      </c>
      <c r="AL134" s="20">
        <f t="shared" si="112"/>
        <v>4.959485612423072E-12</v>
      </c>
      <c r="AM134" s="59">
        <f t="shared" si="113"/>
        <v>293.33333333333826</v>
      </c>
      <c r="AN134" s="59">
        <f ca="1">AVERAGE(OFFSET($AM$3,0,0,'Données projet'!$E$10+1,1))-AVERAGE(OFFSET($H$3,0,0,'Données projet'!$E$10+1,1))</f>
        <v>347.02720636703873</v>
      </c>
      <c r="AO134" s="59">
        <f t="shared" si="144"/>
        <v>394.03759949558702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58.731633364408509</v>
      </c>
      <c r="AV134" s="21">
        <f>EXP(-LN(2)/25)*AV133+(1-EXP(-LN(2)/25))/(LN(2)/25)*Calculateur!AQ134*Calculateur!AS134*VLOOKUP('Données projet'!$B$10,Paramètres!$A$1:$I$89,3,0)*0.475*44/12</f>
        <v>18.508471489955635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77.240104854364148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-3.4106051316484809E-13</v>
      </c>
      <c r="BE134" s="13">
        <f>BD134*VLOOKUP('Données projet'!$B$11,Paramètres!$A$1:$I$89,3,0)*VLOOKUP('Données projet'!$B$11,Paramètres!$A$1:$I$89,5,0)</f>
        <v>-2.0395418687257919E-13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378.75660696651238</v>
      </c>
      <c r="BJ134" s="59">
        <f t="shared" si="146"/>
        <v>371.70674704563288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58.098755593559261</v>
      </c>
      <c r="BQ134" s="21">
        <f>EXP(-LN(2)/25)*BQ133+(1-EXP(-LN(2)/25))/(LN(2)/25)*Calculateur!BL134*Calculateur!BN134*VLOOKUP('Données projet'!$B$11,Paramètres!$A$1:$I$89,3,0)*0.475*44/12</f>
        <v>17.883013960573582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75.981769554132839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4.75</v>
      </c>
      <c r="BY134" s="12">
        <f>IF('Données projet'!$A$114&gt;35,BY133+BX134-CG133,IF(A134&lt;'Données projet'!$A$114,$BV$205^A134,IF(A134='Données projet'!$A$114,'Données projet'!$B$114,BY133+BX134-CG133)))</f>
        <v>212.5000000000006</v>
      </c>
      <c r="BZ134" s="13">
        <f>BY134*VLOOKUP('Données projet'!$B$12,Paramètres!$A$1:$I$89,3,0)*VLOOKUP('Données projet'!$B$12,Paramètres!$A$1:$I$89,5,0)</f>
        <v>215.47500000000062</v>
      </c>
      <c r="CA134" s="13">
        <f t="shared" si="147"/>
        <v>53.13021291695275</v>
      </c>
      <c r="CB134" s="20">
        <f t="shared" si="118"/>
        <v>467.82074583036041</v>
      </c>
      <c r="CC134" s="59">
        <f t="shared" si="119"/>
        <v>761.15407916369372</v>
      </c>
      <c r="CD134" s="59">
        <f ca="1">AVERAGE(OFFSET($CC$3,0,0,'Données projet'!$E$12+1,1))-AVERAGE(OFFSET($H$3,0,0,'Données projet'!$E$12+1,1))</f>
        <v>410.75375635525211</v>
      </c>
      <c r="CE134" s="59">
        <f t="shared" si="148"/>
        <v>183.55513001437367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37.220220423706373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37.220220423706373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5.666666666666667</v>
      </c>
      <c r="CT134" s="12">
        <f>IF('Données projet'!$A$140&gt;35,CT133+CS134-DB133,IF(A134&lt;'Données projet'!$A$140,$CQ$205^A134,IF(A134='Données projet'!$A$140,'Données projet'!$B$140,CT133+CS134-DB133)))</f>
        <v>306.33333333333326</v>
      </c>
      <c r="CU134" s="17">
        <f>CT134*VLOOKUP('Données projet'!$B$13,Paramètres!$A$1:$I$89,3,0)*VLOOKUP('Données projet'!$B$13,Paramètres!$A$1:$I$89,5,0)</f>
        <v>277.17039999999992</v>
      </c>
      <c r="CV134" s="13">
        <f t="shared" si="149"/>
        <v>66.36868002896874</v>
      </c>
      <c r="CW134" s="20">
        <f t="shared" si="121"/>
        <v>598.33056438378708</v>
      </c>
      <c r="CX134" s="59">
        <f t="shared" si="122"/>
        <v>891.66389771712034</v>
      </c>
      <c r="CY134" s="59">
        <f ca="1">AVERAGE(OFFSET($CX$3,0,0,'Données projet'!$E$13+1,1))-AVERAGE(OFFSET($H$3,0,0,'Données projet'!$E$13+1,1))</f>
        <v>436.12708882925142</v>
      </c>
      <c r="CZ134" s="59">
        <f t="shared" si="150"/>
        <v>217.65884352525285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39.694515980856828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39.694515980856828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3.4106051316484809E-13</v>
      </c>
      <c r="DP134" s="17">
        <f>DO134*VLOOKUP('Données projet'!$B$14,Paramètres!$A$1:$I$89,3,0)*VLOOKUP('Données projet'!$B$14,Paramètres!$A$1:$I$89,5,0)</f>
        <v>3.2455318432766944E-13</v>
      </c>
      <c r="DQ134" s="13">
        <f t="shared" si="151"/>
        <v>4.2513245787534721E-12</v>
      </c>
      <c r="DR134" s="20">
        <f t="shared" si="124"/>
        <v>7.9696537706996534E-12</v>
      </c>
      <c r="DS134" s="59">
        <f t="shared" si="125"/>
        <v>293.33333333334127</v>
      </c>
      <c r="DT134" s="59">
        <f ca="1">AVERAGE(OFFSET($DS$3,0,0,'Données projet'!$E$14+1,1))-AVERAGE(OFFSET($H$3,0,0,'Données projet'!$E$14+1,1))</f>
        <v>735.50267870886194</v>
      </c>
      <c r="DU134" s="59">
        <f t="shared" si="152"/>
        <v>525.80345400853275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154.98612855360756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154.98612855360756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4.75</v>
      </c>
      <c r="EJ134" s="12">
        <f>IF('Données projet'!$A$192&gt;35,EJ133+EI134-ER133,IF(A134&lt;'Données projet'!$A$192,$EG$205^A134,IF(A134='Données projet'!$A$192,'Données projet'!$B$192,EJ133+EI134-ER133)))</f>
        <v>212.5000000000006</v>
      </c>
      <c r="EK134" s="17">
        <f>EJ134*VLOOKUP('Données projet'!$B$15,Paramètres!$A$1:$I$89,3,0)*VLOOKUP('Données projet'!$B$15,Paramètres!$A$1:$I$89,5,0)</f>
        <v>135.91500000000039</v>
      </c>
      <c r="EL134" s="13">
        <f t="shared" si="153"/>
        <v>35.359582634835654</v>
      </c>
      <c r="EM134" s="20">
        <f t="shared" si="127"/>
        <v>298.30323142233942</v>
      </c>
      <c r="EN134" s="59">
        <f t="shared" si="128"/>
        <v>591.63656475567268</v>
      </c>
      <c r="EO134" s="59">
        <f ca="1">AVERAGE(OFFSET($EN$3,0,0,'Données projet'!$E$15+1,1))-AVERAGE(OFFSET($H$3,0,0,'Données projet'!$E$15+1,1))</f>
        <v>274.14900959323484</v>
      </c>
      <c r="EP134" s="59">
        <f t="shared" si="154"/>
        <v>130.44590390921582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23.477369805722478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23.477369805722478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-2.2737367544323206E-13</v>
      </c>
      <c r="FF134" s="17">
        <f>FE134*VLOOKUP('Données projet'!$B$16,Paramètres!$A$1:$I$89,3,0)*VLOOKUP('Données projet'!$B$16,Paramètres!$A$1:$I$89,5,0)</f>
        <v>-1.3596945791505279E-13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405.42845699663462</v>
      </c>
      <c r="FK134" s="59">
        <f t="shared" si="156"/>
        <v>292.26503163353146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86.381663579985656</v>
      </c>
      <c r="FR134" s="21">
        <f>EXP(-LN(2)/25)*FR133+(1-EXP(-LN(2)/25))/(LN(2)/25)*Calculateur!FM134*Calculateur!FO134*VLOOKUP('Données projet'!$B$16,Paramètres!$A$1:$I$89,3,0)*0.475*44/12</f>
        <v>27.579603517510673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113.96126709749633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-2.2737367544323206E-13</v>
      </c>
      <c r="GA134" s="17">
        <f>FZ134*VLOOKUP('Données projet'!$B$17,Paramètres!$A$1:$I$89,3,0)*VLOOKUP('Données projet'!$B$17,Paramètres!$A$1:$I$89,5,0)</f>
        <v>-1.3596945791505279E-13</v>
      </c>
      <c r="GB134" s="13" t="e">
        <f t="shared" si="157"/>
        <v>#NUM!</v>
      </c>
      <c r="GC134" s="20" t="e">
        <f t="shared" si="133"/>
        <v>#NUM!</v>
      </c>
      <c r="GD134" s="59" t="e">
        <f t="shared" si="134"/>
        <v>#NUM!</v>
      </c>
      <c r="GE134" s="59">
        <f ca="1">AVERAGE(OFFSET($GD$3,0,0,'Données projet'!$E$17+1,1))-AVERAGE(OFFSET($H$3,0,0,'Données projet'!$E$17+1,1))</f>
        <v>405.42845699663462</v>
      </c>
      <c r="GF134" s="59">
        <f t="shared" si="158"/>
        <v>292.26503163353146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86.381663579985656</v>
      </c>
      <c r="GM134" s="21">
        <f>EXP(-LN(2)/25)*GM133+(1-EXP(-LN(2)/25))/(LN(2)/25)*Calculateur!GH134*Calculateur!GJ134*VLOOKUP('Données projet'!$B$17,Paramètres!$A$1:$I$89,3,0)*0.475*44/12</f>
        <v>27.579603517510673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113.96126709749633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-5.3205440053716299E-14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198.26255998041</v>
      </c>
      <c r="T135" s="59">
        <f t="shared" si="142"/>
        <v>238.62101708181166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26.377804858424359</v>
      </c>
      <c r="AA135" s="21">
        <f>EXP(-LN(2)/25)*AA134+(1-EXP(-LN(2)/25))/(LN(2)/25)*Calculateur!V135*Calculateur!X135*VLOOKUP('Données projet'!$B$9,Paramètres!$A$1:$I$89,3,0)*0.475*44/12</f>
        <v>8.4583776489138938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34.836182507338251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3.4106051316484809E-13</v>
      </c>
      <c r="AJ135" s="13">
        <f>AI135*VLOOKUP('Données projet'!$B$10,Paramètres!$A$1:$I$89,3,0)*VLOOKUP('Données projet'!$B$10,Paramètres!$A$1:$I$89,5,0)</f>
        <v>1.9065282685915009E-13</v>
      </c>
      <c r="AK135" s="13">
        <f t="shared" si="143"/>
        <v>2.6568987209435707E-12</v>
      </c>
      <c r="AL135" s="20">
        <f t="shared" si="112"/>
        <v>4.959485612423072E-12</v>
      </c>
      <c r="AM135" s="59">
        <f t="shared" si="113"/>
        <v>293.33333333333826</v>
      </c>
      <c r="AN135" s="59">
        <f ca="1">AVERAGE(OFFSET($AM$3,0,0,'Données projet'!$E$10+1,1))-AVERAGE(OFFSET($H$3,0,0,'Données projet'!$E$10+1,1))</f>
        <v>347.02720636703873</v>
      </c>
      <c r="AO135" s="59">
        <f t="shared" si="144"/>
        <v>394.03759949558702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57.579941856891608</v>
      </c>
      <c r="AV135" s="21">
        <f>EXP(-LN(2)/25)*AV134+(1-EXP(-LN(2)/25))/(LN(2)/25)*Calculateur!AQ135*Calculateur!AS135*VLOOKUP('Données projet'!$B$10,Paramètres!$A$1:$I$89,3,0)*0.475*44/12</f>
        <v>18.002356363744585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75.58229822063619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-3.4106051316484809E-13</v>
      </c>
      <c r="BE135" s="13">
        <f>BD135*VLOOKUP('Données projet'!$B$11,Paramètres!$A$1:$I$89,3,0)*VLOOKUP('Données projet'!$B$11,Paramètres!$A$1:$I$89,5,0)</f>
        <v>-2.0395418687257919E-13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378.75660696651238</v>
      </c>
      <c r="BJ135" s="59">
        <f t="shared" si="146"/>
        <v>371.70674704563288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56.959474433111389</v>
      </c>
      <c r="BQ135" s="21">
        <f>EXP(-LN(2)/25)*BQ134+(1-EXP(-LN(2)/25))/(LN(2)/25)*Calculateur!BL135*Calculateur!BN135*VLOOKUP('Données projet'!$B$11,Paramètres!$A$1:$I$89,3,0)*0.475*44/12</f>
        <v>17.394002003394863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74.353476436506256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4.75</v>
      </c>
      <c r="BY135" s="12">
        <f>IF('Données projet'!$A$114&gt;35,BY134+BX135-CG134,IF(A135&lt;'Données projet'!$A$114,$BV$205^A135,IF(A135='Données projet'!$A$114,'Données projet'!$B$114,BY134+BX135-CG134)))</f>
        <v>217.2500000000006</v>
      </c>
      <c r="BZ135" s="13">
        <f>BY135*VLOOKUP('Données projet'!$B$12,Paramètres!$A$1:$I$89,3,0)*VLOOKUP('Données projet'!$B$12,Paramètres!$A$1:$I$89,5,0)</f>
        <v>220.29150000000064</v>
      </c>
      <c r="CA135" s="13">
        <f t="shared" si="147"/>
        <v>54.178236922054111</v>
      </c>
      <c r="CB135" s="20">
        <f t="shared" si="118"/>
        <v>478.03479180591199</v>
      </c>
      <c r="CC135" s="59">
        <f t="shared" si="119"/>
        <v>771.36812513924531</v>
      </c>
      <c r="CD135" s="59">
        <f ca="1">AVERAGE(OFFSET($CC$3,0,0,'Données projet'!$E$12+1,1))-AVERAGE(OFFSET($H$3,0,0,'Données projet'!$E$12+1,1))</f>
        <v>410.75375635525211</v>
      </c>
      <c r="CE135" s="59">
        <f t="shared" si="148"/>
        <v>183.55513001437367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36.490354603290307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36.490354603290307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5.666666666666667</v>
      </c>
      <c r="CT135" s="12">
        <f>IF('Données projet'!$A$140&gt;35,CT134+CS135-DB134,IF(A135&lt;'Données projet'!$A$140,$CQ$205^A135,IF(A135='Données projet'!$A$140,'Données projet'!$B$140,CT134+CS135-DB134)))</f>
        <v>311.99999999999994</v>
      </c>
      <c r="CU135" s="17">
        <f>CT135*VLOOKUP('Données projet'!$B$13,Paramètres!$A$1:$I$89,3,0)*VLOOKUP('Données projet'!$B$13,Paramètres!$A$1:$I$89,5,0)</f>
        <v>282.29759999999993</v>
      </c>
      <c r="CV135" s="13">
        <f t="shared" si="149"/>
        <v>67.452326629470178</v>
      </c>
      <c r="CW135" s="20">
        <f t="shared" si="121"/>
        <v>609.14778887966042</v>
      </c>
      <c r="CX135" s="59">
        <f t="shared" si="122"/>
        <v>902.4811222129938</v>
      </c>
      <c r="CY135" s="59">
        <f ca="1">AVERAGE(OFFSET($CX$3,0,0,'Données projet'!$E$13+1,1))-AVERAGE(OFFSET($H$3,0,0,'Données projet'!$E$13+1,1))</f>
        <v>436.12708882925142</v>
      </c>
      <c r="CZ135" s="59">
        <f t="shared" si="150"/>
        <v>217.65884352525285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38.91613073373631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38.91613073373631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3.4106051316484809E-13</v>
      </c>
      <c r="DP135" s="17">
        <f>DO135*VLOOKUP('Données projet'!$B$14,Paramètres!$A$1:$I$89,3,0)*VLOOKUP('Données projet'!$B$14,Paramètres!$A$1:$I$89,5,0)</f>
        <v>3.2455318432766944E-13</v>
      </c>
      <c r="DQ135" s="13">
        <f t="shared" si="151"/>
        <v>4.2513245787534721E-12</v>
      </c>
      <c r="DR135" s="20">
        <f t="shared" si="124"/>
        <v>7.9696537706996534E-12</v>
      </c>
      <c r="DS135" s="59">
        <f t="shared" si="125"/>
        <v>293.33333333334127</v>
      </c>
      <c r="DT135" s="59">
        <f ca="1">AVERAGE(OFFSET($DS$3,0,0,'Données projet'!$E$14+1,1))-AVERAGE(OFFSET($H$3,0,0,'Données projet'!$E$14+1,1))</f>
        <v>735.50267870886194</v>
      </c>
      <c r="DU135" s="59">
        <f t="shared" si="152"/>
        <v>525.80345400853275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151.94694510487545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151.94694510487545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4.75</v>
      </c>
      <c r="EJ135" s="12">
        <f>IF('Données projet'!$A$192&gt;35,EJ134+EI135-ER134,IF(A135&lt;'Données projet'!$A$192,$EG$205^A135,IF(A135='Données projet'!$A$192,'Données projet'!$B$192,EJ134+EI135-ER134)))</f>
        <v>217.2500000000006</v>
      </c>
      <c r="EK135" s="17">
        <f>EJ135*VLOOKUP('Données projet'!$B$15,Paramètres!$A$1:$I$89,3,0)*VLOOKUP('Données projet'!$B$15,Paramètres!$A$1:$I$89,5,0)</f>
        <v>138.95310000000038</v>
      </c>
      <c r="EL135" s="13">
        <f t="shared" si="153"/>
        <v>36.057070737689628</v>
      </c>
      <c r="EM135" s="20">
        <f t="shared" si="127"/>
        <v>304.80938070147675</v>
      </c>
      <c r="EN135" s="59">
        <f t="shared" si="128"/>
        <v>598.14271403481007</v>
      </c>
      <c r="EO135" s="59">
        <f ca="1">AVERAGE(OFFSET($EN$3,0,0,'Données projet'!$E$15+1,1))-AVERAGE(OFFSET($H$3,0,0,'Données projet'!$E$15+1,1))</f>
        <v>274.14900959323484</v>
      </c>
      <c r="EP135" s="59">
        <f t="shared" si="154"/>
        <v>130.44590390921582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23.016992903613883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23.016992903613883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-2.2737367544323206E-13</v>
      </c>
      <c r="FF135" s="17">
        <f>FE135*VLOOKUP('Données projet'!$B$16,Paramètres!$A$1:$I$89,3,0)*VLOOKUP('Données projet'!$B$16,Paramètres!$A$1:$I$89,5,0)</f>
        <v>-1.3596945791505279E-13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405.42845699663462</v>
      </c>
      <c r="FK135" s="59">
        <f t="shared" si="156"/>
        <v>292.26503163353146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84.687771844794455</v>
      </c>
      <c r="FR135" s="21">
        <f>EXP(-LN(2)/25)*FR134+(1-EXP(-LN(2)/25))/(LN(2)/25)*Calculateur!FM135*Calculateur!FO135*VLOOKUP('Données projet'!$B$16,Paramètres!$A$1:$I$89,3,0)*0.475*44/12</f>
        <v>26.82543780897603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111.51320965377049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-2.2737367544323206E-13</v>
      </c>
      <c r="GA135" s="17">
        <f>FZ135*VLOOKUP('Données projet'!$B$17,Paramètres!$A$1:$I$89,3,0)*VLOOKUP('Données projet'!$B$17,Paramètres!$A$1:$I$89,5,0)</f>
        <v>-1.3596945791505279E-13</v>
      </c>
      <c r="GB135" s="13" t="e">
        <f t="shared" si="157"/>
        <v>#NUM!</v>
      </c>
      <c r="GC135" s="20" t="e">
        <f t="shared" si="133"/>
        <v>#NUM!</v>
      </c>
      <c r="GD135" s="59" t="e">
        <f t="shared" si="134"/>
        <v>#NUM!</v>
      </c>
      <c r="GE135" s="59">
        <f ca="1">AVERAGE(OFFSET($GD$3,0,0,'Données projet'!$E$17+1,1))-AVERAGE(OFFSET($H$3,0,0,'Données projet'!$E$17+1,1))</f>
        <v>405.42845699663462</v>
      </c>
      <c r="GF135" s="59">
        <f t="shared" si="158"/>
        <v>292.26503163353146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84.687771844794455</v>
      </c>
      <c r="GM135" s="21">
        <f>EXP(-LN(2)/25)*GM134+(1-EXP(-LN(2)/25))/(LN(2)/25)*Calculateur!GH135*Calculateur!GJ135*VLOOKUP('Données projet'!$B$17,Paramètres!$A$1:$I$89,3,0)*0.475*44/12</f>
        <v>26.82543780897603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111.51320965377049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-5.3205440053716299E-14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198.26255998041</v>
      </c>
      <c r="T136" s="59">
        <f t="shared" si="142"/>
        <v>238.62101708181166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25.860552194022976</v>
      </c>
      <c r="AA136" s="21">
        <f>EXP(-LN(2)/25)*AA135+(1-EXP(-LN(2)/25))/(LN(2)/25)*Calculateur!V136*Calculateur!X136*VLOOKUP('Données projet'!$B$9,Paramètres!$A$1:$I$89,3,0)*0.475*44/12</f>
        <v>8.2270828672975949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34.087635061320569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3.4106051316484809E-13</v>
      </c>
      <c r="AJ136" s="13">
        <f>AI136*VLOOKUP('Données projet'!$B$10,Paramètres!$A$1:$I$89,3,0)*VLOOKUP('Données projet'!$B$10,Paramètres!$A$1:$I$89,5,0)</f>
        <v>1.9065282685915009E-13</v>
      </c>
      <c r="AK136" s="13">
        <f t="shared" si="143"/>
        <v>2.6568987209435707E-12</v>
      </c>
      <c r="AL136" s="20">
        <f t="shared" si="112"/>
        <v>4.959485612423072E-12</v>
      </c>
      <c r="AM136" s="59">
        <f t="shared" si="113"/>
        <v>293.33333333333826</v>
      </c>
      <c r="AN136" s="59">
        <f ca="1">AVERAGE(OFFSET($AM$3,0,0,'Données projet'!$E$10+1,1))-AVERAGE(OFFSET($H$3,0,0,'Données projet'!$E$10+1,1))</f>
        <v>347.02720636703873</v>
      </c>
      <c r="AO136" s="59">
        <f t="shared" si="144"/>
        <v>394.03759949558702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56.450834317374657</v>
      </c>
      <c r="AV136" s="21">
        <f>EXP(-LN(2)/25)*AV135+(1-EXP(-LN(2)/25))/(LN(2)/25)*Calculateur!AQ136*Calculateur!AS136*VLOOKUP('Données projet'!$B$10,Paramètres!$A$1:$I$89,3,0)*0.475*44/12</f>
        <v>17.510080982275213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73.960915299649869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-3.4106051316484809E-13</v>
      </c>
      <c r="BE136" s="13">
        <f>BD136*VLOOKUP('Données projet'!$B$11,Paramètres!$A$1:$I$89,3,0)*VLOOKUP('Données projet'!$B$11,Paramètres!$A$1:$I$89,5,0)</f>
        <v>-2.0395418687257919E-13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378.75660696651238</v>
      </c>
      <c r="BJ136" s="59">
        <f t="shared" si="146"/>
        <v>371.70674704563288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55.842533881327007</v>
      </c>
      <c r="BQ136" s="21">
        <f>EXP(-LN(2)/25)*BQ135+(1-EXP(-LN(2)/25))/(LN(2)/25)*Calculateur!BL136*Calculateur!BN136*VLOOKUP('Données projet'!$B$11,Paramètres!$A$1:$I$89,3,0)*0.475*44/12</f>
        <v>16.91836210390122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72.760895985228231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4.75</v>
      </c>
      <c r="BY136" s="12">
        <f>IF('Données projet'!$A$114&gt;35,BY135+BX136-CG135,IF(A136&lt;'Données projet'!$A$114,$BV$205^A136,IF(A136='Données projet'!$A$114,'Données projet'!$B$114,BY135+BX136-CG135)))</f>
        <v>222.0000000000006</v>
      </c>
      <c r="BZ136" s="13">
        <f>BY136*VLOOKUP('Données projet'!$B$12,Paramètres!$A$1:$I$89,3,0)*VLOOKUP('Données projet'!$B$12,Paramètres!$A$1:$I$89,5,0)</f>
        <v>225.1080000000006</v>
      </c>
      <c r="CA136" s="13">
        <f t="shared" si="147"/>
        <v>55.22359687888973</v>
      </c>
      <c r="CB136" s="20">
        <f t="shared" si="118"/>
        <v>488.24419789740051</v>
      </c>
      <c r="CC136" s="59">
        <f t="shared" si="119"/>
        <v>781.57753123073383</v>
      </c>
      <c r="CD136" s="59">
        <f ca="1">AVERAGE(OFFSET($CC$3,0,0,'Données projet'!$E$12+1,1))-AVERAGE(OFFSET($H$3,0,0,'Données projet'!$E$12+1,1))</f>
        <v>410.75375635525211</v>
      </c>
      <c r="CE136" s="59">
        <f t="shared" si="148"/>
        <v>183.55513001437367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35.774801006438402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35.774801006438402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5.666666666666667</v>
      </c>
      <c r="CT136" s="12">
        <f>IF('Données projet'!$A$140&gt;35,CT135+CS136-DB135,IF(A136&lt;'Données projet'!$A$140,$CQ$205^A136,IF(A136='Données projet'!$A$140,'Données projet'!$B$140,CT135+CS136-DB135)))</f>
        <v>317.66666666666663</v>
      </c>
      <c r="CU136" s="17">
        <f>CT136*VLOOKUP('Données projet'!$B$13,Paramètres!$A$1:$I$89,3,0)*VLOOKUP('Données projet'!$B$13,Paramètres!$A$1:$I$89,5,0)</f>
        <v>287.42479999999995</v>
      </c>
      <c r="CV136" s="13">
        <f t="shared" si="149"/>
        <v>68.533684576829955</v>
      </c>
      <c r="CW136" s="20">
        <f t="shared" si="121"/>
        <v>619.96102730464543</v>
      </c>
      <c r="CX136" s="59">
        <f t="shared" si="122"/>
        <v>913.2943606379788</v>
      </c>
      <c r="CY136" s="59">
        <f ca="1">AVERAGE(OFFSET($CX$3,0,0,'Données projet'!$E$13+1,1))-AVERAGE(OFFSET($H$3,0,0,'Données projet'!$E$13+1,1))</f>
        <v>436.12708882925142</v>
      </c>
      <c r="CZ136" s="59">
        <f t="shared" si="150"/>
        <v>217.65884352525285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38.153009146543702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38.153009146543702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3.4106051316484809E-13</v>
      </c>
      <c r="DP136" s="17">
        <f>DO136*VLOOKUP('Données projet'!$B$14,Paramètres!$A$1:$I$89,3,0)*VLOOKUP('Données projet'!$B$14,Paramètres!$A$1:$I$89,5,0)</f>
        <v>3.2455318432766944E-13</v>
      </c>
      <c r="DQ136" s="13">
        <f t="shared" si="151"/>
        <v>4.2513245787534721E-12</v>
      </c>
      <c r="DR136" s="20">
        <f t="shared" si="124"/>
        <v>7.9696537706996534E-12</v>
      </c>
      <c r="DS136" s="59">
        <f t="shared" si="125"/>
        <v>293.33333333334127</v>
      </c>
      <c r="DT136" s="59">
        <f ca="1">AVERAGE(OFFSET($DS$3,0,0,'Données projet'!$E$14+1,1))-AVERAGE(OFFSET($H$3,0,0,'Données projet'!$E$14+1,1))</f>
        <v>735.50267870886194</v>
      </c>
      <c r="DU136" s="59">
        <f t="shared" si="152"/>
        <v>525.80345400853275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148.96735818985411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148.96735818985411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4.75</v>
      </c>
      <c r="EJ136" s="12">
        <f>IF('Données projet'!$A$192&gt;35,EJ135+EI136-ER135,IF(A136&lt;'Données projet'!$A$192,$EG$205^A136,IF(A136='Données projet'!$A$192,'Données projet'!$B$192,EJ135+EI136-ER135)))</f>
        <v>222.0000000000006</v>
      </c>
      <c r="EK136" s="17">
        <f>EJ136*VLOOKUP('Données projet'!$B$15,Paramètres!$A$1:$I$89,3,0)*VLOOKUP('Données projet'!$B$15,Paramètres!$A$1:$I$89,5,0)</f>
        <v>141.99120000000036</v>
      </c>
      <c r="EL136" s="13">
        <f t="shared" si="153"/>
        <v>36.752785844923558</v>
      </c>
      <c r="EM136" s="20">
        <f t="shared" si="127"/>
        <v>311.3124420132425</v>
      </c>
      <c r="EN136" s="59">
        <f t="shared" si="128"/>
        <v>604.64577534657587</v>
      </c>
      <c r="EO136" s="59">
        <f ca="1">AVERAGE(OFFSET($EN$3,0,0,'Données projet'!$E$15+1,1))-AVERAGE(OFFSET($H$3,0,0,'Données projet'!$E$15+1,1))</f>
        <v>274.14900959323484</v>
      </c>
      <c r="EP136" s="59">
        <f t="shared" si="154"/>
        <v>130.44590390921582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22.565643711753452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22.565643711753452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-2.2737367544323206E-13</v>
      </c>
      <c r="FF136" s="17">
        <f>FE136*VLOOKUP('Données projet'!$B$16,Paramètres!$A$1:$I$89,3,0)*VLOOKUP('Données projet'!$B$16,Paramètres!$A$1:$I$89,5,0)</f>
        <v>-1.3596945791505279E-13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405.42845699663462</v>
      </c>
      <c r="FK136" s="59">
        <f t="shared" si="156"/>
        <v>292.26503163353146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83.027096293358412</v>
      </c>
      <c r="FR136" s="21">
        <f>EXP(-LN(2)/25)*FR135+(1-EXP(-LN(2)/25))/(LN(2)/25)*Calculateur!FM136*Calculateur!FO136*VLOOKUP('Données projet'!$B$16,Paramètres!$A$1:$I$89,3,0)*0.475*44/12</f>
        <v>26.091894801401118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109.11899109475954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-2.2737367544323206E-13</v>
      </c>
      <c r="GA136" s="17">
        <f>FZ136*VLOOKUP('Données projet'!$B$17,Paramètres!$A$1:$I$89,3,0)*VLOOKUP('Données projet'!$B$17,Paramètres!$A$1:$I$89,5,0)</f>
        <v>-1.3596945791505279E-13</v>
      </c>
      <c r="GB136" s="13" t="e">
        <f t="shared" si="157"/>
        <v>#NUM!</v>
      </c>
      <c r="GC136" s="20" t="e">
        <f t="shared" si="133"/>
        <v>#NUM!</v>
      </c>
      <c r="GD136" s="59" t="e">
        <f t="shared" si="134"/>
        <v>#NUM!</v>
      </c>
      <c r="GE136" s="59">
        <f ca="1">AVERAGE(OFFSET($GD$3,0,0,'Données projet'!$E$17+1,1))-AVERAGE(OFFSET($H$3,0,0,'Données projet'!$E$17+1,1))</f>
        <v>405.42845699663462</v>
      </c>
      <c r="GF136" s="59">
        <f t="shared" si="158"/>
        <v>292.26503163353146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83.027096293358412</v>
      </c>
      <c r="GM136" s="21">
        <f>EXP(-LN(2)/25)*GM135+(1-EXP(-LN(2)/25))/(LN(2)/25)*Calculateur!GH136*Calculateur!GJ136*VLOOKUP('Données projet'!$B$17,Paramètres!$A$1:$I$89,3,0)*0.475*44/12</f>
        <v>26.091894801401118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109.11899109475954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-5.3205440053716299E-14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198.26255998041</v>
      </c>
      <c r="T137" s="59">
        <f t="shared" si="142"/>
        <v>238.62101708181166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25.35344253887753</v>
      </c>
      <c r="AA137" s="21">
        <f>EXP(-LN(2)/25)*AA136+(1-EXP(-LN(2)/25))/(LN(2)/25)*Calculateur!V137*Calculateur!X137*VLOOKUP('Données projet'!$B$9,Paramètres!$A$1:$I$89,3,0)*0.475*44/12</f>
        <v>8.0021128536478567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33.355555392525389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3.4106051316484809E-13</v>
      </c>
      <c r="AJ137" s="13">
        <f>AI137*VLOOKUP('Données projet'!$B$10,Paramètres!$A$1:$I$89,3,0)*VLOOKUP('Données projet'!$B$10,Paramètres!$A$1:$I$89,5,0)</f>
        <v>1.9065282685915009E-13</v>
      </c>
      <c r="AK137" s="13">
        <f t="shared" si="143"/>
        <v>2.6568987209435707E-12</v>
      </c>
      <c r="AL137" s="20">
        <f t="shared" si="112"/>
        <v>4.959485612423072E-12</v>
      </c>
      <c r="AM137" s="59">
        <f t="shared" si="113"/>
        <v>293.33333333333826</v>
      </c>
      <c r="AN137" s="59">
        <f ca="1">AVERAGE(OFFSET($AM$3,0,0,'Données projet'!$E$10+1,1))-AVERAGE(OFFSET($H$3,0,0,'Données projet'!$E$10+1,1))</f>
        <v>347.02720636703873</v>
      </c>
      <c r="AO137" s="59">
        <f t="shared" si="144"/>
        <v>394.03759949558702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55.343867888020036</v>
      </c>
      <c r="AV137" s="21">
        <f>EXP(-LN(2)/25)*AV136+(1-EXP(-LN(2)/25))/(LN(2)/25)*Calculateur!AQ137*Calculateur!AS137*VLOOKUP('Données projet'!$B$10,Paramètres!$A$1:$I$89,3,0)*0.475*44/12</f>
        <v>17.031266896999757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72.375134785019796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-3.4106051316484809E-13</v>
      </c>
      <c r="BE137" s="13">
        <f>BD137*VLOOKUP('Données projet'!$B$11,Paramètres!$A$1:$I$89,3,0)*VLOOKUP('Données projet'!$B$11,Paramètres!$A$1:$I$89,5,0)</f>
        <v>-2.0395418687257919E-13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378.75660696651238</v>
      </c>
      <c r="BJ137" s="59">
        <f t="shared" si="146"/>
        <v>371.70674704563288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54.747495852496648</v>
      </c>
      <c r="BQ137" s="21">
        <f>EXP(-LN(2)/25)*BQ136+(1-EXP(-LN(2)/25))/(LN(2)/25)*Calculateur!BL137*Calculateur!BN137*VLOOKUP('Données projet'!$B$11,Paramètres!$A$1:$I$89,3,0)*0.475*44/12</f>
        <v>16.455728602472046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71.203224454968691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4.75</v>
      </c>
      <c r="BY137" s="12">
        <f>IF('Données projet'!$A$114&gt;35,BY136+BX137-CG136,IF(A137&lt;'Données projet'!$A$114,$BV$205^A137,IF(A137='Données projet'!$A$114,'Données projet'!$B$114,BY136+BX137-CG136)))</f>
        <v>226.7500000000006</v>
      </c>
      <c r="BZ137" s="13">
        <f>BY137*VLOOKUP('Données projet'!$B$12,Paramètres!$A$1:$I$89,3,0)*VLOOKUP('Données projet'!$B$12,Paramètres!$A$1:$I$89,5,0)</f>
        <v>229.92450000000062</v>
      </c>
      <c r="CA137" s="13">
        <f t="shared" si="147"/>
        <v>56.266356354029725</v>
      </c>
      <c r="CB137" s="20">
        <f t="shared" si="118"/>
        <v>498.44907481660289</v>
      </c>
      <c r="CC137" s="59">
        <f t="shared" si="119"/>
        <v>791.78240814993615</v>
      </c>
      <c r="CD137" s="59">
        <f ca="1">AVERAGE(OFFSET($CC$3,0,0,'Données projet'!$E$12+1,1))-AVERAGE(OFFSET($H$3,0,0,'Données projet'!$E$12+1,1))</f>
        <v>410.75375635525211</v>
      </c>
      <c r="CE137" s="59">
        <f t="shared" si="148"/>
        <v>183.55513001437367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35.073278979176166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35.073278979176166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5.666666666666667</v>
      </c>
      <c r="CT137" s="12">
        <f>IF('Données projet'!$A$140&gt;35,CT136+CS137-DB136,IF(A137&lt;'Données projet'!$A$140,$CQ$205^A137,IF(A137='Données projet'!$A$140,'Données projet'!$B$140,CT136+CS137-DB136)))</f>
        <v>323.33333333333331</v>
      </c>
      <c r="CU137" s="17">
        <f>CT137*VLOOKUP('Données projet'!$B$13,Paramètres!$A$1:$I$89,3,0)*VLOOKUP('Données projet'!$B$13,Paramètres!$A$1:$I$89,5,0)</f>
        <v>292.55199999999996</v>
      </c>
      <c r="CV137" s="13">
        <f t="shared" si="149"/>
        <v>69.612799406690002</v>
      </c>
      <c r="CW137" s="20">
        <f t="shared" si="121"/>
        <v>630.77035896665166</v>
      </c>
      <c r="CX137" s="59">
        <f t="shared" si="122"/>
        <v>924.10369229998491</v>
      </c>
      <c r="CY137" s="59">
        <f ca="1">AVERAGE(OFFSET($CX$3,0,0,'Données projet'!$E$13+1,1))-AVERAGE(OFFSET($H$3,0,0,'Données projet'!$E$13+1,1))</f>
        <v>436.12708882925142</v>
      </c>
      <c r="CZ137" s="59">
        <f t="shared" si="150"/>
        <v>217.65884352525285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37.404851908217736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37.404851908217736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3.4106051316484809E-13</v>
      </c>
      <c r="DP137" s="17">
        <f>DO137*VLOOKUP('Données projet'!$B$14,Paramètres!$A$1:$I$89,3,0)*VLOOKUP('Données projet'!$B$14,Paramètres!$A$1:$I$89,5,0)</f>
        <v>3.2455318432766944E-13</v>
      </c>
      <c r="DQ137" s="13">
        <f t="shared" si="151"/>
        <v>4.2513245787534721E-12</v>
      </c>
      <c r="DR137" s="20">
        <f t="shared" si="124"/>
        <v>7.9696537706996534E-12</v>
      </c>
      <c r="DS137" s="59">
        <f t="shared" si="125"/>
        <v>293.33333333334127</v>
      </c>
      <c r="DT137" s="59">
        <f ca="1">AVERAGE(OFFSET($DS$3,0,0,'Données projet'!$E$14+1,1))-AVERAGE(OFFSET($H$3,0,0,'Données projet'!$E$14+1,1))</f>
        <v>735.50267870886194</v>
      </c>
      <c r="DU137" s="59">
        <f t="shared" si="152"/>
        <v>525.80345400853275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146.04619915686777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146.04619915686777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4.75</v>
      </c>
      <c r="EJ137" s="12">
        <f>IF('Données projet'!$A$192&gt;35,EJ136+EI137-ER136,IF(A137&lt;'Données projet'!$A$192,$EG$205^A137,IF(A137='Données projet'!$A$192,'Données projet'!$B$192,EJ136+EI137-ER136)))</f>
        <v>226.7500000000006</v>
      </c>
      <c r="EK137" s="17">
        <f>EJ137*VLOOKUP('Données projet'!$B$15,Paramètres!$A$1:$I$89,3,0)*VLOOKUP('Données projet'!$B$15,Paramètres!$A$1:$I$89,5,0)</f>
        <v>145.02930000000038</v>
      </c>
      <c r="EL137" s="13">
        <f t="shared" si="153"/>
        <v>37.446770261795784</v>
      </c>
      <c r="EM137" s="20">
        <f t="shared" si="127"/>
        <v>317.81248903929497</v>
      </c>
      <c r="EN137" s="59">
        <f t="shared" si="128"/>
        <v>611.14582237262834</v>
      </c>
      <c r="EO137" s="59">
        <f ca="1">AVERAGE(OFFSET($EN$3,0,0,'Données projet'!$E$15+1,1))-AVERAGE(OFFSET($H$3,0,0,'Données projet'!$E$15+1,1))</f>
        <v>274.14900959323484</v>
      </c>
      <c r="EP137" s="59">
        <f t="shared" si="154"/>
        <v>130.44590390921582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22.123145202249582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22.123145202249582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-2.2737367544323206E-13</v>
      </c>
      <c r="FF137" s="17">
        <f>FE137*VLOOKUP('Données projet'!$B$16,Paramètres!$A$1:$I$89,3,0)*VLOOKUP('Données projet'!$B$16,Paramètres!$A$1:$I$89,5,0)</f>
        <v>-1.3596945791505279E-13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405.42845699663462</v>
      </c>
      <c r="FK137" s="59">
        <f t="shared" si="156"/>
        <v>292.26503163353146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81.398985576573963</v>
      </c>
      <c r="FR137" s="21">
        <f>EXP(-LN(2)/25)*FR136+(1-EXP(-LN(2)/25))/(LN(2)/25)*Calculateur!FM137*Calculateur!FO137*VLOOKUP('Données projet'!$B$16,Paramètres!$A$1:$I$89,3,0)*0.475*44/12</f>
        <v>25.378410565943689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106.77739614251766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-2.2737367544323206E-13</v>
      </c>
      <c r="GA137" s="17">
        <f>FZ137*VLOOKUP('Données projet'!$B$17,Paramètres!$A$1:$I$89,3,0)*VLOOKUP('Données projet'!$B$17,Paramètres!$A$1:$I$89,5,0)</f>
        <v>-1.3596945791505279E-13</v>
      </c>
      <c r="GB137" s="13" t="e">
        <f t="shared" si="157"/>
        <v>#NUM!</v>
      </c>
      <c r="GC137" s="20" t="e">
        <f t="shared" si="133"/>
        <v>#NUM!</v>
      </c>
      <c r="GD137" s="59" t="e">
        <f t="shared" si="134"/>
        <v>#NUM!</v>
      </c>
      <c r="GE137" s="59">
        <f ca="1">AVERAGE(OFFSET($GD$3,0,0,'Données projet'!$E$17+1,1))-AVERAGE(OFFSET($H$3,0,0,'Données projet'!$E$17+1,1))</f>
        <v>405.42845699663462</v>
      </c>
      <c r="GF137" s="59">
        <f t="shared" si="158"/>
        <v>292.26503163353146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81.398985576573963</v>
      </c>
      <c r="GM137" s="21">
        <f>EXP(-LN(2)/25)*GM136+(1-EXP(-LN(2)/25))/(LN(2)/25)*Calculateur!GH137*Calculateur!GJ137*VLOOKUP('Données projet'!$B$17,Paramètres!$A$1:$I$89,3,0)*0.475*44/12</f>
        <v>25.378410565943689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106.77739614251766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-5.3205440053716299E-14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198.26255998041</v>
      </c>
      <c r="T138" s="59">
        <f t="shared" si="142"/>
        <v>238.62101708181166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24.856276994763139</v>
      </c>
      <c r="AA138" s="21">
        <f>EXP(-LN(2)/25)*AA137+(1-EXP(-LN(2)/25))/(LN(2)/25)*Calculateur!V138*Calculateur!X138*VLOOKUP('Données projet'!$B$9,Paramètres!$A$1:$I$89,3,0)*0.475*44/12</f>
        <v>7.7832946568520303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32.639571651615171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3.4106051316484809E-13</v>
      </c>
      <c r="AJ138" s="13">
        <f>AI138*VLOOKUP('Données projet'!$B$10,Paramètres!$A$1:$I$89,3,0)*VLOOKUP('Données projet'!$B$10,Paramètres!$A$1:$I$89,5,0)</f>
        <v>1.9065282685915009E-13</v>
      </c>
      <c r="AK138" s="13">
        <f t="shared" si="143"/>
        <v>2.6568987209435707E-12</v>
      </c>
      <c r="AL138" s="20">
        <f t="shared" si="112"/>
        <v>4.959485612423072E-12</v>
      </c>
      <c r="AM138" s="59">
        <f t="shared" si="113"/>
        <v>293.33333333333826</v>
      </c>
      <c r="AN138" s="59">
        <f ca="1">AVERAGE(OFFSET($AM$3,0,0,'Données projet'!$E$10+1,1))-AVERAGE(OFFSET($H$3,0,0,'Données projet'!$E$10+1,1))</f>
        <v>347.02720636703873</v>
      </c>
      <c r="AO138" s="59">
        <f t="shared" si="144"/>
        <v>394.03759949558702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54.258608395162206</v>
      </c>
      <c r="AV138" s="21">
        <f>EXP(-LN(2)/25)*AV137+(1-EXP(-LN(2)/25))/(LN(2)/25)*Calculateur!AQ138*Calculateur!AS138*VLOOKUP('Données projet'!$B$10,Paramètres!$A$1:$I$89,3,0)*0.475*44/12</f>
        <v>16.565546008065898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70.824154403228107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-3.4106051316484809E-13</v>
      </c>
      <c r="BE138" s="13">
        <f>BD138*VLOOKUP('Données projet'!$B$11,Paramètres!$A$1:$I$89,3,0)*VLOOKUP('Données projet'!$B$11,Paramètres!$A$1:$I$89,5,0)</f>
        <v>-2.0395418687257919E-13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378.75660696651238</v>
      </c>
      <c r="BJ138" s="59">
        <f t="shared" si="146"/>
        <v>371.70674704563288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53.673930851504409</v>
      </c>
      <c r="BQ138" s="21">
        <f>EXP(-LN(2)/25)*BQ137+(1-EXP(-LN(2)/25))/(LN(2)/25)*Calculateur!BL138*Calculateur!BN138*VLOOKUP('Données projet'!$B$11,Paramètres!$A$1:$I$89,3,0)*0.475*44/12</f>
        <v>16.00574583846829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69.679676689972695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4.75</v>
      </c>
      <c r="BY138" s="12">
        <f>IF('Données projet'!$A$114&gt;35,BY137+BX138-CG137,IF(A138&lt;'Données projet'!$A$114,$BV$205^A138,IF(A138='Données projet'!$A$114,'Données projet'!$B$114,BY137+BX138-CG137)))</f>
        <v>231.5000000000006</v>
      </c>
      <c r="BZ138" s="13">
        <f>BY138*VLOOKUP('Données projet'!$B$12,Paramètres!$A$1:$I$89,3,0)*VLOOKUP('Données projet'!$B$12,Paramètres!$A$1:$I$89,5,0)</f>
        <v>234.74100000000061</v>
      </c>
      <c r="CA138" s="13">
        <f t="shared" si="147"/>
        <v>57.306576098652215</v>
      </c>
      <c r="CB138" s="20">
        <f t="shared" si="118"/>
        <v>508.64952837182028</v>
      </c>
      <c r="CC138" s="59">
        <f t="shared" si="119"/>
        <v>801.9828617051536</v>
      </c>
      <c r="CD138" s="59">
        <f ca="1">AVERAGE(OFFSET($CC$3,0,0,'Données projet'!$E$12+1,1))-AVERAGE(OFFSET($H$3,0,0,'Données projet'!$E$12+1,1))</f>
        <v>410.75375635525211</v>
      </c>
      <c r="CE138" s="59">
        <f t="shared" si="148"/>
        <v>183.55513001437367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34.385513370982359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34.385513370982359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>
        <f>VLOOKUP(A138,'Données projet'!$A$139:$I$159,2,0)</f>
        <v>329</v>
      </c>
      <c r="CR138" s="12">
        <f>VLOOKUP(A138,'Données projet'!$A$139:$I$159,9,0)</f>
        <v>5.666666666666667</v>
      </c>
      <c r="CS138" s="12">
        <f t="array" ref="CS138">INDEX(CR:CR,MIN(IF(ISNUMBER(CR138:CR334),ROW(CR138:CR334),"")))</f>
        <v>5.666666666666667</v>
      </c>
      <c r="CT138" s="12">
        <f>IF('Données projet'!$A$140&gt;35,CT137+CS138-DB137,IF(A138&lt;'Données projet'!$A$140,$CQ$205^A138,IF(A138='Données projet'!$A$140,'Données projet'!$B$140,CT137+CS138-DB137)))</f>
        <v>329</v>
      </c>
      <c r="CU138" s="17">
        <f>CT138*VLOOKUP('Données projet'!$B$13,Paramètres!$A$1:$I$89,3,0)*VLOOKUP('Données projet'!$B$13,Paramètres!$A$1:$I$89,5,0)</f>
        <v>297.67919999999998</v>
      </c>
      <c r="CV138" s="13">
        <f t="shared" si="149"/>
        <v>70.689714967168129</v>
      </c>
      <c r="CW138" s="20">
        <f t="shared" si="121"/>
        <v>641.57586023448448</v>
      </c>
      <c r="CX138" s="59">
        <f t="shared" si="122"/>
        <v>934.90919356781774</v>
      </c>
      <c r="CY138" s="59">
        <f ca="1">AVERAGE(OFFSET($CX$3,0,0,'Données projet'!$E$13+1,1))-AVERAGE(OFFSET($H$3,0,0,'Données projet'!$E$13+1,1))</f>
        <v>436.12708882925142</v>
      </c>
      <c r="CZ138" s="59">
        <f t="shared" si="150"/>
        <v>217.65884352525285</v>
      </c>
      <c r="DA138" s="15">
        <f>IF(ISNA(VLOOKUP(A138,'Données projet'!$A$139:$I$159,3,0)),0,VLOOKUP(A138,'Données projet'!$A$139:$I$159,3,0))</f>
        <v>11</v>
      </c>
      <c r="DB138" s="15">
        <f>IF(ISNA(VLOOKUP(A138,'Données projet'!$A$139:$I$159,4,0)),0,VLOOKUP(A138,'Données projet'!$A$139:$I$159,4,0))</f>
        <v>48</v>
      </c>
      <c r="DC138" s="16">
        <f>IF(ISNA(VLOOKUP(A138,'Données projet'!$A$139:$I$159,5,0)),0%,VLOOKUP(A138,'Données projet'!$A$139:$I$159,5,0)*VLOOKUP('Données projet'!$B$13,Paramètres!$A$1:$I$89,7,0))</f>
        <v>0.25800000000000001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49.058208935991587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49.058208935991587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3.4106051316484809E-13</v>
      </c>
      <c r="DP138" s="17">
        <f>DO138*VLOOKUP('Données projet'!$B$14,Paramètres!$A$1:$I$89,3,0)*VLOOKUP('Données projet'!$B$14,Paramètres!$A$1:$I$89,5,0)</f>
        <v>3.2455318432766944E-13</v>
      </c>
      <c r="DQ138" s="13">
        <f t="shared" si="151"/>
        <v>4.2513245787534721E-12</v>
      </c>
      <c r="DR138" s="20">
        <f t="shared" si="124"/>
        <v>7.9696537706996534E-12</v>
      </c>
      <c r="DS138" s="59">
        <f t="shared" si="125"/>
        <v>293.33333333334127</v>
      </c>
      <c r="DT138" s="59">
        <f ca="1">AVERAGE(OFFSET($DS$3,0,0,'Données projet'!$E$14+1,1))-AVERAGE(OFFSET($H$3,0,0,'Données projet'!$E$14+1,1))</f>
        <v>735.50267870886194</v>
      </c>
      <c r="DU138" s="59">
        <f t="shared" si="152"/>
        <v>525.80345400853275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143.18232227078721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143.18232227078721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4.75</v>
      </c>
      <c r="EJ138" s="12">
        <f>IF('Données projet'!$A$192&gt;35,EJ137+EI138-ER137,IF(A138&lt;'Données projet'!$A$192,$EG$205^A138,IF(A138='Données projet'!$A$192,'Données projet'!$B$192,EJ137+EI138-ER137)))</f>
        <v>231.5000000000006</v>
      </c>
      <c r="EK138" s="17">
        <f>EJ138*VLOOKUP('Données projet'!$B$15,Paramètres!$A$1:$I$89,3,0)*VLOOKUP('Données projet'!$B$15,Paramètres!$A$1:$I$89,5,0)</f>
        <v>148.06740000000036</v>
      </c>
      <c r="EL138" s="13">
        <f t="shared" si="153"/>
        <v>38.139064419845958</v>
      </c>
      <c r="EM138" s="20">
        <f t="shared" si="127"/>
        <v>324.30959219789901</v>
      </c>
      <c r="EN138" s="59">
        <f t="shared" si="128"/>
        <v>617.64292553123232</v>
      </c>
      <c r="EO138" s="59">
        <f ca="1">AVERAGE(OFFSET($EN$3,0,0,'Données projet'!$E$15+1,1))-AVERAGE(OFFSET($H$3,0,0,'Données projet'!$E$15+1,1))</f>
        <v>274.14900959323484</v>
      </c>
      <c r="EP138" s="59">
        <f t="shared" si="154"/>
        <v>130.44590390921582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21.689323818619641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21.689323818619641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-2.2737367544323206E-13</v>
      </c>
      <c r="FF138" s="17">
        <f>FE138*VLOOKUP('Données projet'!$B$16,Paramètres!$A$1:$I$89,3,0)*VLOOKUP('Données projet'!$B$16,Paramètres!$A$1:$I$89,5,0)</f>
        <v>-1.3596945791505279E-13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405.42845699663462</v>
      </c>
      <c r="FK138" s="59">
        <f t="shared" si="156"/>
        <v>292.26503163353146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79.802801117896166</v>
      </c>
      <c r="FR138" s="21">
        <f>EXP(-LN(2)/25)*FR137+(1-EXP(-LN(2)/25))/(LN(2)/25)*Calculateur!FM138*Calculateur!FO138*VLOOKUP('Données projet'!$B$16,Paramètres!$A$1:$I$89,3,0)*0.475*44/12</f>
        <v>24.68443659442535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104.48723771232152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-2.2737367544323206E-13</v>
      </c>
      <c r="GA138" s="17">
        <f>FZ138*VLOOKUP('Données projet'!$B$17,Paramètres!$A$1:$I$89,3,0)*VLOOKUP('Données projet'!$B$17,Paramètres!$A$1:$I$89,5,0)</f>
        <v>-1.3596945791505279E-13</v>
      </c>
      <c r="GB138" s="13" t="e">
        <f t="shared" si="157"/>
        <v>#NUM!</v>
      </c>
      <c r="GC138" s="20" t="e">
        <f t="shared" si="133"/>
        <v>#NUM!</v>
      </c>
      <c r="GD138" s="59" t="e">
        <f t="shared" si="134"/>
        <v>#NUM!</v>
      </c>
      <c r="GE138" s="59">
        <f ca="1">AVERAGE(OFFSET($GD$3,0,0,'Données projet'!$E$17+1,1))-AVERAGE(OFFSET($H$3,0,0,'Données projet'!$E$17+1,1))</f>
        <v>405.42845699663462</v>
      </c>
      <c r="GF138" s="59">
        <f t="shared" si="158"/>
        <v>292.26503163353146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79.802801117896166</v>
      </c>
      <c r="GM138" s="21">
        <f>EXP(-LN(2)/25)*GM137+(1-EXP(-LN(2)/25))/(LN(2)/25)*Calculateur!GH138*Calculateur!GJ138*VLOOKUP('Données projet'!$B$17,Paramètres!$A$1:$I$89,3,0)*0.475*44/12</f>
        <v>24.68443659442535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104.48723771232152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-5.3205440053716299E-14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198.26255998041</v>
      </c>
      <c r="T139" s="59">
        <f t="shared" si="142"/>
        <v>238.62101708181166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24.368860563727793</v>
      </c>
      <c r="AA139" s="21">
        <f>EXP(-LN(2)/25)*AA138+(1-EXP(-LN(2)/25))/(LN(2)/25)*Calculateur!V139*Calculateur!X139*VLOOKUP('Données projet'!$B$9,Paramètres!$A$1:$I$89,3,0)*0.475*44/12</f>
        <v>7.5704600551547347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31.939320618882526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3.4106051316484809E-13</v>
      </c>
      <c r="AJ139" s="13">
        <f>AI139*VLOOKUP('Données projet'!$B$10,Paramètres!$A$1:$I$89,3,0)*VLOOKUP('Données projet'!$B$10,Paramètres!$A$1:$I$89,5,0)</f>
        <v>1.9065282685915009E-13</v>
      </c>
      <c r="AK139" s="13">
        <f t="shared" si="143"/>
        <v>2.6568987209435707E-12</v>
      </c>
      <c r="AL139" s="20">
        <f t="shared" si="112"/>
        <v>4.959485612423072E-12</v>
      </c>
      <c r="AM139" s="59">
        <f t="shared" si="113"/>
        <v>293.33333333333826</v>
      </c>
      <c r="AN139" s="59">
        <f ca="1">AVERAGE(OFFSET($AM$3,0,0,'Données projet'!$E$10+1,1))-AVERAGE(OFFSET($H$3,0,0,'Données projet'!$E$10+1,1))</f>
        <v>347.02720636703873</v>
      </c>
      <c r="AO139" s="59">
        <f t="shared" si="144"/>
        <v>394.03759949558702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53.194630179016386</v>
      </c>
      <c r="AV139" s="21">
        <f>EXP(-LN(2)/25)*AV138+(1-EXP(-LN(2)/25))/(LN(2)/25)*Calculateur!AQ139*Calculateur!AS139*VLOOKUP('Données projet'!$B$10,Paramètres!$A$1:$I$89,3,0)*0.475*44/12</f>
        <v>16.112560281331131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69.307190460347513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-3.4106051316484809E-13</v>
      </c>
      <c r="BE139" s="13">
        <f>BD139*VLOOKUP('Données projet'!$B$11,Paramètres!$A$1:$I$89,3,0)*VLOOKUP('Données projet'!$B$11,Paramètres!$A$1:$I$89,5,0)</f>
        <v>-2.0395418687257919E-13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378.75660696651238</v>
      </c>
      <c r="BJ139" s="59">
        <f t="shared" si="146"/>
        <v>371.70674704563288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52.621417805371628</v>
      </c>
      <c r="BQ139" s="21">
        <f>EXP(-LN(2)/25)*BQ138+(1-EXP(-LN(2)/25))/(LN(2)/25)*Calculateur!BL139*Calculateur!BN139*VLOOKUP('Données projet'!$B$11,Paramètres!$A$1:$I$89,3,0)*0.475*44/12</f>
        <v>15.568067876809781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68.189485682181413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4.75</v>
      </c>
      <c r="BY139" s="12">
        <f>IF('Données projet'!$A$114&gt;35,BY138+BX139-CG138,IF(A139&lt;'Données projet'!$A$114,$BV$205^A139,IF(A139='Données projet'!$A$114,'Données projet'!$B$114,BY138+BX139-CG138)))</f>
        <v>236.2500000000006</v>
      </c>
      <c r="BZ139" s="13">
        <f>BY139*VLOOKUP('Données projet'!$B$12,Paramètres!$A$1:$I$89,3,0)*VLOOKUP('Données projet'!$B$12,Paramètres!$A$1:$I$89,5,0)</f>
        <v>239.55750000000063</v>
      </c>
      <c r="CA139" s="13">
        <f t="shared" si="147"/>
        <v>58.344314228405196</v>
      </c>
      <c r="CB139" s="20">
        <f t="shared" si="118"/>
        <v>518.84565978114017</v>
      </c>
      <c r="CC139" s="59">
        <f t="shared" si="119"/>
        <v>812.17899311447354</v>
      </c>
      <c r="CD139" s="59">
        <f ca="1">AVERAGE(OFFSET($CC$3,0,0,'Données projet'!$E$12+1,1))-AVERAGE(OFFSET($H$3,0,0,'Données projet'!$E$12+1,1))</f>
        <v>410.75375635525211</v>
      </c>
      <c r="CE139" s="59">
        <f t="shared" si="148"/>
        <v>183.55513001437367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33.71123442686963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33.71123442686963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5.833333333333333</v>
      </c>
      <c r="CT139" s="12">
        <f>IF('Données projet'!$A$140&gt;35,CT138+CS139-DB138,IF(A139&lt;'Données projet'!$A$140,$CQ$205^A139,IF(A139='Données projet'!$A$140,'Données projet'!$B$140,CT138+CS139-DB138)))</f>
        <v>286.83333333333331</v>
      </c>
      <c r="CU139" s="17">
        <f>CT139*VLOOKUP('Données projet'!$B$13,Paramètres!$A$1:$I$89,3,0)*VLOOKUP('Données projet'!$B$13,Paramètres!$A$1:$I$89,5,0)</f>
        <v>259.52679999999998</v>
      </c>
      <c r="CV139" s="13">
        <f t="shared" si="149"/>
        <v>62.621500147115945</v>
      </c>
      <c r="CW139" s="20">
        <f t="shared" si="121"/>
        <v>561.07495608956026</v>
      </c>
      <c r="CX139" s="59">
        <f t="shared" si="122"/>
        <v>854.40828942289363</v>
      </c>
      <c r="CY139" s="59">
        <f ca="1">AVERAGE(OFFSET($CX$3,0,0,'Données projet'!$E$13+1,1))-AVERAGE(OFFSET($H$3,0,0,'Données projet'!$E$13+1,1))</f>
        <v>436.12708882925142</v>
      </c>
      <c r="CZ139" s="59">
        <f t="shared" si="150"/>
        <v>217.65884352525285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48.09620738130964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48.09620738130964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3.4106051316484809E-13</v>
      </c>
      <c r="DP139" s="17">
        <f>DO139*VLOOKUP('Données projet'!$B$14,Paramètres!$A$1:$I$89,3,0)*VLOOKUP('Données projet'!$B$14,Paramètres!$A$1:$I$89,5,0)</f>
        <v>3.2455318432766944E-13</v>
      </c>
      <c r="DQ139" s="13">
        <f t="shared" si="151"/>
        <v>4.2513245787534721E-12</v>
      </c>
      <c r="DR139" s="20">
        <f t="shared" si="124"/>
        <v>7.9696537706996534E-12</v>
      </c>
      <c r="DS139" s="59">
        <f t="shared" si="125"/>
        <v>293.33333333334127</v>
      </c>
      <c r="DT139" s="59">
        <f ca="1">AVERAGE(OFFSET($DS$3,0,0,'Données projet'!$E$14+1,1))-AVERAGE(OFFSET($H$3,0,0,'Données projet'!$E$14+1,1))</f>
        <v>735.50267870886194</v>
      </c>
      <c r="DU139" s="59">
        <f t="shared" si="152"/>
        <v>525.80345400853275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140.37460426365027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140.37460426365027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4.75</v>
      </c>
      <c r="EJ139" s="12">
        <f>IF('Données projet'!$A$192&gt;35,EJ138+EI139-ER138,IF(A139&lt;'Données projet'!$A$192,$EG$205^A139,IF(A139='Données projet'!$A$192,'Données projet'!$B$192,EJ138+EI139-ER138)))</f>
        <v>236.2500000000006</v>
      </c>
      <c r="EK139" s="17">
        <f>EJ139*VLOOKUP('Données projet'!$B$15,Paramètres!$A$1:$I$89,3,0)*VLOOKUP('Données projet'!$B$15,Paramètres!$A$1:$I$89,5,0)</f>
        <v>151.10550000000038</v>
      </c>
      <c r="EL139" s="13">
        <f t="shared" si="153"/>
        <v>38.829706996597395</v>
      </c>
      <c r="EM139" s="20">
        <f t="shared" si="127"/>
        <v>330.8038188524078</v>
      </c>
      <c r="EN139" s="59">
        <f t="shared" si="128"/>
        <v>624.13715218574112</v>
      </c>
      <c r="EO139" s="59">
        <f ca="1">AVERAGE(OFFSET($EN$3,0,0,'Données projet'!$E$15+1,1))-AVERAGE(OFFSET($H$3,0,0,'Données projet'!$E$15+1,1))</f>
        <v>274.14900959323484</v>
      </c>
      <c r="EP139" s="59">
        <f t="shared" si="154"/>
        <v>130.44590390921582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21.264009407717765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21.264009407717765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-2.2737367544323206E-13</v>
      </c>
      <c r="FF139" s="17">
        <f>FE139*VLOOKUP('Données projet'!$B$16,Paramètres!$A$1:$I$89,3,0)*VLOOKUP('Données projet'!$B$16,Paramètres!$A$1:$I$89,5,0)</f>
        <v>-1.3596945791505279E-13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405.42845699663462</v>
      </c>
      <c r="FK139" s="59">
        <f t="shared" si="156"/>
        <v>292.26503163353146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78.237916862876659</v>
      </c>
      <c r="FR139" s="21">
        <f>EXP(-LN(2)/25)*FR138+(1-EXP(-LN(2)/25))/(LN(2)/25)*Calculateur!FM139*Calculateur!FO139*VLOOKUP('Données projet'!$B$16,Paramètres!$A$1:$I$89,3,0)*0.475*44/12</f>
        <v>24.009439377652686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102.24735624052934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-2.2737367544323206E-13</v>
      </c>
      <c r="GA139" s="17">
        <f>FZ139*VLOOKUP('Données projet'!$B$17,Paramètres!$A$1:$I$89,3,0)*VLOOKUP('Données projet'!$B$17,Paramètres!$A$1:$I$89,5,0)</f>
        <v>-1.3596945791505279E-13</v>
      </c>
      <c r="GB139" s="13" t="e">
        <f t="shared" si="157"/>
        <v>#NUM!</v>
      </c>
      <c r="GC139" s="20" t="e">
        <f t="shared" si="133"/>
        <v>#NUM!</v>
      </c>
      <c r="GD139" s="59" t="e">
        <f t="shared" si="134"/>
        <v>#NUM!</v>
      </c>
      <c r="GE139" s="59">
        <f ca="1">AVERAGE(OFFSET($GD$3,0,0,'Données projet'!$E$17+1,1))-AVERAGE(OFFSET($H$3,0,0,'Données projet'!$E$17+1,1))</f>
        <v>405.42845699663462</v>
      </c>
      <c r="GF139" s="59">
        <f t="shared" si="158"/>
        <v>292.26503163353146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78.237916862876659</v>
      </c>
      <c r="GM139" s="21">
        <f>EXP(-LN(2)/25)*GM138+(1-EXP(-LN(2)/25))/(LN(2)/25)*Calculateur!GH139*Calculateur!GJ139*VLOOKUP('Données projet'!$B$17,Paramètres!$A$1:$I$89,3,0)*0.475*44/12</f>
        <v>24.009439377652686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102.24735624052934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-5.3205440053716299E-14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198.26255998041</v>
      </c>
      <c r="T140" s="59">
        <f t="shared" si="142"/>
        <v>238.62101708181166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23.891002071610384</v>
      </c>
      <c r="AA140" s="21">
        <f>EXP(-LN(2)/25)*AA139+(1-EXP(-LN(2)/25))/(LN(2)/25)*Calculateur!V140*Calculateur!X140*VLOOKUP('Données projet'!$B$9,Paramètres!$A$1:$I$89,3,0)*0.475*44/12</f>
        <v>7.3634454268333371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31.254447498443721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3.4106051316484809E-13</v>
      </c>
      <c r="AJ140" s="13">
        <f>AI140*VLOOKUP('Données projet'!$B$10,Paramètres!$A$1:$I$89,3,0)*VLOOKUP('Données projet'!$B$10,Paramètres!$A$1:$I$89,5,0)</f>
        <v>1.9065282685915009E-13</v>
      </c>
      <c r="AK140" s="13">
        <f t="shared" si="143"/>
        <v>2.6568987209435707E-12</v>
      </c>
      <c r="AL140" s="20">
        <f t="shared" si="112"/>
        <v>4.959485612423072E-12</v>
      </c>
      <c r="AM140" s="59">
        <f t="shared" si="113"/>
        <v>293.33333333333826</v>
      </c>
      <c r="AN140" s="59">
        <f ca="1">AVERAGE(OFFSET($AM$3,0,0,'Données projet'!$E$10+1,1))-AVERAGE(OFFSET($H$3,0,0,'Données projet'!$E$10+1,1))</f>
        <v>347.02720636703873</v>
      </c>
      <c r="AO140" s="59">
        <f t="shared" si="144"/>
        <v>394.03759949558702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52.151515926726553</v>
      </c>
      <c r="AV140" s="21">
        <f>EXP(-LN(2)/25)*AV139+(1-EXP(-LN(2)/25))/(LN(2)/25)*Calculateur!AQ140*Calculateur!AS140*VLOOKUP('Données projet'!$B$10,Paramètres!$A$1:$I$89,3,0)*0.475*44/12</f>
        <v>15.671961473115411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67.823477399841963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-3.4106051316484809E-13</v>
      </c>
      <c r="BE140" s="13">
        <f>BD140*VLOOKUP('Données projet'!$B$11,Paramètres!$A$1:$I$89,3,0)*VLOOKUP('Données projet'!$B$11,Paramètres!$A$1:$I$89,5,0)</f>
        <v>-2.0395418687257919E-13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378.75660696651238</v>
      </c>
      <c r="BJ140" s="59">
        <f t="shared" si="146"/>
        <v>371.70674704563288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51.589543898103948</v>
      </c>
      <c r="BQ140" s="21">
        <f>EXP(-LN(2)/25)*BQ139+(1-EXP(-LN(2)/25))/(LN(2)/25)*Calculateur!BL140*Calculateur!BN140*VLOOKUP('Données projet'!$B$11,Paramètres!$A$1:$I$89,3,0)*0.475*44/12</f>
        <v>15.14235824202931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66.731902140133258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4.75</v>
      </c>
      <c r="BY140" s="12">
        <f>IF('Données projet'!$A$114&gt;35,BY139+BX140-CG139,IF(A140&lt;'Données projet'!$A$114,$BV$205^A140,IF(A140='Données projet'!$A$114,'Données projet'!$B$114,BY139+BX140-CG139)))</f>
        <v>241.0000000000006</v>
      </c>
      <c r="BZ140" s="13">
        <f>BY140*VLOOKUP('Données projet'!$B$12,Paramètres!$A$1:$I$89,3,0)*VLOOKUP('Données projet'!$B$12,Paramètres!$A$1:$I$89,5,0)</f>
        <v>244.37400000000065</v>
      </c>
      <c r="CA140" s="13">
        <f t="shared" si="147"/>
        <v>59.379626388394009</v>
      </c>
      <c r="CB140" s="20">
        <f t="shared" si="118"/>
        <v>529.03756595978723</v>
      </c>
      <c r="CC140" s="59">
        <f t="shared" si="119"/>
        <v>822.3708992931206</v>
      </c>
      <c r="CD140" s="59">
        <f ca="1">AVERAGE(OFFSET($CC$3,0,0,'Données projet'!$E$12+1,1))-AVERAGE(OFFSET($H$3,0,0,'Données projet'!$E$12+1,1))</f>
        <v>410.75375635525211</v>
      </c>
      <c r="CE140" s="59">
        <f t="shared" si="148"/>
        <v>183.55513001437367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33.050177681581403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33.050177681581403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5.833333333333333</v>
      </c>
      <c r="CT140" s="12">
        <f>IF('Données projet'!$A$140&gt;35,CT139+CS140-DB139,IF(A140&lt;'Données projet'!$A$140,$CQ$205^A140,IF(A140='Données projet'!$A$140,'Données projet'!$B$140,CT139+CS140-DB139)))</f>
        <v>292.66666666666663</v>
      </c>
      <c r="CU140" s="17">
        <f>CT140*VLOOKUP('Données projet'!$B$13,Paramètres!$A$1:$I$89,3,0)*VLOOKUP('Données projet'!$B$13,Paramètres!$A$1:$I$89,5,0)</f>
        <v>264.80479999999994</v>
      </c>
      <c r="CV140" s="13">
        <f t="shared" si="149"/>
        <v>63.745473099622998</v>
      </c>
      <c r="CW140" s="20">
        <f t="shared" si="121"/>
        <v>572.22505898184329</v>
      </c>
      <c r="CX140" s="59">
        <f t="shared" si="122"/>
        <v>865.55839231517666</v>
      </c>
      <c r="CY140" s="59">
        <f ca="1">AVERAGE(OFFSET($CX$3,0,0,'Données projet'!$E$13+1,1))-AVERAGE(OFFSET($H$3,0,0,'Données projet'!$E$13+1,1))</f>
        <v>436.12708882925142</v>
      </c>
      <c r="CZ140" s="59">
        <f t="shared" si="150"/>
        <v>217.65884352525285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47.153070090351989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47.153070090351989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3.4106051316484809E-13</v>
      </c>
      <c r="DP140" s="17">
        <f>DO140*VLOOKUP('Données projet'!$B$14,Paramètres!$A$1:$I$89,3,0)*VLOOKUP('Données projet'!$B$14,Paramètres!$A$1:$I$89,5,0)</f>
        <v>3.2455318432766944E-13</v>
      </c>
      <c r="DQ140" s="13">
        <f t="shared" si="151"/>
        <v>4.2513245787534721E-12</v>
      </c>
      <c r="DR140" s="20">
        <f t="shared" si="124"/>
        <v>7.9696537706996534E-12</v>
      </c>
      <c r="DS140" s="59">
        <f t="shared" si="125"/>
        <v>293.33333333334127</v>
      </c>
      <c r="DT140" s="59">
        <f ca="1">AVERAGE(OFFSET($DS$3,0,0,'Données projet'!$E$14+1,1))-AVERAGE(OFFSET($H$3,0,0,'Données projet'!$E$14+1,1))</f>
        <v>735.50267870886194</v>
      </c>
      <c r="DU140" s="59">
        <f t="shared" si="152"/>
        <v>525.80345400853275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137.62194389409441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137.62194389409441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4.75</v>
      </c>
      <c r="EJ140" s="12">
        <f>IF('Données projet'!$A$192&gt;35,EJ139+EI140-ER139,IF(A140&lt;'Données projet'!$A$192,$EG$205^A140,IF(A140='Données projet'!$A$192,'Données projet'!$B$192,EJ139+EI140-ER139)))</f>
        <v>241.0000000000006</v>
      </c>
      <c r="EK140" s="17">
        <f>EJ140*VLOOKUP('Données projet'!$B$15,Paramètres!$A$1:$I$89,3,0)*VLOOKUP('Données projet'!$B$15,Paramètres!$A$1:$I$89,5,0)</f>
        <v>154.14360000000039</v>
      </c>
      <c r="EL140" s="13">
        <f t="shared" si="153"/>
        <v>39.518735025361337</v>
      </c>
      <c r="EM140" s="20">
        <f t="shared" si="127"/>
        <v>337.29523350250497</v>
      </c>
      <c r="EN140" s="59">
        <f t="shared" si="128"/>
        <v>630.62856683583823</v>
      </c>
      <c r="EO140" s="59">
        <f ca="1">AVERAGE(OFFSET($EN$3,0,0,'Données projet'!$E$15+1,1))-AVERAGE(OFFSET($H$3,0,0,'Données projet'!$E$15+1,1))</f>
        <v>274.14900959323484</v>
      </c>
      <c r="EP140" s="59">
        <f t="shared" si="154"/>
        <v>130.44590390921582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20.847035152997499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20.847035152997499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-2.2737367544323206E-13</v>
      </c>
      <c r="FF140" s="17">
        <f>FE140*VLOOKUP('Données projet'!$B$16,Paramètres!$A$1:$I$89,3,0)*VLOOKUP('Données projet'!$B$16,Paramètres!$A$1:$I$89,5,0)</f>
        <v>-1.3596945791505279E-13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405.42845699663462</v>
      </c>
      <c r="FK140" s="59">
        <f t="shared" si="156"/>
        <v>292.26503163353146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76.703719033612941</v>
      </c>
      <c r="FR140" s="21">
        <f>EXP(-LN(2)/25)*FR139+(1-EXP(-LN(2)/25))/(LN(2)/25)*Calculateur!FM140*Calculateur!FO140*VLOOKUP('Données projet'!$B$16,Paramètres!$A$1:$I$89,3,0)*0.475*44/12</f>
        <v>23.35289999526923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100.05661902888217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-2.2737367544323206E-13</v>
      </c>
      <c r="GA140" s="17">
        <f>FZ140*VLOOKUP('Données projet'!$B$17,Paramètres!$A$1:$I$89,3,0)*VLOOKUP('Données projet'!$B$17,Paramètres!$A$1:$I$89,5,0)</f>
        <v>-1.3596945791505279E-13</v>
      </c>
      <c r="GB140" s="13" t="e">
        <f t="shared" si="157"/>
        <v>#NUM!</v>
      </c>
      <c r="GC140" s="20" t="e">
        <f t="shared" si="133"/>
        <v>#NUM!</v>
      </c>
      <c r="GD140" s="59" t="e">
        <f t="shared" si="134"/>
        <v>#NUM!</v>
      </c>
      <c r="GE140" s="59">
        <f ca="1">AVERAGE(OFFSET($GD$3,0,0,'Données projet'!$E$17+1,1))-AVERAGE(OFFSET($H$3,0,0,'Données projet'!$E$17+1,1))</f>
        <v>405.42845699663462</v>
      </c>
      <c r="GF140" s="59">
        <f t="shared" si="158"/>
        <v>292.26503163353146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76.703719033612941</v>
      </c>
      <c r="GM140" s="21">
        <f>EXP(-LN(2)/25)*GM139+(1-EXP(-LN(2)/25))/(LN(2)/25)*Calculateur!GH140*Calculateur!GJ140*VLOOKUP('Données projet'!$B$17,Paramètres!$A$1:$I$89,3,0)*0.475*44/12</f>
        <v>23.35289999526923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100.05661902888217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-5.3205440053716299E-14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198.26255998041</v>
      </c>
      <c r="T141" s="59">
        <f t="shared" si="142"/>
        <v>238.62101708181166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23.422514093058496</v>
      </c>
      <c r="AA141" s="21">
        <f>EXP(-LN(2)/25)*AA140+(1-EXP(-LN(2)/25))/(LN(2)/25)*Calculateur!V141*Calculateur!X141*VLOOKUP('Données projet'!$B$9,Paramètres!$A$1:$I$89,3,0)*0.475*44/12</f>
        <v>7.1620916244098138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30.58460571746831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3.4106051316484809E-13</v>
      </c>
      <c r="AJ141" s="13">
        <f>AI141*VLOOKUP('Données projet'!$B$10,Paramètres!$A$1:$I$89,3,0)*VLOOKUP('Données projet'!$B$10,Paramètres!$A$1:$I$89,5,0)</f>
        <v>1.9065282685915009E-13</v>
      </c>
      <c r="AK141" s="13">
        <f t="shared" si="143"/>
        <v>2.6568987209435707E-12</v>
      </c>
      <c r="AL141" s="20">
        <f t="shared" si="112"/>
        <v>4.959485612423072E-12</v>
      </c>
      <c r="AM141" s="59">
        <f t="shared" si="113"/>
        <v>293.33333333333826</v>
      </c>
      <c r="AN141" s="59">
        <f ca="1">AVERAGE(OFFSET($AM$3,0,0,'Données projet'!$E$10+1,1))-AVERAGE(OFFSET($H$3,0,0,'Données projet'!$E$10+1,1))</f>
        <v>347.02720636703873</v>
      </c>
      <c r="AO141" s="59">
        <f t="shared" si="144"/>
        <v>394.03759949558702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51.128856508687257</v>
      </c>
      <c r="AV141" s="21">
        <f>EXP(-LN(2)/25)*AV140+(1-EXP(-LN(2)/25))/(LN(2)/25)*Calculateur!AQ141*Calculateur!AS141*VLOOKUP('Données projet'!$B$10,Paramètres!$A$1:$I$89,3,0)*0.475*44/12</f>
        <v>15.243410862480435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66.372267371167695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-3.4106051316484809E-13</v>
      </c>
      <c r="BE141" s="13">
        <f>BD141*VLOOKUP('Données projet'!$B$11,Paramètres!$A$1:$I$89,3,0)*VLOOKUP('Données projet'!$B$11,Paramètres!$A$1:$I$89,5,0)</f>
        <v>-2.0395418687257919E-13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378.75660696651238</v>
      </c>
      <c r="BJ141" s="59">
        <f t="shared" si="146"/>
        <v>371.70674704563288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50.577904408776845</v>
      </c>
      <c r="BQ141" s="21">
        <f>EXP(-LN(2)/25)*BQ140+(1-EXP(-LN(2)/25))/(LN(2)/25)*Calculateur!BL141*Calculateur!BN141*VLOOKUP('Données projet'!$B$11,Paramètres!$A$1:$I$89,3,0)*0.475*44/12</f>
        <v>14.728289659599007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65.306194068375845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4.75</v>
      </c>
      <c r="BY141" s="12">
        <f>IF('Données projet'!$A$114&gt;35,BY140+BX141-CG140,IF(A141&lt;'Données projet'!$A$114,$BV$205^A141,IF(A141='Données projet'!$A$114,'Données projet'!$B$114,BY140+BX141-CG140)))</f>
        <v>245.7500000000006</v>
      </c>
      <c r="BZ141" s="13">
        <f>BY141*VLOOKUP('Données projet'!$B$12,Paramètres!$A$1:$I$89,3,0)*VLOOKUP('Données projet'!$B$12,Paramètres!$A$1:$I$89,5,0)</f>
        <v>249.19050000000061</v>
      </c>
      <c r="CA141" s="13">
        <f t="shared" si="147"/>
        <v>60.412565904794668</v>
      </c>
      <c r="CB141" s="20">
        <f t="shared" si="118"/>
        <v>539.22533978418505</v>
      </c>
      <c r="CC141" s="59">
        <f t="shared" si="119"/>
        <v>832.55867311751831</v>
      </c>
      <c r="CD141" s="59">
        <f ca="1">AVERAGE(OFFSET($CC$3,0,0,'Données projet'!$E$12+1,1))-AVERAGE(OFFSET($H$3,0,0,'Données projet'!$E$12+1,1))</f>
        <v>410.75375635525211</v>
      </c>
      <c r="CE141" s="59">
        <f t="shared" si="148"/>
        <v>183.55513001437367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32.402083855863481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32.402083855863481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5.833333333333333</v>
      </c>
      <c r="CT141" s="12">
        <f>IF('Données projet'!$A$140&gt;35,CT140+CS141-DB140,IF(A141&lt;'Données projet'!$A$140,$CQ$205^A141,IF(A141='Données projet'!$A$140,'Données projet'!$B$140,CT140+CS141-DB140)))</f>
        <v>298.49999999999994</v>
      </c>
      <c r="CU141" s="17">
        <f>CT141*VLOOKUP('Données projet'!$B$13,Paramètres!$A$1:$I$89,3,0)*VLOOKUP('Données projet'!$B$13,Paramètres!$A$1:$I$89,5,0)</f>
        <v>270.08279999999996</v>
      </c>
      <c r="CV141" s="13">
        <f t="shared" si="149"/>
        <v>64.866841223976735</v>
      </c>
      <c r="CW141" s="20">
        <f t="shared" si="121"/>
        <v>583.37062513175931</v>
      </c>
      <c r="CX141" s="59">
        <f t="shared" si="122"/>
        <v>876.70395846509268</v>
      </c>
      <c r="CY141" s="59">
        <f ca="1">AVERAGE(OFFSET($CX$3,0,0,'Données projet'!$E$13+1,1))-AVERAGE(OFFSET($H$3,0,0,'Données projet'!$E$13+1,1))</f>
        <v>436.12708882925142</v>
      </c>
      <c r="CZ141" s="59">
        <f t="shared" si="150"/>
        <v>217.65884352525285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46.228427146413075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46.228427146413075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3.4106051316484809E-13</v>
      </c>
      <c r="DP141" s="17">
        <f>DO141*VLOOKUP('Données projet'!$B$14,Paramètres!$A$1:$I$89,3,0)*VLOOKUP('Données projet'!$B$14,Paramètres!$A$1:$I$89,5,0)</f>
        <v>3.2455318432766944E-13</v>
      </c>
      <c r="DQ141" s="13">
        <f t="shared" si="151"/>
        <v>4.2513245787534721E-12</v>
      </c>
      <c r="DR141" s="20">
        <f t="shared" si="124"/>
        <v>7.9696537706996534E-12</v>
      </c>
      <c r="DS141" s="59">
        <f t="shared" si="125"/>
        <v>293.33333333334127</v>
      </c>
      <c r="DT141" s="59">
        <f ca="1">AVERAGE(OFFSET($DS$3,0,0,'Données projet'!$E$14+1,1))-AVERAGE(OFFSET($H$3,0,0,'Données projet'!$E$14+1,1))</f>
        <v>735.50267870886194</v>
      </c>
      <c r="DU141" s="59">
        <f t="shared" si="152"/>
        <v>525.80345400853275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134.92326151542849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134.92326151542849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4.75</v>
      </c>
      <c r="EJ141" s="12">
        <f>IF('Données projet'!$A$192&gt;35,EJ140+EI141-ER140,IF(A141&lt;'Données projet'!$A$192,$EG$205^A141,IF(A141='Données projet'!$A$192,'Données projet'!$B$192,EJ140+EI141-ER140)))</f>
        <v>245.7500000000006</v>
      </c>
      <c r="EK141" s="17">
        <f>EJ141*VLOOKUP('Données projet'!$B$15,Paramètres!$A$1:$I$89,3,0)*VLOOKUP('Données projet'!$B$15,Paramètres!$A$1:$I$89,5,0)</f>
        <v>157.18170000000038</v>
      </c>
      <c r="EL141" s="13">
        <f t="shared" si="153"/>
        <v>40.206183996139018</v>
      </c>
      <c r="EM141" s="20">
        <f t="shared" si="127"/>
        <v>343.78389795994281</v>
      </c>
      <c r="EN141" s="59">
        <f t="shared" si="128"/>
        <v>637.11723129327606</v>
      </c>
      <c r="EO141" s="59">
        <f ca="1">AVERAGE(OFFSET($EN$3,0,0,'Données projet'!$E$15+1,1))-AVERAGE(OFFSET($H$3,0,0,'Données projet'!$E$15+1,1))</f>
        <v>274.14900959323484</v>
      </c>
      <c r="EP141" s="59">
        <f t="shared" si="154"/>
        <v>130.44590390921582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20.438237509083116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20.438237509083116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-2.2737367544323206E-13</v>
      </c>
      <c r="FF141" s="17">
        <f>FE141*VLOOKUP('Données projet'!$B$16,Paramètres!$A$1:$I$89,3,0)*VLOOKUP('Données projet'!$B$16,Paramètres!$A$1:$I$89,5,0)</f>
        <v>-1.3596945791505279E-13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405.42845699663462</v>
      </c>
      <c r="FK141" s="59">
        <f t="shared" si="156"/>
        <v>292.26503163353146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75.199605888012798</v>
      </c>
      <c r="FR141" s="21">
        <f>EXP(-LN(2)/25)*FR140+(1-EXP(-LN(2)/25))/(LN(2)/25)*Calculateur!FM141*Calculateur!FO141*VLOOKUP('Données projet'!$B$16,Paramètres!$A$1:$I$89,3,0)*0.475*44/12</f>
        <v>22.714313716822957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97.913919604835755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-2.2737367544323206E-13</v>
      </c>
      <c r="GA141" s="17">
        <f>FZ141*VLOOKUP('Données projet'!$B$17,Paramètres!$A$1:$I$89,3,0)*VLOOKUP('Données projet'!$B$17,Paramètres!$A$1:$I$89,5,0)</f>
        <v>-1.3596945791505279E-13</v>
      </c>
      <c r="GB141" s="13" t="e">
        <f t="shared" si="157"/>
        <v>#NUM!</v>
      </c>
      <c r="GC141" s="20" t="e">
        <f t="shared" si="133"/>
        <v>#NUM!</v>
      </c>
      <c r="GD141" s="59" t="e">
        <f t="shared" si="134"/>
        <v>#NUM!</v>
      </c>
      <c r="GE141" s="59">
        <f ca="1">AVERAGE(OFFSET($GD$3,0,0,'Données projet'!$E$17+1,1))-AVERAGE(OFFSET($H$3,0,0,'Données projet'!$E$17+1,1))</f>
        <v>405.42845699663462</v>
      </c>
      <c r="GF141" s="59">
        <f t="shared" si="158"/>
        <v>292.26503163353146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75.199605888012798</v>
      </c>
      <c r="GM141" s="21">
        <f>EXP(-LN(2)/25)*GM140+(1-EXP(-LN(2)/25))/(LN(2)/25)*Calculateur!GH141*Calculateur!GJ141*VLOOKUP('Données projet'!$B$17,Paramètres!$A$1:$I$89,3,0)*0.475*44/12</f>
        <v>22.714313716822957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97.913919604835755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-5.3205440053716299E-14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198.26255998041</v>
      </c>
      <c r="T142" s="59">
        <f t="shared" si="142"/>
        <v>238.62101708181166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22.963212878016559</v>
      </c>
      <c r="AA142" s="21">
        <f>EXP(-LN(2)/25)*AA141+(1-EXP(-LN(2)/25))/(LN(2)/25)*Calculateur!V142*Calculateur!X142*VLOOKUP('Données projet'!$B$9,Paramètres!$A$1:$I$89,3,0)*0.475*44/12</f>
        <v>6.9662438523022985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29.929456730318858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3.4106051316484809E-13</v>
      </c>
      <c r="AJ142" s="13">
        <f>AI142*VLOOKUP('Données projet'!$B$10,Paramètres!$A$1:$I$89,3,0)*VLOOKUP('Données projet'!$B$10,Paramètres!$A$1:$I$89,5,0)</f>
        <v>1.9065282685915009E-13</v>
      </c>
      <c r="AK142" s="13">
        <f t="shared" si="143"/>
        <v>2.6568987209435707E-12</v>
      </c>
      <c r="AL142" s="20">
        <f t="shared" si="112"/>
        <v>4.959485612423072E-12</v>
      </c>
      <c r="AM142" s="59">
        <f t="shared" si="113"/>
        <v>293.33333333333826</v>
      </c>
      <c r="AN142" s="59">
        <f ca="1">AVERAGE(OFFSET($AM$3,0,0,'Données projet'!$E$10+1,1))-AVERAGE(OFFSET($H$3,0,0,'Données projet'!$E$10+1,1))</f>
        <v>347.02720636703873</v>
      </c>
      <c r="AO142" s="59">
        <f t="shared" si="144"/>
        <v>394.03759949558702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50.126250818075057</v>
      </c>
      <c r="AV142" s="21">
        <f>EXP(-LN(2)/25)*AV141+(1-EXP(-LN(2)/25))/(LN(2)/25)*Calculateur!AQ142*Calculateur!AS142*VLOOKUP('Données projet'!$B$10,Paramètres!$A$1:$I$89,3,0)*0.475*44/12</f>
        <v>14.82657899082977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64.952829808904823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-3.4106051316484809E-13</v>
      </c>
      <c r="BE142" s="13">
        <f>BD142*VLOOKUP('Données projet'!$B$11,Paramètres!$A$1:$I$89,3,0)*VLOOKUP('Données projet'!$B$11,Paramètres!$A$1:$I$89,5,0)</f>
        <v>-2.0395418687257919E-13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378.75660696651238</v>
      </c>
      <c r="BJ142" s="59">
        <f t="shared" si="146"/>
        <v>371.70674704563288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49.586102552796291</v>
      </c>
      <c r="BQ142" s="21">
        <f>EXP(-LN(2)/25)*BQ141+(1-EXP(-LN(2)/25))/(LN(2)/25)*Calculateur!BL142*Calculateur!BN142*VLOOKUP('Données projet'!$B$11,Paramètres!$A$1:$I$89,3,0)*0.475*44/12</f>
        <v>14.325543804330181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63.911646357126472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4.75</v>
      </c>
      <c r="BY142" s="12">
        <f>IF('Données projet'!$A$114&gt;35,BY141+BX142-CG141,IF(A142&lt;'Données projet'!$A$114,$BV$205^A142,IF(A142='Données projet'!$A$114,'Données projet'!$B$114,BY141+BX142-CG141)))</f>
        <v>250.5000000000006</v>
      </c>
      <c r="BZ142" s="13">
        <f>BY142*VLOOKUP('Données projet'!$B$12,Paramètres!$A$1:$I$89,3,0)*VLOOKUP('Données projet'!$B$12,Paramètres!$A$1:$I$89,5,0)</f>
        <v>254.0070000000006</v>
      </c>
      <c r="CA142" s="13">
        <f t="shared" si="147"/>
        <v>61.443183924413752</v>
      </c>
      <c r="CB142" s="20">
        <f t="shared" si="118"/>
        <v>549.40907033502174</v>
      </c>
      <c r="CC142" s="59">
        <f t="shared" si="119"/>
        <v>842.74240366835511</v>
      </c>
      <c r="CD142" s="59">
        <f ca="1">AVERAGE(OFFSET($CC$3,0,0,'Données projet'!$E$12+1,1))-AVERAGE(OFFSET($H$3,0,0,'Données projet'!$E$12+1,1))</f>
        <v>410.75375635525211</v>
      </c>
      <c r="CE142" s="59">
        <f t="shared" si="148"/>
        <v>183.55513001437367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31.766698754769685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31.766698754769685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5.833333333333333</v>
      </c>
      <c r="CT142" s="12">
        <f>IF('Données projet'!$A$140&gt;35,CT141+CS142-DB141,IF(A142&lt;'Données projet'!$A$140,$CQ$205^A142,IF(A142='Données projet'!$A$140,'Données projet'!$B$140,CT141+CS142-DB141)))</f>
        <v>304.33333333333326</v>
      </c>
      <c r="CU142" s="17">
        <f>CT142*VLOOKUP('Données projet'!$B$13,Paramètres!$A$1:$I$89,3,0)*VLOOKUP('Données projet'!$B$13,Paramètres!$A$1:$I$89,5,0)</f>
        <v>275.36079999999993</v>
      </c>
      <c r="CV142" s="13">
        <f t="shared" si="149"/>
        <v>65.985661292059319</v>
      </c>
      <c r="CW142" s="20">
        <f t="shared" si="121"/>
        <v>594.51175341700321</v>
      </c>
      <c r="CX142" s="59">
        <f t="shared" si="122"/>
        <v>887.84508675033658</v>
      </c>
      <c r="CY142" s="59">
        <f ca="1">AVERAGE(OFFSET($CX$3,0,0,'Données projet'!$E$13+1,1))-AVERAGE(OFFSET($H$3,0,0,'Données projet'!$E$13+1,1))</f>
        <v>436.12708882925142</v>
      </c>
      <c r="CZ142" s="59">
        <f t="shared" si="150"/>
        <v>217.65884352525285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45.321915886628297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45.321915886628297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3.4106051316484809E-13</v>
      </c>
      <c r="DP142" s="17">
        <f>DO142*VLOOKUP('Données projet'!$B$14,Paramètres!$A$1:$I$89,3,0)*VLOOKUP('Données projet'!$B$14,Paramètres!$A$1:$I$89,5,0)</f>
        <v>3.2455318432766944E-13</v>
      </c>
      <c r="DQ142" s="13">
        <f t="shared" si="151"/>
        <v>4.2513245787534721E-12</v>
      </c>
      <c r="DR142" s="20">
        <f t="shared" si="124"/>
        <v>7.9696537706996534E-12</v>
      </c>
      <c r="DS142" s="59">
        <f t="shared" si="125"/>
        <v>293.33333333334127</v>
      </c>
      <c r="DT142" s="59">
        <f ca="1">AVERAGE(OFFSET($DS$3,0,0,'Données projet'!$E$14+1,1))-AVERAGE(OFFSET($H$3,0,0,'Données projet'!$E$14+1,1))</f>
        <v>735.50267870886194</v>
      </c>
      <c r="DU142" s="59">
        <f t="shared" si="152"/>
        <v>525.80345400853275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132.2774986521745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132.2774986521745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4.75</v>
      </c>
      <c r="EJ142" s="12">
        <f>IF('Données projet'!$A$192&gt;35,EJ141+EI142-ER141,IF(A142&lt;'Données projet'!$A$192,$EG$205^A142,IF(A142='Données projet'!$A$192,'Données projet'!$B$192,EJ141+EI142-ER141)))</f>
        <v>250.5000000000006</v>
      </c>
      <c r="EK142" s="17">
        <f>EJ142*VLOOKUP('Données projet'!$B$15,Paramètres!$A$1:$I$89,3,0)*VLOOKUP('Données projet'!$B$15,Paramètres!$A$1:$I$89,5,0)</f>
        <v>160.21980000000039</v>
      </c>
      <c r="EL142" s="13">
        <f t="shared" si="153"/>
        <v>40.892087948502883</v>
      </c>
      <c r="EM142" s="20">
        <f t="shared" si="127"/>
        <v>350.26987151030977</v>
      </c>
      <c r="EN142" s="59">
        <f t="shared" si="128"/>
        <v>643.60320484364308</v>
      </c>
      <c r="EO142" s="59">
        <f ca="1">AVERAGE(OFFSET($EN$3,0,0,'Données projet'!$E$15+1,1))-AVERAGE(OFFSET($H$3,0,0,'Données projet'!$E$15+1,1))</f>
        <v>274.14900959323484</v>
      </c>
      <c r="EP142" s="59">
        <f t="shared" si="154"/>
        <v>130.44590390921582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20.037456137623952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20.037456137623952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-2.2737367544323206E-13</v>
      </c>
      <c r="FF142" s="17">
        <f>FE142*VLOOKUP('Données projet'!$B$16,Paramètres!$A$1:$I$89,3,0)*VLOOKUP('Données projet'!$B$16,Paramètres!$A$1:$I$89,5,0)</f>
        <v>-1.3596945791505279E-13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405.42845699663462</v>
      </c>
      <c r="FK142" s="59">
        <f t="shared" si="156"/>
        <v>292.26503163353146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73.724987483779444</v>
      </c>
      <c r="FR142" s="21">
        <f>EXP(-LN(2)/25)*FR141+(1-EXP(-LN(2)/25))/(LN(2)/25)*Calculateur!FM142*Calculateur!FO142*VLOOKUP('Données projet'!$B$16,Paramètres!$A$1:$I$89,3,0)*0.475*44/12</f>
        <v>22.093189613742588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95.818177097522039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-2.2737367544323206E-13</v>
      </c>
      <c r="GA142" s="17">
        <f>FZ142*VLOOKUP('Données projet'!$B$17,Paramètres!$A$1:$I$89,3,0)*VLOOKUP('Données projet'!$B$17,Paramètres!$A$1:$I$89,5,0)</f>
        <v>-1.3596945791505279E-13</v>
      </c>
      <c r="GB142" s="13" t="e">
        <f t="shared" si="157"/>
        <v>#NUM!</v>
      </c>
      <c r="GC142" s="20" t="e">
        <f t="shared" si="133"/>
        <v>#NUM!</v>
      </c>
      <c r="GD142" s="59" t="e">
        <f t="shared" si="134"/>
        <v>#NUM!</v>
      </c>
      <c r="GE142" s="59">
        <f ca="1">AVERAGE(OFFSET($GD$3,0,0,'Données projet'!$E$17+1,1))-AVERAGE(OFFSET($H$3,0,0,'Données projet'!$E$17+1,1))</f>
        <v>405.42845699663462</v>
      </c>
      <c r="GF142" s="59">
        <f t="shared" si="158"/>
        <v>292.26503163353146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73.724987483779444</v>
      </c>
      <c r="GM142" s="21">
        <f>EXP(-LN(2)/25)*GM141+(1-EXP(-LN(2)/25))/(LN(2)/25)*Calculateur!GH142*Calculateur!GJ142*VLOOKUP('Données projet'!$B$17,Paramètres!$A$1:$I$89,3,0)*0.475*44/12</f>
        <v>22.093189613742588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95.818177097522039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-5.3205440053716299E-14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198.26255998041</v>
      </c>
      <c r="T143" s="59">
        <f t="shared" si="142"/>
        <v>238.62101708181166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22.512918279655516</v>
      </c>
      <c r="AA143" s="21">
        <f>EXP(-LN(2)/25)*AA142+(1-EXP(-LN(2)/25))/(LN(2)/25)*Calculateur!V143*Calculateur!X143*VLOOKUP('Données projet'!$B$9,Paramètres!$A$1:$I$89,3,0)*0.475*44/12</f>
        <v>6.7757515478222494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29.288669827477765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3.4106051316484809E-13</v>
      </c>
      <c r="AJ143" s="13">
        <f>AI143*VLOOKUP('Données projet'!$B$10,Paramètres!$A$1:$I$89,3,0)*VLOOKUP('Données projet'!$B$10,Paramètres!$A$1:$I$89,5,0)</f>
        <v>1.9065282685915009E-13</v>
      </c>
      <c r="AK143" s="13">
        <f t="shared" si="143"/>
        <v>2.6568987209435707E-12</v>
      </c>
      <c r="AL143" s="20">
        <f t="shared" si="112"/>
        <v>4.959485612423072E-12</v>
      </c>
      <c r="AM143" s="59">
        <f t="shared" si="113"/>
        <v>293.33333333333826</v>
      </c>
      <c r="AN143" s="59">
        <f ca="1">AVERAGE(OFFSET($AM$3,0,0,'Données projet'!$E$10+1,1))-AVERAGE(OFFSET($H$3,0,0,'Données projet'!$E$10+1,1))</f>
        <v>347.02720636703873</v>
      </c>
      <c r="AO143" s="59">
        <f t="shared" si="144"/>
        <v>394.03759949558702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49.143305613526671</v>
      </c>
      <c r="AV143" s="21">
        <f>EXP(-LN(2)/25)*AV142+(1-EXP(-LN(2)/25))/(LN(2)/25)*Calculateur!AQ143*Calculateur!AS143*VLOOKUP('Données projet'!$B$10,Paramètres!$A$1:$I$89,3,0)*0.475*44/12</f>
        <v>14.421145408629627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63.564451022156298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-3.4106051316484809E-13</v>
      </c>
      <c r="BE143" s="13">
        <f>BD143*VLOOKUP('Données projet'!$B$11,Paramètres!$A$1:$I$89,3,0)*VLOOKUP('Données projet'!$B$11,Paramètres!$A$1:$I$89,5,0)</f>
        <v>-2.0395418687257919E-13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378.75660696651238</v>
      </c>
      <c r="BJ143" s="59">
        <f t="shared" si="146"/>
        <v>371.70674704563288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48.613749326272114</v>
      </c>
      <c r="BQ143" s="21">
        <f>EXP(-LN(2)/25)*BQ142+(1-EXP(-LN(2)/25))/(LN(2)/25)*Calculateur!BL143*Calculateur!BN143*VLOOKUP('Données projet'!$B$11,Paramètres!$A$1:$I$89,3,0)*0.475*44/12</f>
        <v>13.933811055653164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62.54756038192528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4.75</v>
      </c>
      <c r="BY143" s="12">
        <f>IF('Données projet'!$A$114&gt;35,BY142+BX143-CG142,IF(A143&lt;'Données projet'!$A$114,$BV$205^A143,IF(A143='Données projet'!$A$114,'Données projet'!$B$114,BY142+BX143-CG142)))</f>
        <v>255.2500000000006</v>
      </c>
      <c r="BZ143" s="13">
        <f>BY143*VLOOKUP('Données projet'!$B$12,Paramètres!$A$1:$I$89,3,0)*VLOOKUP('Données projet'!$B$12,Paramètres!$A$1:$I$89,5,0)</f>
        <v>258.82350000000059</v>
      </c>
      <c r="CA143" s="13">
        <f t="shared" si="147"/>
        <v>62.47152954336326</v>
      </c>
      <c r="CB143" s="20">
        <f t="shared" si="118"/>
        <v>559.58884312135865</v>
      </c>
      <c r="CC143" s="59">
        <f t="shared" si="119"/>
        <v>852.92217645469191</v>
      </c>
      <c r="CD143" s="59">
        <f ca="1">AVERAGE(OFFSET($CC$3,0,0,'Données projet'!$E$12+1,1))-AVERAGE(OFFSET($H$3,0,0,'Données projet'!$E$12+1,1))</f>
        <v>410.75375635525211</v>
      </c>
      <c r="CE143" s="59">
        <f t="shared" si="148"/>
        <v>183.55513001437367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31.143773167961694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31.143773167961694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5.833333333333333</v>
      </c>
      <c r="CT143" s="12">
        <f>IF('Données projet'!$A$140&gt;35,CT142+CS143-DB142,IF(A143&lt;'Données projet'!$A$140,$CQ$205^A143,IF(A143='Données projet'!$A$140,'Données projet'!$B$140,CT142+CS143-DB142)))</f>
        <v>310.16666666666657</v>
      </c>
      <c r="CU143" s="17">
        <f>CT143*VLOOKUP('Données projet'!$B$13,Paramètres!$A$1:$I$89,3,0)*VLOOKUP('Données projet'!$B$13,Paramètres!$A$1:$I$89,5,0)</f>
        <v>280.63879999999989</v>
      </c>
      <c r="CV143" s="13">
        <f t="shared" si="149"/>
        <v>67.101987774874445</v>
      </c>
      <c r="CW143" s="20">
        <f t="shared" si="121"/>
        <v>605.64853870790603</v>
      </c>
      <c r="CX143" s="59">
        <f t="shared" si="122"/>
        <v>898.98187204123928</v>
      </c>
      <c r="CY143" s="59">
        <f ca="1">AVERAGE(OFFSET($CX$3,0,0,'Données projet'!$E$13+1,1))-AVERAGE(OFFSET($H$3,0,0,'Données projet'!$E$13+1,1))</f>
        <v>436.12708882925142</v>
      </c>
      <c r="CZ143" s="59">
        <f t="shared" si="150"/>
        <v>217.65884352525285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44.433180759730625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44.433180759730625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3.4106051316484809E-13</v>
      </c>
      <c r="DP143" s="17">
        <f>DO143*VLOOKUP('Données projet'!$B$14,Paramètres!$A$1:$I$89,3,0)*VLOOKUP('Données projet'!$B$14,Paramètres!$A$1:$I$89,5,0)</f>
        <v>3.2455318432766944E-13</v>
      </c>
      <c r="DQ143" s="13">
        <f t="shared" si="151"/>
        <v>4.2513245787534721E-12</v>
      </c>
      <c r="DR143" s="20">
        <f t="shared" si="124"/>
        <v>7.9696537706996534E-12</v>
      </c>
      <c r="DS143" s="59">
        <f t="shared" si="125"/>
        <v>293.33333333334127</v>
      </c>
      <c r="DT143" s="59">
        <f ca="1">AVERAGE(OFFSET($DS$3,0,0,'Données projet'!$E$14+1,1))-AVERAGE(OFFSET($H$3,0,0,'Données projet'!$E$14+1,1))</f>
        <v>735.50267870886194</v>
      </c>
      <c r="DU143" s="59">
        <f t="shared" si="152"/>
        <v>525.80345400853275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129.68361758491292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129.68361758491292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4.75</v>
      </c>
      <c r="EJ143" s="12">
        <f>IF('Données projet'!$A$192&gt;35,EJ142+EI143-ER142,IF(A143&lt;'Données projet'!$A$192,$EG$205^A143,IF(A143='Données projet'!$A$192,'Données projet'!$B$192,EJ142+EI143-ER142)))</f>
        <v>255.2500000000006</v>
      </c>
      <c r="EK143" s="17">
        <f>EJ143*VLOOKUP('Données projet'!$B$15,Paramètres!$A$1:$I$89,3,0)*VLOOKUP('Données projet'!$B$15,Paramètres!$A$1:$I$89,5,0)</f>
        <v>163.25790000000038</v>
      </c>
      <c r="EL143" s="13">
        <f t="shared" si="153"/>
        <v>41.576479557233178</v>
      </c>
      <c r="EM143" s="20">
        <f t="shared" si="127"/>
        <v>356.75321106218172</v>
      </c>
      <c r="EN143" s="59">
        <f t="shared" si="128"/>
        <v>650.08654439551503</v>
      </c>
      <c r="EO143" s="59">
        <f ca="1">AVERAGE(OFFSET($EN$3,0,0,'Données projet'!$E$15+1,1))-AVERAGE(OFFSET($H$3,0,0,'Données projet'!$E$15+1,1))</f>
        <v>274.14900959323484</v>
      </c>
      <c r="EP143" s="59">
        <f t="shared" si="154"/>
        <v>130.44590390921582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19.644533844406602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19.644533844406602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-2.2737367544323206E-13</v>
      </c>
      <c r="FF143" s="17">
        <f>FE143*VLOOKUP('Données projet'!$B$16,Paramètres!$A$1:$I$89,3,0)*VLOOKUP('Données projet'!$B$16,Paramètres!$A$1:$I$89,5,0)</f>
        <v>-1.3596945791505279E-13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405.42845699663462</v>
      </c>
      <c r="FK143" s="59">
        <f t="shared" si="156"/>
        <v>292.26503163353146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72.279285447024691</v>
      </c>
      <c r="FR143" s="21">
        <f>EXP(-LN(2)/25)*FR142+(1-EXP(-LN(2)/25))/(LN(2)/25)*Calculateur!FM143*Calculateur!FO143*VLOOKUP('Données projet'!$B$16,Paramètres!$A$1:$I$89,3,0)*0.475*44/12</f>
        <v>21.489050181924451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93.768335628949146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-2.2737367544323206E-13</v>
      </c>
      <c r="GA143" s="17">
        <f>FZ143*VLOOKUP('Données projet'!$B$17,Paramètres!$A$1:$I$89,3,0)*VLOOKUP('Données projet'!$B$17,Paramètres!$A$1:$I$89,5,0)</f>
        <v>-1.3596945791505279E-13</v>
      </c>
      <c r="GB143" s="13" t="e">
        <f t="shared" si="157"/>
        <v>#NUM!</v>
      </c>
      <c r="GC143" s="20" t="e">
        <f t="shared" si="133"/>
        <v>#NUM!</v>
      </c>
      <c r="GD143" s="59" t="e">
        <f t="shared" si="134"/>
        <v>#NUM!</v>
      </c>
      <c r="GE143" s="59">
        <f ca="1">AVERAGE(OFFSET($GD$3,0,0,'Données projet'!$E$17+1,1))-AVERAGE(OFFSET($H$3,0,0,'Données projet'!$E$17+1,1))</f>
        <v>405.42845699663462</v>
      </c>
      <c r="GF143" s="59">
        <f t="shared" si="158"/>
        <v>292.26503163353146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72.279285447024691</v>
      </c>
      <c r="GM143" s="21">
        <f>EXP(-LN(2)/25)*GM142+(1-EXP(-LN(2)/25))/(LN(2)/25)*Calculateur!GH143*Calculateur!GJ143*VLOOKUP('Données projet'!$B$17,Paramètres!$A$1:$I$89,3,0)*0.475*44/12</f>
        <v>21.489050181924451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93.768335628949146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-5.3205440053716299E-14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198.26255998041</v>
      </c>
      <c r="T144" s="59">
        <f t="shared" si="142"/>
        <v>238.62101708181166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22.071453683715745</v>
      </c>
      <c r="AA144" s="21">
        <f>EXP(-LN(2)/25)*AA143+(1-EXP(-LN(2)/25))/(LN(2)/25)*Calculateur!V144*Calculateur!X144*VLOOKUP('Données projet'!$B$9,Paramètres!$A$1:$I$89,3,0)*0.475*44/12</f>
        <v>6.5904682654257627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28.661921949141508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3.4106051316484809E-13</v>
      </c>
      <c r="AJ144" s="13">
        <f>AI144*VLOOKUP('Données projet'!$B$10,Paramètres!$A$1:$I$89,3,0)*VLOOKUP('Données projet'!$B$10,Paramètres!$A$1:$I$89,5,0)</f>
        <v>1.9065282685915009E-13</v>
      </c>
      <c r="AK144" s="13">
        <f t="shared" si="143"/>
        <v>2.6568987209435707E-12</v>
      </c>
      <c r="AL144" s="20">
        <f t="shared" si="112"/>
        <v>4.959485612423072E-12</v>
      </c>
      <c r="AM144" s="59">
        <f t="shared" si="113"/>
        <v>293.33333333333826</v>
      </c>
      <c r="AN144" s="59">
        <f ca="1">AVERAGE(OFFSET($AM$3,0,0,'Données projet'!$E$10+1,1))-AVERAGE(OFFSET($H$3,0,0,'Données projet'!$E$10+1,1))</f>
        <v>347.02720636703873</v>
      </c>
      <c r="AO144" s="59">
        <f t="shared" si="144"/>
        <v>394.03759949558702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48.179635364902104</v>
      </c>
      <c r="AV144" s="21">
        <f>EXP(-LN(2)/25)*AV143+(1-EXP(-LN(2)/25))/(LN(2)/25)*Calculateur!AQ144*Calculateur!AS144*VLOOKUP('Données projet'!$B$10,Paramètres!$A$1:$I$89,3,0)*0.475*44/12</f>
        <v>14.026798429055573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62.206433793957679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-3.4106051316484809E-13</v>
      </c>
      <c r="BE144" s="13">
        <f>BD144*VLOOKUP('Données projet'!$B$11,Paramètres!$A$1:$I$89,3,0)*VLOOKUP('Données projet'!$B$11,Paramètres!$A$1:$I$89,5,0)</f>
        <v>-2.0395418687257919E-13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378.75660696651238</v>
      </c>
      <c r="BJ144" s="59">
        <f t="shared" si="146"/>
        <v>371.70674704563288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47.66046335344317</v>
      </c>
      <c r="BQ144" s="21">
        <f>EXP(-LN(2)/25)*BQ143+(1-EXP(-LN(2)/25))/(LN(2)/25)*Calculateur!BL144*Calculateur!BN144*VLOOKUP('Données projet'!$B$11,Paramètres!$A$1:$I$89,3,0)*0.475*44/12</f>
        <v>13.552790259589051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61.213253613032222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>
        <f>VLOOKUP(A144,'Données projet'!$A$113:$I$133,2,0)</f>
        <v>260</v>
      </c>
      <c r="BW144" s="12">
        <f>VLOOKUP(A144,'Données projet'!$A$113:$I$133,9,0)</f>
        <v>4.75</v>
      </c>
      <c r="BX144" s="12">
        <f t="array" ref="BX144">INDEX(BW:BW,MIN(IF(ISNUMBER(BW144:BW340),ROW(BW144:BW340),"")))</f>
        <v>4.75</v>
      </c>
      <c r="BY144" s="12">
        <f>IF('Données projet'!$A$114&gt;35,BY143+BX144-CG143,IF(A144&lt;'Données projet'!$A$114,$BV$205^A144,IF(A144='Données projet'!$A$114,'Données projet'!$B$114,BY143+BX144-CG143)))</f>
        <v>260.00000000000057</v>
      </c>
      <c r="BZ144" s="13">
        <f>BY144*VLOOKUP('Données projet'!$B$12,Paramètres!$A$1:$I$89,3,0)*VLOOKUP('Données projet'!$B$12,Paramètres!$A$1:$I$89,5,0)</f>
        <v>263.64000000000061</v>
      </c>
      <c r="CA144" s="13">
        <f t="shared" si="147"/>
        <v>63.497649925886869</v>
      </c>
      <c r="CB144" s="20">
        <f t="shared" si="118"/>
        <v>569.7647402875873</v>
      </c>
      <c r="CC144" s="59">
        <f t="shared" si="119"/>
        <v>863.09807362092056</v>
      </c>
      <c r="CD144" s="59">
        <f ca="1">AVERAGE(OFFSET($CC$3,0,0,'Données projet'!$E$12+1,1))-AVERAGE(OFFSET($H$3,0,0,'Données projet'!$E$12+1,1))</f>
        <v>410.75375635525211</v>
      </c>
      <c r="CE144" s="59">
        <f t="shared" si="148"/>
        <v>183.55513001437367</v>
      </c>
      <c r="CF144" s="15">
        <f>IF(ISNA(VLOOKUP(A144,'Données projet'!$A$113:$I$133,3,0)),0,VLOOKUP(A144,'Données projet'!$A$113:$I$133,3,0))</f>
        <v>10</v>
      </c>
      <c r="CG144" s="15">
        <f>IF(ISNA(VLOOKUP(A144,'Données projet'!$A$113:$I$133,4,0)),0,VLOOKUP(A144,'Données projet'!$A$113:$I$133,4,0))</f>
        <v>38</v>
      </c>
      <c r="CH144" s="16">
        <f>IF(ISNA(VLOOKUP(A144,'Données projet'!$A$113:$I$133,5,0)),0%,VLOOKUP(A144,'Données projet'!$A$113:$I$133,5,0)*VLOOKUP('Données projet'!$B$12,Paramètres!$A$1:$I$89,7,0))</f>
        <v>0.25800000000000001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41.522826815318133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41.522826815318133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5.833333333333333</v>
      </c>
      <c r="CT144" s="12">
        <f>IF('Données projet'!$A$140&gt;35,CT143+CS144-DB143,IF(A144&lt;'Données projet'!$A$140,$CQ$205^A144,IF(A144='Données projet'!$A$140,'Données projet'!$B$140,CT143+CS144-DB143)))</f>
        <v>315.99999999999989</v>
      </c>
      <c r="CU144" s="17">
        <f>CT144*VLOOKUP('Données projet'!$B$13,Paramètres!$A$1:$I$89,3,0)*VLOOKUP('Données projet'!$B$13,Paramètres!$A$1:$I$89,5,0)</f>
        <v>285.91679999999985</v>
      </c>
      <c r="CV144" s="13">
        <f t="shared" si="149"/>
        <v>68.215872977287475</v>
      </c>
      <c r="CW144" s="20">
        <f t="shared" si="121"/>
        <v>616.78107210210862</v>
      </c>
      <c r="CX144" s="59">
        <f t="shared" si="122"/>
        <v>910.11440543544199</v>
      </c>
      <c r="CY144" s="59">
        <f ca="1">AVERAGE(OFFSET($CX$3,0,0,'Données projet'!$E$13+1,1))-AVERAGE(OFFSET($H$3,0,0,'Données projet'!$E$13+1,1))</f>
        <v>436.12708882925142</v>
      </c>
      <c r="CZ144" s="59">
        <f t="shared" si="150"/>
        <v>217.65884352525285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43.561873186596515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43.561873186596515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3.4106051316484809E-13</v>
      </c>
      <c r="DP144" s="17">
        <f>DO144*VLOOKUP('Données projet'!$B$14,Paramètres!$A$1:$I$89,3,0)*VLOOKUP('Données projet'!$B$14,Paramètres!$A$1:$I$89,5,0)</f>
        <v>3.2455318432766944E-13</v>
      </c>
      <c r="DQ144" s="13">
        <f t="shared" si="151"/>
        <v>4.2513245787534721E-12</v>
      </c>
      <c r="DR144" s="20">
        <f t="shared" si="124"/>
        <v>7.9696537706996534E-12</v>
      </c>
      <c r="DS144" s="59">
        <f t="shared" si="125"/>
        <v>293.33333333334127</v>
      </c>
      <c r="DT144" s="59">
        <f ca="1">AVERAGE(OFFSET($DS$3,0,0,'Données projet'!$E$14+1,1))-AVERAGE(OFFSET($H$3,0,0,'Données projet'!$E$14+1,1))</f>
        <v>735.50267870886194</v>
      </c>
      <c r="DU144" s="59">
        <f t="shared" si="152"/>
        <v>525.80345400853275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127.14060094326911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127.14060094326911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>
        <f>VLOOKUP(A144,'Données projet'!$A$191:$I$211,2,0)</f>
        <v>260</v>
      </c>
      <c r="EH144" s="12">
        <f>VLOOKUP(A144,'Données projet'!$A$191:$I$211,9,0)</f>
        <v>4.75</v>
      </c>
      <c r="EI144" s="12">
        <f t="array" ref="EI144">INDEX(EH:EH,MIN(IF(ISNUMBER(EH144:EH340),ROW(EH144:EH340),"")))</f>
        <v>4.75</v>
      </c>
      <c r="EJ144" s="12">
        <f>IF('Données projet'!$A$192&gt;35,EJ143+EI144-ER143,IF(A144&lt;'Données projet'!$A$192,$EG$205^A144,IF(A144='Données projet'!$A$192,'Données projet'!$B$192,EJ143+EI144-ER143)))</f>
        <v>260.00000000000057</v>
      </c>
      <c r="EK144" s="17">
        <f>EJ144*VLOOKUP('Données projet'!$B$15,Paramètres!$A$1:$I$89,3,0)*VLOOKUP('Données projet'!$B$15,Paramètres!$A$1:$I$89,5,0)</f>
        <v>166.29600000000036</v>
      </c>
      <c r="EL144" s="13">
        <f t="shared" si="153"/>
        <v>42.259390211399854</v>
      </c>
      <c r="EM144" s="20">
        <f t="shared" si="127"/>
        <v>363.23397128485539</v>
      </c>
      <c r="EN144" s="59">
        <f t="shared" si="128"/>
        <v>656.5673046181887</v>
      </c>
      <c r="EO144" s="59">
        <f ca="1">AVERAGE(OFFSET($EN$3,0,0,'Données projet'!$E$15+1,1))-AVERAGE(OFFSET($H$3,0,0,'Données projet'!$E$15+1,1))</f>
        <v>274.14900959323484</v>
      </c>
      <c r="EP144" s="59">
        <f t="shared" si="154"/>
        <v>130.44590390921582</v>
      </c>
      <c r="EQ144" s="15">
        <f>IF(ISNA(VLOOKUP(A144,'Données projet'!$A$191:$I$211,3,0)),0,VLOOKUP(A144,'Données projet'!$A$191:$I$211,3,0))</f>
        <v>10</v>
      </c>
      <c r="ER144" s="15">
        <f>IF(ISNA(VLOOKUP(A144,'Données projet'!$A$191:$I$211,4,0)),0,VLOOKUP(A144,'Données projet'!$A$191:$I$211,4,0))</f>
        <v>38</v>
      </c>
      <c r="ES144" s="16">
        <f>IF(ISNA(VLOOKUP(A144,'Données projet'!$A$191:$I$211,5,0)),0%,VLOOKUP(A144,'Données projet'!$A$191:$I$211,5,0)*VLOOKUP('Données projet'!$B$15,Paramètres!$A$1:$I$89,7,0))</f>
        <v>0.25800000000000001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26.191321529662204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26.191321529662204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-2.2737367544323206E-13</v>
      </c>
      <c r="FF144" s="17">
        <f>FE144*VLOOKUP('Données projet'!$B$16,Paramètres!$A$1:$I$89,3,0)*VLOOKUP('Données projet'!$B$16,Paramètres!$A$1:$I$89,5,0)</f>
        <v>-1.3596945791505279E-13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405.42845699663462</v>
      </c>
      <c r="FK144" s="59">
        <f t="shared" si="156"/>
        <v>292.26503163353146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70.861932745419523</v>
      </c>
      <c r="FR144" s="21">
        <f>EXP(-LN(2)/25)*FR143+(1-EXP(-LN(2)/25))/(LN(2)/25)*Calculateur!FM144*Calculateur!FO144*VLOOKUP('Données projet'!$B$16,Paramètres!$A$1:$I$89,3,0)*0.475*44/12</f>
        <v>20.901430974639691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91.763363720059218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-2.2737367544323206E-13</v>
      </c>
      <c r="GA144" s="17">
        <f>FZ144*VLOOKUP('Données projet'!$B$17,Paramètres!$A$1:$I$89,3,0)*VLOOKUP('Données projet'!$B$17,Paramètres!$A$1:$I$89,5,0)</f>
        <v>-1.3596945791505279E-13</v>
      </c>
      <c r="GB144" s="13" t="e">
        <f t="shared" si="157"/>
        <v>#NUM!</v>
      </c>
      <c r="GC144" s="20" t="e">
        <f t="shared" si="133"/>
        <v>#NUM!</v>
      </c>
      <c r="GD144" s="59" t="e">
        <f t="shared" si="134"/>
        <v>#NUM!</v>
      </c>
      <c r="GE144" s="59">
        <f ca="1">AVERAGE(OFFSET($GD$3,0,0,'Données projet'!$E$17+1,1))-AVERAGE(OFFSET($H$3,0,0,'Données projet'!$E$17+1,1))</f>
        <v>405.42845699663462</v>
      </c>
      <c r="GF144" s="59">
        <f t="shared" si="158"/>
        <v>292.26503163353146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70.861932745419523</v>
      </c>
      <c r="GM144" s="21">
        <f>EXP(-LN(2)/25)*GM143+(1-EXP(-LN(2)/25))/(LN(2)/25)*Calculateur!GH144*Calculateur!GJ144*VLOOKUP('Données projet'!$B$17,Paramètres!$A$1:$I$89,3,0)*0.475*44/12</f>
        <v>20.901430974639691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91.763363720059218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-5.3205440053716299E-14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198.26255998041</v>
      </c>
      <c r="T145" s="59">
        <f t="shared" si="142"/>
        <v>238.62101708181166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21.638645939235538</v>
      </c>
      <c r="AA145" s="21">
        <f>EXP(-LN(2)/25)*AA144+(1-EXP(-LN(2)/25))/(LN(2)/25)*Calculateur!V145*Calculateur!X145*VLOOKUP('Données projet'!$B$9,Paramètres!$A$1:$I$89,3,0)*0.475*44/12</f>
        <v>6.4102515641300322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28.04889750336557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3.4106051316484809E-13</v>
      </c>
      <c r="AJ145" s="13">
        <f>AI145*VLOOKUP('Données projet'!$B$10,Paramètres!$A$1:$I$89,3,0)*VLOOKUP('Données projet'!$B$10,Paramètres!$A$1:$I$89,5,0)</f>
        <v>1.9065282685915009E-13</v>
      </c>
      <c r="AK145" s="13">
        <f t="shared" si="143"/>
        <v>2.6568987209435707E-12</v>
      </c>
      <c r="AL145" s="20">
        <f t="shared" si="112"/>
        <v>4.959485612423072E-12</v>
      </c>
      <c r="AM145" s="59">
        <f t="shared" si="113"/>
        <v>293.33333333333826</v>
      </c>
      <c r="AN145" s="59">
        <f ca="1">AVERAGE(OFFSET($AM$3,0,0,'Données projet'!$E$10+1,1))-AVERAGE(OFFSET($H$3,0,0,'Données projet'!$E$10+1,1))</f>
        <v>347.02720636703873</v>
      </c>
      <c r="AO145" s="59">
        <f t="shared" si="144"/>
        <v>394.03759949558702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47.234862102072256</v>
      </c>
      <c r="AV145" s="21">
        <f>EXP(-LN(2)/25)*AV144+(1-EXP(-LN(2)/25))/(LN(2)/25)*Calculateur!AQ145*Calculateur!AS145*VLOOKUP('Données projet'!$B$10,Paramètres!$A$1:$I$89,3,0)*0.475*44/12</f>
        <v>13.643234888375778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60.878096990448036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-3.4106051316484809E-13</v>
      </c>
      <c r="BE145" s="13">
        <f>BD145*VLOOKUP('Données projet'!$B$11,Paramètres!$A$1:$I$89,3,0)*VLOOKUP('Données projet'!$B$11,Paramètres!$A$1:$I$89,5,0)</f>
        <v>-2.0395418687257919E-13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378.75660696651238</v>
      </c>
      <c r="BJ145" s="59">
        <f t="shared" si="146"/>
        <v>371.70674704563288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46.725870737094368</v>
      </c>
      <c r="BQ145" s="21">
        <f>EXP(-LN(2)/25)*BQ144+(1-EXP(-LN(2)/25))/(LN(2)/25)*Calculateur!BL145*Calculateur!BN145*VLOOKUP('Données projet'!$B$11,Paramètres!$A$1:$I$89,3,0)*0.475*44/12</f>
        <v>13.182188497230323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59.908059234324689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4.833333333333333</v>
      </c>
      <c r="BY145" s="12">
        <f>IF('Données projet'!$A$114&gt;35,BY144+BX145-CG144,IF(A145&lt;'Données projet'!$A$114,$BV$205^A145,IF(A145='Données projet'!$A$114,'Données projet'!$B$114,BY144+BX145-CG144)))</f>
        <v>226.83333333333388</v>
      </c>
      <c r="BZ145" s="13">
        <f>BY145*VLOOKUP('Données projet'!$B$12,Paramètres!$A$1:$I$89,3,0)*VLOOKUP('Données projet'!$B$12,Paramètres!$A$1:$I$89,5,0)</f>
        <v>230.00900000000058</v>
      </c>
      <c r="CA145" s="13">
        <f t="shared" si="147"/>
        <v>56.284627537129417</v>
      </c>
      <c r="CB145" s="20">
        <f t="shared" si="118"/>
        <v>498.62806796050137</v>
      </c>
      <c r="CC145" s="59">
        <f t="shared" si="119"/>
        <v>791.96140129383468</v>
      </c>
      <c r="CD145" s="59">
        <f ca="1">AVERAGE(OFFSET($CC$3,0,0,'Données projet'!$E$12+1,1))-AVERAGE(OFFSET($H$3,0,0,'Données projet'!$E$12+1,1))</f>
        <v>410.75375635525211</v>
      </c>
      <c r="CE145" s="59">
        <f t="shared" si="148"/>
        <v>183.55513001437367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40.708589507893322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40.708589507893322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5.833333333333333</v>
      </c>
      <c r="CT145" s="12">
        <f>IF('Données projet'!$A$140&gt;35,CT144+CS145-DB144,IF(A145&lt;'Données projet'!$A$140,$CQ$205^A145,IF(A145='Données projet'!$A$140,'Données projet'!$B$140,CT144+CS145-DB144)))</f>
        <v>321.8333333333332</v>
      </c>
      <c r="CU145" s="17">
        <f>CT145*VLOOKUP('Données projet'!$B$13,Paramètres!$A$1:$I$89,3,0)*VLOOKUP('Données projet'!$B$13,Paramètres!$A$1:$I$89,5,0)</f>
        <v>291.19479999999987</v>
      </c>
      <c r="CV145" s="13">
        <f t="shared" si="149"/>
        <v>69.327367162534287</v>
      </c>
      <c r="CW145" s="20">
        <f t="shared" si="121"/>
        <v>627.90944114141359</v>
      </c>
      <c r="CX145" s="59">
        <f t="shared" si="122"/>
        <v>921.24277447474697</v>
      </c>
      <c r="CY145" s="59">
        <f ca="1">AVERAGE(OFFSET($CX$3,0,0,'Données projet'!$E$13+1,1))-AVERAGE(OFFSET($H$3,0,0,'Données projet'!$E$13+1,1))</f>
        <v>436.12708882925142</v>
      </c>
      <c r="CZ145" s="59">
        <f t="shared" si="150"/>
        <v>217.65884352525285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42.707651423526421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42.707651423526421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3.4106051316484809E-13</v>
      </c>
      <c r="DP145" s="17">
        <f>DO145*VLOOKUP('Données projet'!$B$14,Paramètres!$A$1:$I$89,3,0)*VLOOKUP('Données projet'!$B$14,Paramètres!$A$1:$I$89,5,0)</f>
        <v>3.2455318432766944E-13</v>
      </c>
      <c r="DQ145" s="13">
        <f t="shared" si="151"/>
        <v>4.2513245787534721E-12</v>
      </c>
      <c r="DR145" s="20">
        <f t="shared" si="124"/>
        <v>7.9696537706996534E-12</v>
      </c>
      <c r="DS145" s="59">
        <f t="shared" si="125"/>
        <v>293.33333333334127</v>
      </c>
      <c r="DT145" s="59">
        <f ca="1">AVERAGE(OFFSET($DS$3,0,0,'Données projet'!$E$14+1,1))-AVERAGE(OFFSET($H$3,0,0,'Données projet'!$E$14+1,1))</f>
        <v>735.50267870886194</v>
      </c>
      <c r="DU145" s="59">
        <f t="shared" si="152"/>
        <v>525.80345400853275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124.64745130688094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124.64745130688094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4.833333333333333</v>
      </c>
      <c r="EJ145" s="12">
        <f>IF('Données projet'!$A$192&gt;35,EJ144+EI145-ER144,IF(A145&lt;'Données projet'!$A$192,$EG$205^A145,IF(A145='Données projet'!$A$192,'Données projet'!$B$192,EJ144+EI145-ER144)))</f>
        <v>226.83333333333388</v>
      </c>
      <c r="EK145" s="17">
        <f>EJ145*VLOOKUP('Données projet'!$B$15,Paramètres!$A$1:$I$89,3,0)*VLOOKUP('Données projet'!$B$15,Paramètres!$A$1:$I$89,5,0)</f>
        <v>145.08260000000035</v>
      </c>
      <c r="EL145" s="13">
        <f t="shared" si="153"/>
        <v>37.458930224520941</v>
      </c>
      <c r="EM145" s="20">
        <f t="shared" si="127"/>
        <v>317.92649847437457</v>
      </c>
      <c r="EN145" s="59">
        <f t="shared" si="128"/>
        <v>611.25983180770788</v>
      </c>
      <c r="EO145" s="59">
        <f ca="1">AVERAGE(OFFSET($EN$3,0,0,'Données projet'!$E$15+1,1))-AVERAGE(OFFSET($H$3,0,0,'Données projet'!$E$15+1,1))</f>
        <v>274.14900959323484</v>
      </c>
      <c r="EP145" s="59">
        <f t="shared" si="154"/>
        <v>130.44590390921582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25.677725689594247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25.677725689594247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-2.2737367544323206E-13</v>
      </c>
      <c r="FF145" s="17">
        <f>FE145*VLOOKUP('Données projet'!$B$16,Paramètres!$A$1:$I$89,3,0)*VLOOKUP('Données projet'!$B$16,Paramètres!$A$1:$I$89,5,0)</f>
        <v>-1.3596945791505279E-13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405.42845699663462</v>
      </c>
      <c r="FK145" s="59">
        <f t="shared" si="156"/>
        <v>292.26503163353146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69.472373465793055</v>
      </c>
      <c r="FR145" s="21">
        <f>EXP(-LN(2)/25)*FR144+(1-EXP(-LN(2)/25))/(LN(2)/25)*Calculateur!FM145*Calculateur!FO145*VLOOKUP('Données projet'!$B$16,Paramètres!$A$1:$I$89,3,0)*0.475*44/12</f>
        <v>20.329880245479686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89.802253711272741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-2.2737367544323206E-13</v>
      </c>
      <c r="GA145" s="17">
        <f>FZ145*VLOOKUP('Données projet'!$B$17,Paramètres!$A$1:$I$89,3,0)*VLOOKUP('Données projet'!$B$17,Paramètres!$A$1:$I$89,5,0)</f>
        <v>-1.3596945791505279E-13</v>
      </c>
      <c r="GB145" s="13" t="e">
        <f t="shared" si="157"/>
        <v>#NUM!</v>
      </c>
      <c r="GC145" s="20" t="e">
        <f t="shared" si="133"/>
        <v>#NUM!</v>
      </c>
      <c r="GD145" s="59" t="e">
        <f t="shared" si="134"/>
        <v>#NUM!</v>
      </c>
      <c r="GE145" s="59">
        <f ca="1">AVERAGE(OFFSET($GD$3,0,0,'Données projet'!$E$17+1,1))-AVERAGE(OFFSET($H$3,0,0,'Données projet'!$E$17+1,1))</f>
        <v>405.42845699663462</v>
      </c>
      <c r="GF145" s="59">
        <f t="shared" si="158"/>
        <v>292.26503163353146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69.472373465793055</v>
      </c>
      <c r="GM145" s="21">
        <f>EXP(-LN(2)/25)*GM144+(1-EXP(-LN(2)/25))/(LN(2)/25)*Calculateur!GH145*Calculateur!GJ145*VLOOKUP('Données projet'!$B$17,Paramètres!$A$1:$I$89,3,0)*0.475*44/12</f>
        <v>20.329880245479686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89.802253711272741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-5.3205440053716299E-14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198.26255998041</v>
      </c>
      <c r="T146" s="59">
        <f t="shared" si="142"/>
        <v>238.62101708181166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21.21432529063793</v>
      </c>
      <c r="AA146" s="21">
        <f>EXP(-LN(2)/25)*AA145+(1-EXP(-LN(2)/25))/(LN(2)/25)*Calculateur!V146*Calculateur!X146*VLOOKUP('Données projet'!$B$9,Paramètres!$A$1:$I$89,3,0)*0.475*44/12</f>
        <v>6.2349628980084173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27.449288188646349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3.4106051316484809E-13</v>
      </c>
      <c r="AJ146" s="13">
        <f>AI146*VLOOKUP('Données projet'!$B$10,Paramètres!$A$1:$I$89,3,0)*VLOOKUP('Données projet'!$B$10,Paramètres!$A$1:$I$89,5,0)</f>
        <v>1.9065282685915009E-13</v>
      </c>
      <c r="AK146" s="13">
        <f t="shared" si="143"/>
        <v>2.6568987209435707E-12</v>
      </c>
      <c r="AL146" s="20">
        <f t="shared" si="112"/>
        <v>4.959485612423072E-12</v>
      </c>
      <c r="AM146" s="59">
        <f t="shared" si="113"/>
        <v>293.33333333333826</v>
      </c>
      <c r="AN146" s="59">
        <f ca="1">AVERAGE(OFFSET($AM$3,0,0,'Données projet'!$E$10+1,1))-AVERAGE(OFFSET($H$3,0,0,'Données projet'!$E$10+1,1))</f>
        <v>347.02720636703873</v>
      </c>
      <c r="AO146" s="59">
        <f t="shared" si="144"/>
        <v>394.03759949558702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46.308615266671708</v>
      </c>
      <c r="AV146" s="21">
        <f>EXP(-LN(2)/25)*AV145+(1-EXP(-LN(2)/25))/(LN(2)/25)*Calculateur!AQ146*Calculateur!AS146*VLOOKUP('Données projet'!$B$10,Paramètres!$A$1:$I$89,3,0)*0.475*44/12</f>
        <v>13.270159912886601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59.578775179558306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-3.4106051316484809E-13</v>
      </c>
      <c r="BE146" s="13">
        <f>BD146*VLOOKUP('Données projet'!$B$11,Paramètres!$A$1:$I$89,3,0)*VLOOKUP('Données projet'!$B$11,Paramètres!$A$1:$I$89,5,0)</f>
        <v>-2.0395418687257919E-13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378.75660696651238</v>
      </c>
      <c r="BJ146" s="59">
        <f t="shared" si="146"/>
        <v>371.70674704563288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45.809604911906959</v>
      </c>
      <c r="BQ146" s="21">
        <f>EXP(-LN(2)/25)*BQ145+(1-EXP(-LN(2)/25))/(LN(2)/25)*Calculateur!BL146*Calculateur!BN146*VLOOKUP('Données projet'!$B$11,Paramètres!$A$1:$I$89,3,0)*0.475*44/12</f>
        <v>12.821720859552395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58.631325771459352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4.833333333333333</v>
      </c>
      <c r="BY146" s="12">
        <f>IF('Données projet'!$A$114&gt;35,BY145+BX146-CG145,IF(A146&lt;'Données projet'!$A$114,$BV$205^A146,IF(A146='Données projet'!$A$114,'Données projet'!$B$114,BY145+BX146-CG145)))</f>
        <v>231.66666666666723</v>
      </c>
      <c r="BZ146" s="13">
        <f>BY146*VLOOKUP('Données projet'!$B$12,Paramètres!$A$1:$I$89,3,0)*VLOOKUP('Données projet'!$B$12,Paramètres!$A$1:$I$89,5,0)</f>
        <v>234.91000000000059</v>
      </c>
      <c r="CA146" s="13">
        <f t="shared" si="147"/>
        <v>57.343029640426167</v>
      </c>
      <c r="CB146" s="20">
        <f t="shared" si="118"/>
        <v>509.00735995707652</v>
      </c>
      <c r="CC146" s="59">
        <f t="shared" si="119"/>
        <v>802.34069329040983</v>
      </c>
      <c r="CD146" s="59">
        <f ca="1">AVERAGE(OFFSET($CC$3,0,0,'Données projet'!$E$12+1,1))-AVERAGE(OFFSET($H$3,0,0,'Données projet'!$E$12+1,1))</f>
        <v>410.75375635525211</v>
      </c>
      <c r="CE146" s="59">
        <f t="shared" si="148"/>
        <v>183.55513001437367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39.910318897431395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39.910318897431395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5.833333333333333</v>
      </c>
      <c r="CT146" s="12">
        <f>IF('Données projet'!$A$140&gt;35,CT145+CS146-DB145,IF(A146&lt;'Données projet'!$A$140,$CQ$205^A146,IF(A146='Données projet'!$A$140,'Données projet'!$B$140,CT145+CS146-DB145)))</f>
        <v>327.66666666666652</v>
      </c>
      <c r="CU146" s="17">
        <f>CT146*VLOOKUP('Données projet'!$B$13,Paramètres!$A$1:$I$89,3,0)*VLOOKUP('Données projet'!$B$13,Paramètres!$A$1:$I$89,5,0)</f>
        <v>296.47279999999984</v>
      </c>
      <c r="CV146" s="13">
        <f t="shared" si="149"/>
        <v>70.436518667447913</v>
      </c>
      <c r="CW146" s="20">
        <f t="shared" si="121"/>
        <v>639.03373001247144</v>
      </c>
      <c r="CX146" s="59">
        <f t="shared" si="122"/>
        <v>932.36706334580481</v>
      </c>
      <c r="CY146" s="59">
        <f ca="1">AVERAGE(OFFSET($CX$3,0,0,'Données projet'!$E$13+1,1))-AVERAGE(OFFSET($H$3,0,0,'Données projet'!$E$13+1,1))</f>
        <v>436.12708882925142</v>
      </c>
      <c r="CZ146" s="59">
        <f t="shared" si="150"/>
        <v>217.65884352525285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41.870180428206304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41.870180428206304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3.4106051316484809E-13</v>
      </c>
      <c r="DP146" s="17">
        <f>DO146*VLOOKUP('Données projet'!$B$14,Paramètres!$A$1:$I$89,3,0)*VLOOKUP('Données projet'!$B$14,Paramètres!$A$1:$I$89,5,0)</f>
        <v>3.2455318432766944E-13</v>
      </c>
      <c r="DQ146" s="13">
        <f t="shared" si="151"/>
        <v>4.2513245787534721E-12</v>
      </c>
      <c r="DR146" s="20">
        <f t="shared" si="124"/>
        <v>7.9696537706996534E-12</v>
      </c>
      <c r="DS146" s="59">
        <f t="shared" si="125"/>
        <v>293.33333333334127</v>
      </c>
      <c r="DT146" s="59">
        <f ca="1">AVERAGE(OFFSET($DS$3,0,0,'Données projet'!$E$14+1,1))-AVERAGE(OFFSET($H$3,0,0,'Données projet'!$E$14+1,1))</f>
        <v>735.50267870886194</v>
      </c>
      <c r="DU146" s="59">
        <f t="shared" si="152"/>
        <v>525.80345400853275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122.20319081419122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122.20319081419122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4.833333333333333</v>
      </c>
      <c r="EJ146" s="12">
        <f>IF('Données projet'!$A$192&gt;35,EJ145+EI146-ER145,IF(A146&lt;'Données projet'!$A$192,$EG$205^A146,IF(A146='Données projet'!$A$192,'Données projet'!$B$192,EJ145+EI146-ER145)))</f>
        <v>231.66666666666723</v>
      </c>
      <c r="EK146" s="17">
        <f>EJ146*VLOOKUP('Données projet'!$B$15,Paramètres!$A$1:$I$89,3,0)*VLOOKUP('Données projet'!$B$15,Paramètres!$A$1:$I$89,5,0)</f>
        <v>148.17400000000035</v>
      </c>
      <c r="EL146" s="13">
        <f t="shared" si="153"/>
        <v>38.163325230257193</v>
      </c>
      <c r="EM146" s="20">
        <f t="shared" si="127"/>
        <v>324.53750810936521</v>
      </c>
      <c r="EN146" s="59">
        <f t="shared" si="128"/>
        <v>617.87084144269852</v>
      </c>
      <c r="EO146" s="59">
        <f ca="1">AVERAGE(OFFSET($EN$3,0,0,'Données projet'!$E$15+1,1))-AVERAGE(OFFSET($H$3,0,0,'Données projet'!$E$15+1,1))</f>
        <v>274.14900959323484</v>
      </c>
      <c r="EP146" s="59">
        <f t="shared" si="154"/>
        <v>130.44590390921582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25.174201150687495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25.174201150687495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-2.2737367544323206E-13</v>
      </c>
      <c r="FF146" s="17">
        <f>FE146*VLOOKUP('Données projet'!$B$16,Paramètres!$A$1:$I$89,3,0)*VLOOKUP('Données projet'!$B$16,Paramètres!$A$1:$I$89,5,0)</f>
        <v>-1.3596945791505279E-13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405.42845699663462</v>
      </c>
      <c r="FK146" s="59">
        <f t="shared" si="156"/>
        <v>292.26503163353146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68.11006259609259</v>
      </c>
      <c r="FR146" s="21">
        <f>EXP(-LN(2)/25)*FR145+(1-EXP(-LN(2)/25))/(LN(2)/25)*Calculateur!FM146*Calculateur!FO146*VLOOKUP('Données projet'!$B$16,Paramètres!$A$1:$I$89,3,0)*0.475*44/12</f>
        <v>19.773958601065107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87.884021197157693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-2.2737367544323206E-13</v>
      </c>
      <c r="GA146" s="17">
        <f>FZ146*VLOOKUP('Données projet'!$B$17,Paramètres!$A$1:$I$89,3,0)*VLOOKUP('Données projet'!$B$17,Paramètres!$A$1:$I$89,5,0)</f>
        <v>-1.3596945791505279E-13</v>
      </c>
      <c r="GB146" s="13" t="e">
        <f t="shared" si="157"/>
        <v>#NUM!</v>
      </c>
      <c r="GC146" s="20" t="e">
        <f t="shared" si="133"/>
        <v>#NUM!</v>
      </c>
      <c r="GD146" s="59" t="e">
        <f t="shared" si="134"/>
        <v>#NUM!</v>
      </c>
      <c r="GE146" s="59">
        <f ca="1">AVERAGE(OFFSET($GD$3,0,0,'Données projet'!$E$17+1,1))-AVERAGE(OFFSET($H$3,0,0,'Données projet'!$E$17+1,1))</f>
        <v>405.42845699663462</v>
      </c>
      <c r="GF146" s="59">
        <f t="shared" si="158"/>
        <v>292.26503163353146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68.11006259609259</v>
      </c>
      <c r="GM146" s="21">
        <f>EXP(-LN(2)/25)*GM145+(1-EXP(-LN(2)/25))/(LN(2)/25)*Calculateur!GH146*Calculateur!GJ146*VLOOKUP('Données projet'!$B$17,Paramètres!$A$1:$I$89,3,0)*0.475*44/12</f>
        <v>19.773958601065107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87.884021197157693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-5.3205440053716299E-14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198.26255998041</v>
      </c>
      <c r="T147" s="59">
        <f t="shared" si="142"/>
        <v>238.62101708181166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20.798325311149281</v>
      </c>
      <c r="AA147" s="21">
        <f>EXP(-LN(2)/25)*AA146+(1-EXP(-LN(2)/25))/(LN(2)/25)*Calculateur!V147*Calculateur!X147*VLOOKUP('Données projet'!$B$9,Paramètres!$A$1:$I$89,3,0)*0.475*44/12</f>
        <v>6.0644675096799281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26.86279282082921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3.4106051316484809E-13</v>
      </c>
      <c r="AJ147" s="13">
        <f>AI147*VLOOKUP('Données projet'!$B$10,Paramètres!$A$1:$I$89,3,0)*VLOOKUP('Données projet'!$B$10,Paramètres!$A$1:$I$89,5,0)</f>
        <v>1.9065282685915009E-13</v>
      </c>
      <c r="AK147" s="13">
        <f t="shared" si="143"/>
        <v>2.6568987209435707E-12</v>
      </c>
      <c r="AL147" s="20">
        <f t="shared" si="112"/>
        <v>4.959485612423072E-12</v>
      </c>
      <c r="AM147" s="59">
        <f t="shared" si="113"/>
        <v>293.33333333333826</v>
      </c>
      <c r="AN147" s="59">
        <f ca="1">AVERAGE(OFFSET($AM$3,0,0,'Données projet'!$E$10+1,1))-AVERAGE(OFFSET($H$3,0,0,'Données projet'!$E$10+1,1))</f>
        <v>347.02720636703873</v>
      </c>
      <c r="AO147" s="59">
        <f t="shared" si="144"/>
        <v>394.03759949558702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45.40053156675858</v>
      </c>
      <c r="AV147" s="21">
        <f>EXP(-LN(2)/25)*AV146+(1-EXP(-LN(2)/25))/(LN(2)/25)*Calculateur!AQ147*Calculateur!AS147*VLOOKUP('Données projet'!$B$10,Paramètres!$A$1:$I$89,3,0)*0.475*44/12</f>
        <v>12.907286692221337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58.307818258979921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-3.4106051316484809E-13</v>
      </c>
      <c r="BE147" s="13">
        <f>BD147*VLOOKUP('Données projet'!$B$11,Paramètres!$A$1:$I$89,3,0)*VLOOKUP('Données projet'!$B$11,Paramètres!$A$1:$I$89,5,0)</f>
        <v>-2.0395418687257919E-13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378.75660696651238</v>
      </c>
      <c r="BJ147" s="59">
        <f t="shared" si="146"/>
        <v>371.70674704563288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44.911306500684503</v>
      </c>
      <c r="BQ147" s="21">
        <f>EXP(-LN(2)/25)*BQ146+(1-EXP(-LN(2)/25))/(LN(2)/25)*Calculateur!BL147*Calculateur!BN147*VLOOKUP('Données projet'!$B$11,Paramètres!$A$1:$I$89,3,0)*0.475*44/12</f>
        <v>12.471110228382939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57.382416729067444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4.833333333333333</v>
      </c>
      <c r="BY147" s="12">
        <f>IF('Données projet'!$A$114&gt;35,BY146+BX147-CG146,IF(A147&lt;'Données projet'!$A$114,$BV$205^A147,IF(A147='Données projet'!$A$114,'Données projet'!$B$114,BY146+BX147-CG146)))</f>
        <v>236.50000000000057</v>
      </c>
      <c r="BZ147" s="13">
        <f>BY147*VLOOKUP('Données projet'!$B$12,Paramètres!$A$1:$I$89,3,0)*VLOOKUP('Données projet'!$B$12,Paramètres!$A$1:$I$89,5,0)</f>
        <v>239.81100000000058</v>
      </c>
      <c r="CA147" s="13">
        <f t="shared" si="147"/>
        <v>58.39886434722996</v>
      </c>
      <c r="CB147" s="20">
        <f t="shared" si="118"/>
        <v>519.38218040475988</v>
      </c>
      <c r="CC147" s="59">
        <f t="shared" si="119"/>
        <v>812.71551373809325</v>
      </c>
      <c r="CD147" s="59">
        <f ca="1">AVERAGE(OFFSET($CC$3,0,0,'Données projet'!$E$12+1,1))-AVERAGE(OFFSET($H$3,0,0,'Données projet'!$E$12+1,1))</f>
        <v>410.75375635525211</v>
      </c>
      <c r="CE147" s="59">
        <f t="shared" si="148"/>
        <v>183.55513001437367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39.12770188674363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39.12770188674363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5.833333333333333</v>
      </c>
      <c r="CT147" s="12">
        <f>IF('Données projet'!$A$140&gt;35,CT146+CS147-DB146,IF(A147&lt;'Données projet'!$A$140,$CQ$205^A147,IF(A147='Données projet'!$A$140,'Données projet'!$B$140,CT146+CS147-DB146)))</f>
        <v>333.49999999999983</v>
      </c>
      <c r="CU147" s="17">
        <f>CT147*VLOOKUP('Données projet'!$B$13,Paramètres!$A$1:$I$89,3,0)*VLOOKUP('Données projet'!$B$13,Paramètres!$A$1:$I$89,5,0)</f>
        <v>301.75079999999986</v>
      </c>
      <c r="CV147" s="13">
        <f t="shared" si="149"/>
        <v>71.54337400924733</v>
      </c>
      <c r="CW147" s="20">
        <f t="shared" si="121"/>
        <v>650.1540197327721</v>
      </c>
      <c r="CX147" s="59">
        <f t="shared" si="122"/>
        <v>943.48735306610547</v>
      </c>
      <c r="CY147" s="59">
        <f ca="1">AVERAGE(OFFSET($CX$3,0,0,'Données projet'!$E$13+1,1))-AVERAGE(OFFSET($H$3,0,0,'Données projet'!$E$13+1,1))</f>
        <v>436.12708882925142</v>
      </c>
      <c r="CZ147" s="59">
        <f t="shared" si="150"/>
        <v>217.65884352525285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41.049131728297546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41.049131728297546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3.4106051316484809E-13</v>
      </c>
      <c r="DP147" s="17">
        <f>DO147*VLOOKUP('Données projet'!$B$14,Paramètres!$A$1:$I$89,3,0)*VLOOKUP('Données projet'!$B$14,Paramètres!$A$1:$I$89,5,0)</f>
        <v>3.2455318432766944E-13</v>
      </c>
      <c r="DQ147" s="13">
        <f t="shared" si="151"/>
        <v>4.2513245787534721E-12</v>
      </c>
      <c r="DR147" s="20">
        <f t="shared" si="124"/>
        <v>7.9696537706996534E-12</v>
      </c>
      <c r="DS147" s="59">
        <f t="shared" si="125"/>
        <v>293.33333333334127</v>
      </c>
      <c r="DT147" s="59">
        <f ca="1">AVERAGE(OFFSET($DS$3,0,0,'Données projet'!$E$14+1,1))-AVERAGE(OFFSET($H$3,0,0,'Données projet'!$E$14+1,1))</f>
        <v>735.50267870886194</v>
      </c>
      <c r="DU147" s="59">
        <f t="shared" si="152"/>
        <v>525.80345400853275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119.80686077891144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119.80686077891144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4.833333333333333</v>
      </c>
      <c r="EJ147" s="12">
        <f>IF('Données projet'!$A$192&gt;35,EJ146+EI147-ER146,IF(A147&lt;'Données projet'!$A$192,$EG$205^A147,IF(A147='Données projet'!$A$192,'Données projet'!$B$192,EJ146+EI147-ER146)))</f>
        <v>236.50000000000057</v>
      </c>
      <c r="EK147" s="17">
        <f>EJ147*VLOOKUP('Données projet'!$B$15,Paramètres!$A$1:$I$89,3,0)*VLOOKUP('Données projet'!$B$15,Paramètres!$A$1:$I$89,5,0)</f>
        <v>151.26540000000037</v>
      </c>
      <c r="EL147" s="13">
        <f t="shared" si="153"/>
        <v>38.86601156472215</v>
      </c>
      <c r="EM147" s="20">
        <f t="shared" si="127"/>
        <v>331.14554180855839</v>
      </c>
      <c r="EN147" s="59">
        <f t="shared" si="128"/>
        <v>624.47887514189165</v>
      </c>
      <c r="EO147" s="59">
        <f ca="1">AVERAGE(OFFSET($EN$3,0,0,'Données projet'!$E$15+1,1))-AVERAGE(OFFSET($H$3,0,0,'Données projet'!$E$15+1,1))</f>
        <v>274.14900959323484</v>
      </c>
      <c r="EP147" s="59">
        <f t="shared" si="154"/>
        <v>130.44590390921582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24.680550420869061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24.680550420869061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-2.2737367544323206E-13</v>
      </c>
      <c r="FF147" s="17">
        <f>FE147*VLOOKUP('Données projet'!$B$16,Paramètres!$A$1:$I$89,3,0)*VLOOKUP('Données projet'!$B$16,Paramètres!$A$1:$I$89,5,0)</f>
        <v>-1.3596945791505279E-13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405.42845699663462</v>
      </c>
      <c r="FK147" s="59">
        <f t="shared" si="156"/>
        <v>292.26503163353146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66.774465811619365</v>
      </c>
      <c r="FR147" s="21">
        <f>EXP(-LN(2)/25)*FR146+(1-EXP(-LN(2)/25))/(LN(2)/25)*Calculateur!FM147*Calculateur!FO147*VLOOKUP('Données projet'!$B$16,Paramètres!$A$1:$I$89,3,0)*0.475*44/12</f>
        <v>19.233238663251694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86.007704474871062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-2.2737367544323206E-13</v>
      </c>
      <c r="GA147" s="17">
        <f>FZ147*VLOOKUP('Données projet'!$B$17,Paramètres!$A$1:$I$89,3,0)*VLOOKUP('Données projet'!$B$17,Paramètres!$A$1:$I$89,5,0)</f>
        <v>-1.3596945791505279E-13</v>
      </c>
      <c r="GB147" s="13" t="e">
        <f t="shared" si="157"/>
        <v>#NUM!</v>
      </c>
      <c r="GC147" s="20" t="e">
        <f t="shared" si="133"/>
        <v>#NUM!</v>
      </c>
      <c r="GD147" s="59" t="e">
        <f t="shared" si="134"/>
        <v>#NUM!</v>
      </c>
      <c r="GE147" s="59">
        <f ca="1">AVERAGE(OFFSET($GD$3,0,0,'Données projet'!$E$17+1,1))-AVERAGE(OFFSET($H$3,0,0,'Données projet'!$E$17+1,1))</f>
        <v>405.42845699663462</v>
      </c>
      <c r="GF147" s="59">
        <f t="shared" si="158"/>
        <v>292.26503163353146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66.774465811619365</v>
      </c>
      <c r="GM147" s="21">
        <f>EXP(-LN(2)/25)*GM146+(1-EXP(-LN(2)/25))/(LN(2)/25)*Calculateur!GH147*Calculateur!GJ147*VLOOKUP('Données projet'!$B$17,Paramètres!$A$1:$I$89,3,0)*0.475*44/12</f>
        <v>19.233238663251694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86.007704474871062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-5.3205440053716299E-14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198.26255998041</v>
      </c>
      <c r="T148" s="59">
        <f t="shared" si="142"/>
        <v>238.62101708181166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20.390482837523471</v>
      </c>
      <c r="AA148" s="21">
        <f>EXP(-LN(2)/25)*AA147+(1-EXP(-LN(2)/25))/(LN(2)/25)*Calculateur!V148*Calculateur!X148*VLOOKUP('Données projet'!$B$9,Paramètres!$A$1:$I$89,3,0)*0.475*44/12</f>
        <v>5.8986343267112442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26.289117164234717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3.4106051316484809E-13</v>
      </c>
      <c r="AJ148" s="13">
        <f>AI148*VLOOKUP('Données projet'!$B$10,Paramètres!$A$1:$I$89,3,0)*VLOOKUP('Données projet'!$B$10,Paramètres!$A$1:$I$89,5,0)</f>
        <v>1.9065282685915009E-13</v>
      </c>
      <c r="AK148" s="13">
        <f t="shared" si="143"/>
        <v>2.6568987209435707E-12</v>
      </c>
      <c r="AL148" s="20">
        <f t="shared" si="112"/>
        <v>4.959485612423072E-12</v>
      </c>
      <c r="AM148" s="59">
        <f t="shared" si="113"/>
        <v>293.33333333333826</v>
      </c>
      <c r="AN148" s="59">
        <f ca="1">AVERAGE(OFFSET($AM$3,0,0,'Données projet'!$E$10+1,1))-AVERAGE(OFFSET($H$3,0,0,'Données projet'!$E$10+1,1))</f>
        <v>347.02720636703873</v>
      </c>
      <c r="AO148" s="59">
        <f t="shared" si="144"/>
        <v>394.03759949558702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44.510254834324385</v>
      </c>
      <c r="AV148" s="21">
        <f>EXP(-LN(2)/25)*AV147+(1-EXP(-LN(2)/25))/(LN(2)/25)*Calculateur!AQ148*Calculateur!AS148*VLOOKUP('Données projet'!$B$10,Paramètres!$A$1:$I$89,3,0)*0.475*44/12</f>
        <v>12.554336258857838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57.064591093182223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-3.4106051316484809E-13</v>
      </c>
      <c r="BE148" s="13">
        <f>BD148*VLOOKUP('Données projet'!$B$11,Paramètres!$A$1:$I$89,3,0)*VLOOKUP('Données projet'!$B$11,Paramètres!$A$1:$I$89,5,0)</f>
        <v>-2.0395418687257919E-13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378.75660696651238</v>
      </c>
      <c r="BJ148" s="59">
        <f t="shared" si="146"/>
        <v>371.70674704563288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44.03062317339819</v>
      </c>
      <c r="BQ148" s="21">
        <f>EXP(-LN(2)/25)*BQ147+(1-EXP(-LN(2)/25))/(LN(2)/25)*Calculateur!BL148*Calculateur!BN148*VLOOKUP('Données projet'!$B$11,Paramètres!$A$1:$I$89,3,0)*0.475*44/12</f>
        <v>12.130087063360623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56.160710236758817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4.833333333333333</v>
      </c>
      <c r="BY148" s="12">
        <f>IF('Données projet'!$A$114&gt;35,BY147+BX148-CG147,IF(A148&lt;'Données projet'!$A$114,$BV$205^A148,IF(A148='Données projet'!$A$114,'Données projet'!$B$114,BY147+BX148-CG147)))</f>
        <v>241.33333333333391</v>
      </c>
      <c r="BZ148" s="13">
        <f>BY148*VLOOKUP('Données projet'!$B$12,Paramètres!$A$1:$I$89,3,0)*VLOOKUP('Données projet'!$B$12,Paramètres!$A$1:$I$89,5,0)</f>
        <v>244.71200000000059</v>
      </c>
      <c r="CA148" s="13">
        <f t="shared" si="147"/>
        <v>59.452190173313738</v>
      </c>
      <c r="CB148" s="20">
        <f t="shared" si="118"/>
        <v>529.75263121852242</v>
      </c>
      <c r="CC148" s="59">
        <f t="shared" si="119"/>
        <v>823.0859645518558</v>
      </c>
      <c r="CD148" s="59">
        <f ca="1">AVERAGE(OFFSET($CC$3,0,0,'Données projet'!$E$12+1,1))-AVERAGE(OFFSET($H$3,0,0,'Données projet'!$E$12+1,1))</f>
        <v>410.75375635525211</v>
      </c>
      <c r="CE148" s="59">
        <f t="shared" si="148"/>
        <v>183.55513001437367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38.360431518286212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38.360431518286212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5.833333333333333</v>
      </c>
      <c r="CT148" s="12">
        <f>IF('Données projet'!$A$140&gt;35,CT147+CS148-DB147,IF(A148&lt;'Données projet'!$A$140,$CQ$205^A148,IF(A148='Données projet'!$A$140,'Données projet'!$B$140,CT147+CS148-DB147)))</f>
        <v>339.33333333333314</v>
      </c>
      <c r="CU148" s="17">
        <f>CT148*VLOOKUP('Données projet'!$B$13,Paramètres!$A$1:$I$89,3,0)*VLOOKUP('Données projet'!$B$13,Paramètres!$A$1:$I$89,5,0)</f>
        <v>307.02879999999982</v>
      </c>
      <c r="CV148" s="13">
        <f t="shared" si="149"/>
        <v>72.647977984643887</v>
      </c>
      <c r="CW148" s="20">
        <f t="shared" si="121"/>
        <v>661.27038832325445</v>
      </c>
      <c r="CX148" s="59">
        <f t="shared" si="122"/>
        <v>954.60372165658782</v>
      </c>
      <c r="CY148" s="59">
        <f ca="1">AVERAGE(OFFSET($CX$3,0,0,'Données projet'!$E$13+1,1))-AVERAGE(OFFSET($H$3,0,0,'Données projet'!$E$13+1,1))</f>
        <v>436.12708882925142</v>
      </c>
      <c r="CZ148" s="59">
        <f t="shared" si="150"/>
        <v>217.65884352525285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40.244183292603736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40.244183292603736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3.4106051316484809E-13</v>
      </c>
      <c r="DP148" s="17">
        <f>DO148*VLOOKUP('Données projet'!$B$14,Paramètres!$A$1:$I$89,3,0)*VLOOKUP('Données projet'!$B$14,Paramètres!$A$1:$I$89,5,0)</f>
        <v>3.2455318432766944E-13</v>
      </c>
      <c r="DQ148" s="13">
        <f t="shared" si="151"/>
        <v>4.2513245787534721E-12</v>
      </c>
      <c r="DR148" s="20">
        <f t="shared" si="124"/>
        <v>7.9696537706996534E-12</v>
      </c>
      <c r="DS148" s="59">
        <f t="shared" si="125"/>
        <v>293.33333333334127</v>
      </c>
      <c r="DT148" s="59">
        <f ca="1">AVERAGE(OFFSET($DS$3,0,0,'Données projet'!$E$14+1,1))-AVERAGE(OFFSET($H$3,0,0,'Données projet'!$E$14+1,1))</f>
        <v>735.50267870886194</v>
      </c>
      <c r="DU148" s="59">
        <f t="shared" si="152"/>
        <v>525.80345400853275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117.45752131400651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117.45752131400651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4.833333333333333</v>
      </c>
      <c r="EJ148" s="12">
        <f>IF('Données projet'!$A$192&gt;35,EJ147+EI148-ER147,IF(A148&lt;'Données projet'!$A$192,$EG$205^A148,IF(A148='Données projet'!$A$192,'Données projet'!$B$192,EJ147+EI148-ER147)))</f>
        <v>241.33333333333391</v>
      </c>
      <c r="EK148" s="17">
        <f>EJ148*VLOOKUP('Données projet'!$B$15,Paramètres!$A$1:$I$89,3,0)*VLOOKUP('Données projet'!$B$15,Paramètres!$A$1:$I$89,5,0)</f>
        <v>154.35680000000036</v>
      </c>
      <c r="EL148" s="13">
        <f t="shared" si="153"/>
        <v>39.567028171733178</v>
      </c>
      <c r="EM148" s="20">
        <f t="shared" si="127"/>
        <v>337.75066739910255</v>
      </c>
      <c r="EN148" s="59">
        <f t="shared" si="128"/>
        <v>631.08400073243592</v>
      </c>
      <c r="EO148" s="59">
        <f ca="1">AVERAGE(OFFSET($EN$3,0,0,'Données projet'!$E$15+1,1))-AVERAGE(OFFSET($H$3,0,0,'Données projet'!$E$15+1,1))</f>
        <v>274.14900959323484</v>
      </c>
      <c r="EP148" s="59">
        <f t="shared" si="154"/>
        <v>130.44590390921582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24.19657988076515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24.19657988076515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-2.2737367544323206E-13</v>
      </c>
      <c r="FF148" s="17">
        <f>FE148*VLOOKUP('Données projet'!$B$16,Paramètres!$A$1:$I$89,3,0)*VLOOKUP('Données projet'!$B$16,Paramètres!$A$1:$I$89,5,0)</f>
        <v>-1.3596945791505279E-13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405.42845699663462</v>
      </c>
      <c r="FK148" s="59">
        <f t="shared" si="156"/>
        <v>292.26503163353146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65.465059265456063</v>
      </c>
      <c r="FR148" s="21">
        <f>EXP(-LN(2)/25)*FR147+(1-EXP(-LN(2)/25))/(LN(2)/25)*Calculateur!FM148*Calculateur!FO148*VLOOKUP('Données projet'!$B$16,Paramètres!$A$1:$I$89,3,0)*0.475*44/12</f>
        <v>18.707304740573012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84.172364006029071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-2.2737367544323206E-13</v>
      </c>
      <c r="GA148" s="17">
        <f>FZ148*VLOOKUP('Données projet'!$B$17,Paramètres!$A$1:$I$89,3,0)*VLOOKUP('Données projet'!$B$17,Paramètres!$A$1:$I$89,5,0)</f>
        <v>-1.3596945791505279E-13</v>
      </c>
      <c r="GB148" s="13" t="e">
        <f t="shared" si="157"/>
        <v>#NUM!</v>
      </c>
      <c r="GC148" s="20" t="e">
        <f t="shared" si="133"/>
        <v>#NUM!</v>
      </c>
      <c r="GD148" s="59" t="e">
        <f t="shared" si="134"/>
        <v>#NUM!</v>
      </c>
      <c r="GE148" s="59">
        <f ca="1">AVERAGE(OFFSET($GD$3,0,0,'Données projet'!$E$17+1,1))-AVERAGE(OFFSET($H$3,0,0,'Données projet'!$E$17+1,1))</f>
        <v>405.42845699663462</v>
      </c>
      <c r="GF148" s="59">
        <f t="shared" si="158"/>
        <v>292.26503163353146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65.465059265456063</v>
      </c>
      <c r="GM148" s="21">
        <f>EXP(-LN(2)/25)*GM147+(1-EXP(-LN(2)/25))/(LN(2)/25)*Calculateur!GH148*Calculateur!GJ148*VLOOKUP('Données projet'!$B$17,Paramètres!$A$1:$I$89,3,0)*0.475*44/12</f>
        <v>18.707304740573012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84.172364006029071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-5.3205440053716299E-14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198.26255998041</v>
      </c>
      <c r="T149" s="59">
        <f t="shared" si="142"/>
        <v>238.62101708181166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19.990637906046118</v>
      </c>
      <c r="AA149" s="21">
        <f>EXP(-LN(2)/25)*AA148+(1-EXP(-LN(2)/25))/(LN(2)/25)*Calculateur!V149*Calculateur!X149*VLOOKUP('Données projet'!$B$9,Paramètres!$A$1:$I$89,3,0)*0.475*44/12</f>
        <v>5.7373358608516272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25.727973766897744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3.4106051316484809E-13</v>
      </c>
      <c r="AJ149" s="13">
        <f>AI149*VLOOKUP('Données projet'!$B$10,Paramètres!$A$1:$I$89,3,0)*VLOOKUP('Données projet'!$B$10,Paramètres!$A$1:$I$89,5,0)</f>
        <v>1.9065282685915009E-13</v>
      </c>
      <c r="AK149" s="13">
        <f t="shared" si="143"/>
        <v>2.6568987209435707E-12</v>
      </c>
      <c r="AL149" s="20">
        <f t="shared" si="112"/>
        <v>4.959485612423072E-12</v>
      </c>
      <c r="AM149" s="59">
        <f t="shared" si="113"/>
        <v>293.33333333333826</v>
      </c>
      <c r="AN149" s="59">
        <f ca="1">AVERAGE(OFFSET($AM$3,0,0,'Données projet'!$E$10+1,1))-AVERAGE(OFFSET($H$3,0,0,'Données projet'!$E$10+1,1))</f>
        <v>347.02720636703873</v>
      </c>
      <c r="AO149" s="59">
        <f t="shared" si="144"/>
        <v>394.03759949558702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43.63743588559803</v>
      </c>
      <c r="AV149" s="21">
        <f>EXP(-LN(2)/25)*AV148+(1-EXP(-LN(2)/25))/(LN(2)/25)*Calculateur!AQ149*Calculateur!AS149*VLOOKUP('Données projet'!$B$10,Paramètres!$A$1:$I$89,3,0)*0.475*44/12</f>
        <v>12.211037273655519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55.848473159253551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-3.4106051316484809E-13</v>
      </c>
      <c r="BE149" s="13">
        <f>BD149*VLOOKUP('Données projet'!$B$11,Paramètres!$A$1:$I$89,3,0)*VLOOKUP('Données projet'!$B$11,Paramètres!$A$1:$I$89,5,0)</f>
        <v>-2.0395418687257919E-13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378.75660696651238</v>
      </c>
      <c r="BJ149" s="59">
        <f t="shared" si="146"/>
        <v>371.70674704563288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43.167209508996173</v>
      </c>
      <c r="BQ149" s="21">
        <f>EXP(-LN(2)/25)*BQ148+(1-EXP(-LN(2)/25))/(LN(2)/25)*Calculateur!BL149*Calculateur!BN149*VLOOKUP('Données projet'!$B$11,Paramètres!$A$1:$I$89,3,0)*0.475*44/12</f>
        <v>11.798389194719471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54.965598703715642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4.833333333333333</v>
      </c>
      <c r="BY149" s="12">
        <f>IF('Données projet'!$A$114&gt;35,BY148+BX149-CG148,IF(A149&lt;'Données projet'!$A$114,$BV$205^A149,IF(A149='Données projet'!$A$114,'Données projet'!$B$114,BY148+BX149-CG148)))</f>
        <v>246.16666666666725</v>
      </c>
      <c r="BZ149" s="13">
        <f>BY149*VLOOKUP('Données projet'!$B$12,Paramètres!$A$1:$I$89,3,0)*VLOOKUP('Données projet'!$B$12,Paramètres!$A$1:$I$89,5,0)</f>
        <v>249.61300000000062</v>
      </c>
      <c r="CA149" s="13">
        <f t="shared" si="147"/>
        <v>60.503063156565602</v>
      </c>
      <c r="CB149" s="20">
        <f t="shared" si="118"/>
        <v>540.11880999768607</v>
      </c>
      <c r="CC149" s="59">
        <f t="shared" si="119"/>
        <v>833.45214333101944</v>
      </c>
      <c r="CD149" s="59">
        <f ca="1">AVERAGE(OFFSET($CC$3,0,0,'Données projet'!$E$12+1,1))-AVERAGE(OFFSET($H$3,0,0,'Données projet'!$E$12+1,1))</f>
        <v>410.75375635525211</v>
      </c>
      <c r="CE149" s="59">
        <f t="shared" si="148"/>
        <v>183.55513001437367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37.60820685376553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37.60820685376553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5.833333333333333</v>
      </c>
      <c r="CT149" s="12">
        <f>IF('Données projet'!$A$140&gt;35,CT148+CS149-DB148,IF(A149&lt;'Données projet'!$A$140,$CQ$205^A149,IF(A149='Données projet'!$A$140,'Données projet'!$B$140,CT148+CS149-DB148)))</f>
        <v>345.16666666666646</v>
      </c>
      <c r="CU149" s="17">
        <f>CT149*VLOOKUP('Données projet'!$B$13,Paramètres!$A$1:$I$89,3,0)*VLOOKUP('Données projet'!$B$13,Paramètres!$A$1:$I$89,5,0)</f>
        <v>312.30679999999984</v>
      </c>
      <c r="CV149" s="13">
        <f t="shared" si="149"/>
        <v>73.750373761938917</v>
      </c>
      <c r="CW149" s="20">
        <f t="shared" si="121"/>
        <v>672.38291096871001</v>
      </c>
      <c r="CX149" s="59">
        <f t="shared" si="122"/>
        <v>965.71624430204338</v>
      </c>
      <c r="CY149" s="59">
        <f ca="1">AVERAGE(OFFSET($CX$3,0,0,'Données projet'!$E$13+1,1))-AVERAGE(OFFSET($H$3,0,0,'Données projet'!$E$13+1,1))</f>
        <v>436.12708882925142</v>
      </c>
      <c r="CZ149" s="59">
        <f t="shared" si="150"/>
        <v>217.65884352525285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39.455019404763817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39.455019404763817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3.4106051316484809E-13</v>
      </c>
      <c r="DP149" s="17">
        <f>DO149*VLOOKUP('Données projet'!$B$14,Paramètres!$A$1:$I$89,3,0)*VLOOKUP('Données projet'!$B$14,Paramètres!$A$1:$I$89,5,0)</f>
        <v>3.2455318432766944E-13</v>
      </c>
      <c r="DQ149" s="13">
        <f t="shared" si="151"/>
        <v>4.2513245787534721E-12</v>
      </c>
      <c r="DR149" s="20">
        <f t="shared" si="124"/>
        <v>7.9696537706996534E-12</v>
      </c>
      <c r="DS149" s="59">
        <f t="shared" si="125"/>
        <v>293.33333333334127</v>
      </c>
      <c r="DT149" s="59">
        <f ca="1">AVERAGE(OFFSET($DS$3,0,0,'Données projet'!$E$14+1,1))-AVERAGE(OFFSET($H$3,0,0,'Données projet'!$E$14+1,1))</f>
        <v>735.50267870886194</v>
      </c>
      <c r="DU149" s="59">
        <f t="shared" si="152"/>
        <v>525.80345400853275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115.15425096305279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115.15425096305279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4.833333333333333</v>
      </c>
      <c r="EJ149" s="12">
        <f>IF('Données projet'!$A$192&gt;35,EJ148+EI149-ER148,IF(A149&lt;'Données projet'!$A$192,$EG$205^A149,IF(A149='Données projet'!$A$192,'Données projet'!$B$192,EJ148+EI149-ER148)))</f>
        <v>246.16666666666725</v>
      </c>
      <c r="EK149" s="17">
        <f>EJ149*VLOOKUP('Données projet'!$B$15,Paramètres!$A$1:$I$89,3,0)*VLOOKUP('Données projet'!$B$15,Paramètres!$A$1:$I$89,5,0)</f>
        <v>157.44820000000038</v>
      </c>
      <c r="EL149" s="13">
        <f t="shared" si="153"/>
        <v>40.266412346008828</v>
      </c>
      <c r="EM149" s="20">
        <f t="shared" si="127"/>
        <v>344.352949835966</v>
      </c>
      <c r="EN149" s="59">
        <f t="shared" si="128"/>
        <v>637.68628316929926</v>
      </c>
      <c r="EO149" s="59">
        <f ca="1">AVERAGE(OFFSET($EN$3,0,0,'Données projet'!$E$15+1,1))-AVERAGE(OFFSET($H$3,0,0,'Données projet'!$E$15+1,1))</f>
        <v>274.14900959323484</v>
      </c>
      <c r="EP149" s="59">
        <f t="shared" si="154"/>
        <v>130.44590390921582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23.722099707759796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23.722099707759796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-2.2737367544323206E-13</v>
      </c>
      <c r="FF149" s="17">
        <f>FE149*VLOOKUP('Données projet'!$B$16,Paramètres!$A$1:$I$89,3,0)*VLOOKUP('Données projet'!$B$16,Paramètres!$A$1:$I$89,5,0)</f>
        <v>-1.3596945791505279E-13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405.42845699663462</v>
      </c>
      <c r="FK149" s="59">
        <f t="shared" si="156"/>
        <v>292.26503163353146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64.181329383003884</v>
      </c>
      <c r="FR149" s="21">
        <f>EXP(-LN(2)/25)*FR148+(1-EXP(-LN(2)/25))/(LN(2)/25)*Calculateur!FM149*Calculateur!FO149*VLOOKUP('Données projet'!$B$16,Paramètres!$A$1:$I$89,3,0)*0.475*44/12</f>
        <v>18.195752508667642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82.377081891671523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-2.2737367544323206E-13</v>
      </c>
      <c r="GA149" s="17">
        <f>FZ149*VLOOKUP('Données projet'!$B$17,Paramètres!$A$1:$I$89,3,0)*VLOOKUP('Données projet'!$B$17,Paramètres!$A$1:$I$89,5,0)</f>
        <v>-1.3596945791505279E-13</v>
      </c>
      <c r="GB149" s="13" t="e">
        <f t="shared" si="157"/>
        <v>#NUM!</v>
      </c>
      <c r="GC149" s="20" t="e">
        <f t="shared" si="133"/>
        <v>#NUM!</v>
      </c>
      <c r="GD149" s="59" t="e">
        <f t="shared" si="134"/>
        <v>#NUM!</v>
      </c>
      <c r="GE149" s="59">
        <f ca="1">AVERAGE(OFFSET($GD$3,0,0,'Données projet'!$E$17+1,1))-AVERAGE(OFFSET($H$3,0,0,'Données projet'!$E$17+1,1))</f>
        <v>405.42845699663462</v>
      </c>
      <c r="GF149" s="59">
        <f t="shared" si="158"/>
        <v>292.26503163353146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64.181329383003884</v>
      </c>
      <c r="GM149" s="21">
        <f>EXP(-LN(2)/25)*GM148+(1-EXP(-LN(2)/25))/(LN(2)/25)*Calculateur!GH149*Calculateur!GJ149*VLOOKUP('Données projet'!$B$17,Paramètres!$A$1:$I$89,3,0)*0.475*44/12</f>
        <v>18.195752508667642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82.377081891671523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-5.3205440053716299E-14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198.26255998041</v>
      </c>
      <c r="T150" s="59">
        <f t="shared" si="142"/>
        <v>238.62101708181166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19.598633689793708</v>
      </c>
      <c r="AA150" s="21">
        <f>EXP(-LN(2)/25)*AA149+(1-EXP(-LN(2)/25))/(LN(2)/25)*Calculateur!V150*Calculateur!X150*VLOOKUP('Données projet'!$B$9,Paramètres!$A$1:$I$89,3,0)*0.475*44/12</f>
        <v>5.5804481100232595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25.179081799816966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3.4106051316484809E-13</v>
      </c>
      <c r="AJ150" s="13">
        <f>AI150*VLOOKUP('Données projet'!$B$10,Paramètres!$A$1:$I$89,3,0)*VLOOKUP('Données projet'!$B$10,Paramètres!$A$1:$I$89,5,0)</f>
        <v>1.9065282685915009E-13</v>
      </c>
      <c r="AK150" s="13">
        <f t="shared" si="143"/>
        <v>2.6568987209435707E-12</v>
      </c>
      <c r="AL150" s="20">
        <f t="shared" si="112"/>
        <v>4.959485612423072E-12</v>
      </c>
      <c r="AM150" s="59">
        <f t="shared" si="113"/>
        <v>293.33333333333826</v>
      </c>
      <c r="AN150" s="59">
        <f ca="1">AVERAGE(OFFSET($AM$3,0,0,'Données projet'!$E$10+1,1))-AVERAGE(OFFSET($H$3,0,0,'Données projet'!$E$10+1,1))</f>
        <v>347.02720636703873</v>
      </c>
      <c r="AO150" s="59">
        <f t="shared" si="144"/>
        <v>394.03759949558702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42.78173238408921</v>
      </c>
      <c r="AV150" s="21">
        <f>EXP(-LN(2)/25)*AV149+(1-EXP(-LN(2)/25))/(LN(2)/25)*Calculateur!AQ150*Calculateur!AS150*VLOOKUP('Données projet'!$B$10,Paramètres!$A$1:$I$89,3,0)*0.475*44/12</f>
        <v>11.877125817256868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54.658858201346078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-3.4106051316484809E-13</v>
      </c>
      <c r="BE150" s="13">
        <f>BD150*VLOOKUP('Données projet'!$B$11,Paramètres!$A$1:$I$89,3,0)*VLOOKUP('Données projet'!$B$11,Paramètres!$A$1:$I$89,5,0)</f>
        <v>-2.0395418687257919E-13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378.75660696651238</v>
      </c>
      <c r="BJ150" s="59">
        <f t="shared" si="146"/>
        <v>371.70674704563288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42.320726859922743</v>
      </c>
      <c r="BQ150" s="21">
        <f>EXP(-LN(2)/25)*BQ149+(1-EXP(-LN(2)/25))/(LN(2)/25)*Calculateur!BL150*Calculateur!BN150*VLOOKUP('Données projet'!$B$11,Paramètres!$A$1:$I$89,3,0)*0.475*44/12</f>
        <v>11.475761621739546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53.796488481662287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4.833333333333333</v>
      </c>
      <c r="BY150" s="12">
        <f>IF('Données projet'!$A$114&gt;35,BY149+BX150-CG149,IF(A150&lt;'Données projet'!$A$114,$BV$205^A150,IF(A150='Données projet'!$A$114,'Données projet'!$B$114,BY149+BX150-CG149)))</f>
        <v>251.0000000000006</v>
      </c>
      <c r="BZ150" s="13">
        <f>BY150*VLOOKUP('Données projet'!$B$12,Paramètres!$A$1:$I$89,3,0)*VLOOKUP('Données projet'!$B$12,Paramètres!$A$1:$I$89,5,0)</f>
        <v>254.51400000000064</v>
      </c>
      <c r="CA150" s="13">
        <f t="shared" si="147"/>
        <v>61.551537008473076</v>
      </c>
      <c r="CB150" s="20">
        <f t="shared" si="118"/>
        <v>550.48081028975832</v>
      </c>
      <c r="CC150" s="59">
        <f t="shared" si="119"/>
        <v>843.8141436230917</v>
      </c>
      <c r="CD150" s="59">
        <f ca="1">AVERAGE(OFFSET($CC$3,0,0,'Données projet'!$E$12+1,1))-AVERAGE(OFFSET($H$3,0,0,'Données projet'!$E$12+1,1))</f>
        <v>410.75375635525211</v>
      </c>
      <c r="CE150" s="59">
        <f t="shared" si="148"/>
        <v>183.55513001437367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36.870732856104354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36.870732856104354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>
        <f>VLOOKUP(A150,'Données projet'!$A$139:$I$159,2,0)</f>
        <v>351</v>
      </c>
      <c r="CR150" s="12">
        <f>VLOOKUP(A150,'Données projet'!$A$139:$I$159,9,0)</f>
        <v>5.833333333333333</v>
      </c>
      <c r="CS150" s="12">
        <f t="array" ref="CS150">INDEX(CR:CR,MIN(IF(ISNUMBER(CR150:CR346),ROW(CR150:CR346),"")))</f>
        <v>5.833333333333333</v>
      </c>
      <c r="CT150" s="12">
        <f>IF('Données projet'!$A$140&gt;35,CT149+CS150-DB149,IF(A150&lt;'Données projet'!$A$140,$CQ$205^A150,IF(A150='Données projet'!$A$140,'Données projet'!$B$140,CT149+CS150-DB149)))</f>
        <v>350.99999999999977</v>
      </c>
      <c r="CU150" s="17">
        <f>CT150*VLOOKUP('Données projet'!$B$13,Paramètres!$A$1:$I$89,3,0)*VLOOKUP('Données projet'!$B$13,Paramètres!$A$1:$I$89,5,0)</f>
        <v>317.58479999999975</v>
      </c>
      <c r="CV150" s="13">
        <f t="shared" si="149"/>
        <v>74.85060296671989</v>
      </c>
      <c r="CW150" s="20">
        <f t="shared" si="121"/>
        <v>683.49166016703657</v>
      </c>
      <c r="CX150" s="59">
        <f t="shared" si="122"/>
        <v>976.82499350036983</v>
      </c>
      <c r="CY150" s="59">
        <f ca="1">AVERAGE(OFFSET($CX$3,0,0,'Données projet'!$E$13+1,1))-AVERAGE(OFFSET($H$3,0,0,'Données projet'!$E$13+1,1))</f>
        <v>436.12708882925142</v>
      </c>
      <c r="CZ150" s="59">
        <f t="shared" si="150"/>
        <v>217.65884352525285</v>
      </c>
      <c r="DA150" s="15">
        <f>IF(ISNA(VLOOKUP(A150,'Données projet'!$A$139:$I$159,3,0)),0,VLOOKUP(A150,'Données projet'!$A$139:$I$159,3,0))</f>
        <v>12</v>
      </c>
      <c r="DB150" s="15">
        <f>IF(ISNA(VLOOKUP(A150,'Données projet'!$A$139:$I$159,4,0)),0,VLOOKUP(A150,'Données projet'!$A$139:$I$159,4,0))</f>
        <v>48</v>
      </c>
      <c r="DC150" s="16">
        <f>IF(ISNA(VLOOKUP(A150,'Données projet'!$A$139:$I$159,5,0)),0%,VLOOKUP(A150,'Données projet'!$A$139:$I$159,5,0)*VLOOKUP('Données projet'!$B$13,Paramètres!$A$1:$I$89,7,0))</f>
        <v>0.25800000000000001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51.068173898409093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51.068173898409093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3.4106051316484809E-13</v>
      </c>
      <c r="DP150" s="17">
        <f>DO150*VLOOKUP('Données projet'!$B$14,Paramètres!$A$1:$I$89,3,0)*VLOOKUP('Données projet'!$B$14,Paramètres!$A$1:$I$89,5,0)</f>
        <v>3.2455318432766944E-13</v>
      </c>
      <c r="DQ150" s="13">
        <f t="shared" si="151"/>
        <v>4.2513245787534721E-12</v>
      </c>
      <c r="DR150" s="20">
        <f t="shared" si="124"/>
        <v>7.9696537706996534E-12</v>
      </c>
      <c r="DS150" s="59">
        <f t="shared" si="125"/>
        <v>293.33333333334127</v>
      </c>
      <c r="DT150" s="59">
        <f ca="1">AVERAGE(OFFSET($DS$3,0,0,'Données projet'!$E$14+1,1))-AVERAGE(OFFSET($H$3,0,0,'Données projet'!$E$14+1,1))</f>
        <v>735.50267870886194</v>
      </c>
      <c r="DU150" s="59">
        <f t="shared" si="152"/>
        <v>525.80345400853275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112.89614633882506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112.89614633882506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4.833333333333333</v>
      </c>
      <c r="EJ150" s="12">
        <f>IF('Données projet'!$A$192&gt;35,EJ149+EI150-ER149,IF(A150&lt;'Données projet'!$A$192,$EG$205^A150,IF(A150='Données projet'!$A$192,'Données projet'!$B$192,EJ149+EI150-ER149)))</f>
        <v>251.0000000000006</v>
      </c>
      <c r="EK150" s="17">
        <f>EJ150*VLOOKUP('Données projet'!$B$15,Paramètres!$A$1:$I$89,3,0)*VLOOKUP('Données projet'!$B$15,Paramètres!$A$1:$I$89,5,0)</f>
        <v>160.53960000000038</v>
      </c>
      <c r="EL150" s="13">
        <f t="shared" si="153"/>
        <v>40.964199833985475</v>
      </c>
      <c r="EM150" s="20">
        <f t="shared" si="127"/>
        <v>350.95245137752539</v>
      </c>
      <c r="EN150" s="59">
        <f t="shared" si="128"/>
        <v>644.28578471085871</v>
      </c>
      <c r="EO150" s="59">
        <f ca="1">AVERAGE(OFFSET($EN$3,0,0,'Données projet'!$E$15+1,1))-AVERAGE(OFFSET($H$3,0,0,'Données projet'!$E$15+1,1))</f>
        <v>274.14900959323484</v>
      </c>
      <c r="EP150" s="59">
        <f t="shared" si="154"/>
        <v>130.44590390921582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23.256923801542747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23.256923801542747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-2.2737367544323206E-13</v>
      </c>
      <c r="FF150" s="17">
        <f>FE150*VLOOKUP('Données projet'!$B$16,Paramètres!$A$1:$I$89,3,0)*VLOOKUP('Données projet'!$B$16,Paramètres!$A$1:$I$89,5,0)</f>
        <v>-1.3596945791505279E-13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405.42845699663462</v>
      </c>
      <c r="FK150" s="59">
        <f t="shared" si="156"/>
        <v>292.26503163353146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62.922772660548681</v>
      </c>
      <c r="FR150" s="21">
        <f>EXP(-LN(2)/25)*FR149+(1-EXP(-LN(2)/25))/(LN(2)/25)*Calculateur!FM150*Calculateur!FO150*VLOOKUP('Données projet'!$B$16,Paramètres!$A$1:$I$89,3,0)*0.475*44/12</f>
        <v>17.698188699445087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80.620961359993771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-2.2737367544323206E-13</v>
      </c>
      <c r="GA150" s="17">
        <f>FZ150*VLOOKUP('Données projet'!$B$17,Paramètres!$A$1:$I$89,3,0)*VLOOKUP('Données projet'!$B$17,Paramètres!$A$1:$I$89,5,0)</f>
        <v>-1.3596945791505279E-13</v>
      </c>
      <c r="GB150" s="13" t="e">
        <f t="shared" si="157"/>
        <v>#NUM!</v>
      </c>
      <c r="GC150" s="20" t="e">
        <f t="shared" si="133"/>
        <v>#NUM!</v>
      </c>
      <c r="GD150" s="59" t="e">
        <f t="shared" si="134"/>
        <v>#NUM!</v>
      </c>
      <c r="GE150" s="59">
        <f ca="1">AVERAGE(OFFSET($GD$3,0,0,'Données projet'!$E$17+1,1))-AVERAGE(OFFSET($H$3,0,0,'Données projet'!$E$17+1,1))</f>
        <v>405.42845699663462</v>
      </c>
      <c r="GF150" s="59">
        <f t="shared" si="158"/>
        <v>292.26503163353146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62.922772660548681</v>
      </c>
      <c r="GM150" s="21">
        <f>EXP(-LN(2)/25)*GM149+(1-EXP(-LN(2)/25))/(LN(2)/25)*Calculateur!GH150*Calculateur!GJ150*VLOOKUP('Données projet'!$B$17,Paramètres!$A$1:$I$89,3,0)*0.475*44/12</f>
        <v>17.698188699445087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80.620961359993771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-5.3205440053716299E-14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198.26255998041</v>
      </c>
      <c r="T151" s="59">
        <f t="shared" si="142"/>
        <v>238.62101708181166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19.214316437123045</v>
      </c>
      <c r="AA151" s="21">
        <f>EXP(-LN(2)/25)*AA150+(1-EXP(-LN(2)/25))/(LN(2)/25)*Calculateur!V151*Calculateur!X151*VLOOKUP('Données projet'!$B$9,Paramètres!$A$1:$I$89,3,0)*0.475*44/12</f>
        <v>5.4278504629916613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24.642166900114706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3.4106051316484809E-13</v>
      </c>
      <c r="AJ151" s="13">
        <f>AI151*VLOOKUP('Données projet'!$B$10,Paramètres!$A$1:$I$89,3,0)*VLOOKUP('Données projet'!$B$10,Paramètres!$A$1:$I$89,5,0)</f>
        <v>1.9065282685915009E-13</v>
      </c>
      <c r="AK151" s="13">
        <f t="shared" si="143"/>
        <v>2.6568987209435707E-12</v>
      </c>
      <c r="AL151" s="20">
        <f t="shared" si="112"/>
        <v>4.959485612423072E-12</v>
      </c>
      <c r="AM151" s="59">
        <f t="shared" si="113"/>
        <v>293.33333333333826</v>
      </c>
      <c r="AN151" s="59">
        <f ca="1">AVERAGE(OFFSET($AM$3,0,0,'Données projet'!$E$10+1,1))-AVERAGE(OFFSET($H$3,0,0,'Données projet'!$E$10+1,1))</f>
        <v>347.02720636703873</v>
      </c>
      <c r="AO151" s="59">
        <f t="shared" si="144"/>
        <v>394.03759949558702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41.942808706317379</v>
      </c>
      <c r="AV151" s="21">
        <f>EXP(-LN(2)/25)*AV150+(1-EXP(-LN(2)/25))/(LN(2)/25)*Calculateur!AQ151*Calculateur!AS151*VLOOKUP('Données projet'!$B$10,Paramètres!$A$1:$I$89,3,0)*0.475*44/12</f>
        <v>11.552345187193078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53.495153893510455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-3.4106051316484809E-13</v>
      </c>
      <c r="BE151" s="13">
        <f>BD151*VLOOKUP('Données projet'!$B$11,Paramètres!$A$1:$I$89,3,0)*VLOOKUP('Données projet'!$B$11,Paramètres!$A$1:$I$89,5,0)</f>
        <v>-2.0395418687257919E-13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378.75660696651238</v>
      </c>
      <c r="BJ151" s="59">
        <f t="shared" si="146"/>
        <v>371.70674704563288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41.490843219294213</v>
      </c>
      <c r="BQ151" s="21">
        <f>EXP(-LN(2)/25)*BQ150+(1-EXP(-LN(2)/25))/(LN(2)/25)*Calculateur!BL151*Calculateur!BN151*VLOOKUP('Données projet'!$B$11,Paramètres!$A$1:$I$89,3,0)*0.475*44/12</f>
        <v>11.161956316709002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52.652799536003215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4.833333333333333</v>
      </c>
      <c r="BY151" s="12">
        <f>IF('Données projet'!$A$114&gt;35,BY150+BX151-CG150,IF(A151&lt;'Données projet'!$A$114,$BV$205^A151,IF(A151='Données projet'!$A$114,'Données projet'!$B$114,BY150+BX151-CG150)))</f>
        <v>255.83333333333394</v>
      </c>
      <c r="BZ151" s="13">
        <f>BY151*VLOOKUP('Données projet'!$B$12,Paramètres!$A$1:$I$89,3,0)*VLOOKUP('Données projet'!$B$12,Paramètres!$A$1:$I$89,5,0)</f>
        <v>259.41500000000059</v>
      </c>
      <c r="CA151" s="13">
        <f t="shared" si="147"/>
        <v>62.597663253609184</v>
      </c>
      <c r="CB151" s="20">
        <f t="shared" si="118"/>
        <v>560.83872183337041</v>
      </c>
      <c r="CC151" s="59">
        <f t="shared" si="119"/>
        <v>854.17205516670379</v>
      </c>
      <c r="CD151" s="59">
        <f ca="1">AVERAGE(OFFSET($CC$3,0,0,'Données projet'!$E$12+1,1))-AVERAGE(OFFSET($H$3,0,0,'Données projet'!$E$12+1,1))</f>
        <v>410.75375635525211</v>
      </c>
      <c r="CE151" s="59">
        <f t="shared" si="148"/>
        <v>183.55513001437367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36.147720273722591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36.147720273722591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5.916666666666667</v>
      </c>
      <c r="CT151" s="12">
        <f>IF('Données projet'!$A$140&gt;35,CT150+CS151-DB150,IF(A151&lt;'Données projet'!$A$140,$CQ$205^A151,IF(A151='Données projet'!$A$140,'Données projet'!$B$140,CT150+CS151-DB150)))</f>
        <v>308.91666666666646</v>
      </c>
      <c r="CU151" s="17">
        <f>CT151*VLOOKUP('Données projet'!$B$13,Paramètres!$A$1:$I$89,3,0)*VLOOKUP('Données projet'!$B$13,Paramètres!$A$1:$I$89,5,0)</f>
        <v>279.5077999999998</v>
      </c>
      <c r="CV151" s="13">
        <f t="shared" si="149"/>
        <v>66.862982223469302</v>
      </c>
      <c r="CW151" s="20">
        <f t="shared" si="121"/>
        <v>603.26244570587539</v>
      </c>
      <c r="CX151" s="59">
        <f t="shared" si="122"/>
        <v>896.59577903920876</v>
      </c>
      <c r="CY151" s="59">
        <f ca="1">AVERAGE(OFFSET($CX$3,0,0,'Données projet'!$E$13+1,1))-AVERAGE(OFFSET($H$3,0,0,'Données projet'!$E$13+1,1))</f>
        <v>436.12708882925142</v>
      </c>
      <c r="CZ151" s="59">
        <f t="shared" si="150"/>
        <v>217.65884352525285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50.066758156771705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50.066758156771705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3.4106051316484809E-13</v>
      </c>
      <c r="DP151" s="17">
        <f>DO151*VLOOKUP('Données projet'!$B$14,Paramètres!$A$1:$I$89,3,0)*VLOOKUP('Données projet'!$B$14,Paramètres!$A$1:$I$89,5,0)</f>
        <v>3.2455318432766944E-13</v>
      </c>
      <c r="DQ151" s="13">
        <f t="shared" si="151"/>
        <v>4.2513245787534721E-12</v>
      </c>
      <c r="DR151" s="20">
        <f t="shared" si="124"/>
        <v>7.9696537706996534E-12</v>
      </c>
      <c r="DS151" s="59">
        <f t="shared" si="125"/>
        <v>293.33333333334127</v>
      </c>
      <c r="DT151" s="59">
        <f ca="1">AVERAGE(OFFSET($DS$3,0,0,'Données projet'!$E$14+1,1))-AVERAGE(OFFSET($H$3,0,0,'Données projet'!$E$14+1,1))</f>
        <v>735.50267870886194</v>
      </c>
      <c r="DU151" s="59">
        <f t="shared" si="152"/>
        <v>525.80345400853275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110.68232176897062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110.68232176897062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4.833333333333333</v>
      </c>
      <c r="EJ151" s="12">
        <f>IF('Données projet'!$A$192&gt;35,EJ150+EI151-ER150,IF(A151&lt;'Données projet'!$A$192,$EG$205^A151,IF(A151='Données projet'!$A$192,'Données projet'!$B$192,EJ150+EI151-ER150)))</f>
        <v>255.83333333333394</v>
      </c>
      <c r="EK151" s="17">
        <f>EJ151*VLOOKUP('Données projet'!$B$15,Paramètres!$A$1:$I$89,3,0)*VLOOKUP('Données projet'!$B$15,Paramètres!$A$1:$I$89,5,0)</f>
        <v>163.63100000000037</v>
      </c>
      <c r="EL151" s="13">
        <f t="shared" si="153"/>
        <v>41.660424926649426</v>
      </c>
      <c r="EM151" s="20">
        <f t="shared" si="127"/>
        <v>357.54923174724837</v>
      </c>
      <c r="EN151" s="59">
        <f t="shared" si="128"/>
        <v>650.88256508058168</v>
      </c>
      <c r="EO151" s="59">
        <f ca="1">AVERAGE(OFFSET($EN$3,0,0,'Données projet'!$E$15+1,1))-AVERAGE(OFFSET($H$3,0,0,'Données projet'!$E$15+1,1))</f>
        <v>274.14900959323484</v>
      </c>
      <c r="EP151" s="59">
        <f t="shared" si="154"/>
        <v>130.44590390921582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22.800869711117329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22.800869711117329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-2.2737367544323206E-13</v>
      </c>
      <c r="FF151" s="17">
        <f>FE151*VLOOKUP('Données projet'!$B$16,Paramètres!$A$1:$I$89,3,0)*VLOOKUP('Données projet'!$B$16,Paramètres!$A$1:$I$89,5,0)</f>
        <v>-1.3596945791505279E-13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405.42845699663462</v>
      </c>
      <c r="FK151" s="59">
        <f t="shared" si="156"/>
        <v>292.26503163353146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61.688895467777023</v>
      </c>
      <c r="FR151" s="21">
        <f>EXP(-LN(2)/25)*FR150+(1-EXP(-LN(2)/25))/(LN(2)/25)*Calculateur!FM151*Calculateur!FO151*VLOOKUP('Données projet'!$B$16,Paramètres!$A$1:$I$89,3,0)*0.475*44/12</f>
        <v>17.214230798751466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78.903126266528488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-2.2737367544323206E-13</v>
      </c>
      <c r="GA151" s="17">
        <f>FZ151*VLOOKUP('Données projet'!$B$17,Paramètres!$A$1:$I$89,3,0)*VLOOKUP('Données projet'!$B$17,Paramètres!$A$1:$I$89,5,0)</f>
        <v>-1.3596945791505279E-13</v>
      </c>
      <c r="GB151" s="13" t="e">
        <f t="shared" si="157"/>
        <v>#NUM!</v>
      </c>
      <c r="GC151" s="20" t="e">
        <f t="shared" si="133"/>
        <v>#NUM!</v>
      </c>
      <c r="GD151" s="59" t="e">
        <f t="shared" si="134"/>
        <v>#NUM!</v>
      </c>
      <c r="GE151" s="59">
        <f ca="1">AVERAGE(OFFSET($GD$3,0,0,'Données projet'!$E$17+1,1))-AVERAGE(OFFSET($H$3,0,0,'Données projet'!$E$17+1,1))</f>
        <v>405.42845699663462</v>
      </c>
      <c r="GF151" s="59">
        <f t="shared" si="158"/>
        <v>292.26503163353146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61.688895467777023</v>
      </c>
      <c r="GM151" s="21">
        <f>EXP(-LN(2)/25)*GM150+(1-EXP(-LN(2)/25))/(LN(2)/25)*Calculateur!GH151*Calculateur!GJ151*VLOOKUP('Données projet'!$B$17,Paramètres!$A$1:$I$89,3,0)*0.475*44/12</f>
        <v>17.214230798751466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78.903126266528488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-5.3205440053716299E-14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198.26255998041</v>
      </c>
      <c r="T152" s="59">
        <f t="shared" si="142"/>
        <v>238.62101708181166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18.837535411366876</v>
      </c>
      <c r="AA152" s="21">
        <f>EXP(-LN(2)/25)*AA151+(1-EXP(-LN(2)/25))/(LN(2)/25)*Calculateur!V152*Calculateur!X152*VLOOKUP('Données projet'!$B$9,Paramètres!$A$1:$I$89,3,0)*0.475*44/12</f>
        <v>5.2794256066429037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24.116961018009778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3.4106051316484809E-13</v>
      </c>
      <c r="AJ152" s="13">
        <f>AI152*VLOOKUP('Données projet'!$B$10,Paramètres!$A$1:$I$89,3,0)*VLOOKUP('Données projet'!$B$10,Paramètres!$A$1:$I$89,5,0)</f>
        <v>1.9065282685915009E-13</v>
      </c>
      <c r="AK152" s="13">
        <f t="shared" si="143"/>
        <v>2.6568987209435707E-12</v>
      </c>
      <c r="AL152" s="20">
        <f t="shared" si="112"/>
        <v>4.959485612423072E-12</v>
      </c>
      <c r="AM152" s="59">
        <f t="shared" si="113"/>
        <v>293.33333333333826</v>
      </c>
      <c r="AN152" s="59">
        <f ca="1">AVERAGE(OFFSET($AM$3,0,0,'Données projet'!$E$10+1,1))-AVERAGE(OFFSET($H$3,0,0,'Données projet'!$E$10+1,1))</f>
        <v>347.02720636703873</v>
      </c>
      <c r="AO152" s="59">
        <f t="shared" si="144"/>
        <v>394.03759949558702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41.120335810173735</v>
      </c>
      <c r="AV152" s="21">
        <f>EXP(-LN(2)/25)*AV151+(1-EXP(-LN(2)/25))/(LN(2)/25)*Calculateur!AQ152*Calculateur!AS152*VLOOKUP('Données projet'!$B$10,Paramètres!$A$1:$I$89,3,0)*0.475*44/12</f>
        <v>11.236445700537853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52.356781510711585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-3.4106051316484809E-13</v>
      </c>
      <c r="BE152" s="13">
        <f>BD152*VLOOKUP('Données projet'!$B$11,Paramètres!$A$1:$I$89,3,0)*VLOOKUP('Données projet'!$B$11,Paramètres!$A$1:$I$89,5,0)</f>
        <v>-2.0395418687257919E-13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378.75660696651238</v>
      </c>
      <c r="BJ152" s="59">
        <f t="shared" si="146"/>
        <v>371.70674704563288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40.677233090679366</v>
      </c>
      <c r="BQ152" s="21">
        <f>EXP(-LN(2)/25)*BQ151+(1-EXP(-LN(2)/25))/(LN(2)/25)*Calculateur!BL152*Calculateur!BN152*VLOOKUP('Données projet'!$B$11,Paramètres!$A$1:$I$89,3,0)*0.475*44/12</f>
        <v>10.856732034246823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51.533965124926191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4.833333333333333</v>
      </c>
      <c r="BY152" s="12">
        <f>IF('Données projet'!$A$114&gt;35,BY151+BX152-CG151,IF(A152&lt;'Données projet'!$A$114,$BV$205^A152,IF(A152='Données projet'!$A$114,'Données projet'!$B$114,BY151+BX152-CG151)))</f>
        <v>260.66666666666725</v>
      </c>
      <c r="BZ152" s="13">
        <f>BY152*VLOOKUP('Données projet'!$B$12,Paramètres!$A$1:$I$89,3,0)*VLOOKUP('Données projet'!$B$12,Paramètres!$A$1:$I$89,5,0)</f>
        <v>264.31600000000066</v>
      </c>
      <c r="CA152" s="13">
        <f t="shared" si="147"/>
        <v>63.641491358279914</v>
      </c>
      <c r="CB152" s="20">
        <f t="shared" si="118"/>
        <v>571.1926307823386</v>
      </c>
      <c r="CC152" s="59">
        <f t="shared" si="119"/>
        <v>864.52596411567197</v>
      </c>
      <c r="CD152" s="59">
        <f ca="1">AVERAGE(OFFSET($CC$3,0,0,'Données projet'!$E$12+1,1))-AVERAGE(OFFSET($H$3,0,0,'Données projet'!$E$12+1,1))</f>
        <v>410.75375635525211</v>
      </c>
      <c r="CE152" s="59">
        <f t="shared" si="148"/>
        <v>183.55513001437367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35.438885527087209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35.438885527087209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5.916666666666667</v>
      </c>
      <c r="CT152" s="12">
        <f>IF('Données projet'!$A$140&gt;35,CT151+CS152-DB151,IF(A152&lt;'Données projet'!$A$140,$CQ$205^A152,IF(A152='Données projet'!$A$140,'Données projet'!$B$140,CT151+CS152-DB151)))</f>
        <v>314.83333333333314</v>
      </c>
      <c r="CU152" s="17">
        <f>CT152*VLOOKUP('Données projet'!$B$13,Paramètres!$A$1:$I$89,3,0)*VLOOKUP('Données projet'!$B$13,Paramètres!$A$1:$I$89,5,0)</f>
        <v>284.86119999999983</v>
      </c>
      <c r="CV152" s="13">
        <f t="shared" si="149"/>
        <v>67.993288798157437</v>
      </c>
      <c r="CW152" s="20">
        <f t="shared" si="121"/>
        <v>614.55490132345722</v>
      </c>
      <c r="CX152" s="59">
        <f t="shared" si="122"/>
        <v>907.88823465679047</v>
      </c>
      <c r="CY152" s="59">
        <f ca="1">AVERAGE(OFFSET($CX$3,0,0,'Données projet'!$E$13+1,1))-AVERAGE(OFFSET($H$3,0,0,'Données projet'!$E$13+1,1))</f>
        <v>436.12708882925142</v>
      </c>
      <c r="CZ152" s="59">
        <f t="shared" si="150"/>
        <v>217.65884352525285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49.08497956702454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49.08497956702454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3.4106051316484809E-13</v>
      </c>
      <c r="DP152" s="17">
        <f>DO152*VLOOKUP('Données projet'!$B$14,Paramètres!$A$1:$I$89,3,0)*VLOOKUP('Données projet'!$B$14,Paramètres!$A$1:$I$89,5,0)</f>
        <v>3.2455318432766944E-13</v>
      </c>
      <c r="DQ152" s="13">
        <f t="shared" si="151"/>
        <v>4.2513245787534721E-12</v>
      </c>
      <c r="DR152" s="20">
        <f t="shared" si="124"/>
        <v>7.9696537706996534E-12</v>
      </c>
      <c r="DS152" s="59">
        <f t="shared" si="125"/>
        <v>293.33333333334127</v>
      </c>
      <c r="DT152" s="59">
        <f ca="1">AVERAGE(OFFSET($DS$3,0,0,'Données projet'!$E$14+1,1))-AVERAGE(OFFSET($H$3,0,0,'Données projet'!$E$14+1,1))</f>
        <v>735.50267870886194</v>
      </c>
      <c r="DU152" s="59">
        <f t="shared" si="152"/>
        <v>525.80345400853275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108.51190894863137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108.51190894863137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4.833333333333333</v>
      </c>
      <c r="EJ152" s="12">
        <f>IF('Données projet'!$A$192&gt;35,EJ151+EI152-ER151,IF(A152&lt;'Données projet'!$A$192,$EG$205^A152,IF(A152='Données projet'!$A$192,'Données projet'!$B$192,EJ151+EI152-ER151)))</f>
        <v>260.66666666666725</v>
      </c>
      <c r="EK152" s="17">
        <f>EJ152*VLOOKUP('Données projet'!$B$15,Paramètres!$A$1:$I$89,3,0)*VLOOKUP('Données projet'!$B$15,Paramètres!$A$1:$I$89,5,0)</f>
        <v>166.72240000000036</v>
      </c>
      <c r="EL152" s="13">
        <f t="shared" si="153"/>
        <v>42.355120545154868</v>
      </c>
      <c r="EM152" s="20">
        <f t="shared" si="127"/>
        <v>364.14334828281204</v>
      </c>
      <c r="EN152" s="59">
        <f t="shared" si="128"/>
        <v>657.47668161614536</v>
      </c>
      <c r="EO152" s="59">
        <f ca="1">AVERAGE(OFFSET($EN$3,0,0,'Données projet'!$E$15+1,1))-AVERAGE(OFFSET($H$3,0,0,'Données projet'!$E$15+1,1))</f>
        <v>274.14900959323484</v>
      </c>
      <c r="EP152" s="59">
        <f t="shared" si="154"/>
        <v>130.44590390921582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22.353758563239623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22.353758563239623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-2.2737367544323206E-13</v>
      </c>
      <c r="FF152" s="17">
        <f>FE152*VLOOKUP('Données projet'!$B$16,Paramètres!$A$1:$I$89,3,0)*VLOOKUP('Données projet'!$B$16,Paramètres!$A$1:$I$89,5,0)</f>
        <v>-1.3596945791505279E-13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405.42845699663462</v>
      </c>
      <c r="FK152" s="59">
        <f t="shared" si="156"/>
        <v>292.26503163353146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60.47921385416484</v>
      </c>
      <c r="FR152" s="21">
        <f>EXP(-LN(2)/25)*FR151+(1-EXP(-LN(2)/25))/(LN(2)/25)*Calculateur!FM152*Calculateur!FO152*VLOOKUP('Données projet'!$B$16,Paramètres!$A$1:$I$89,3,0)*0.475*44/12</f>
        <v>16.743506752302551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77.222720606467391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-2.2737367544323206E-13</v>
      </c>
      <c r="GA152" s="17">
        <f>FZ152*VLOOKUP('Données projet'!$B$17,Paramètres!$A$1:$I$89,3,0)*VLOOKUP('Données projet'!$B$17,Paramètres!$A$1:$I$89,5,0)</f>
        <v>-1.3596945791505279E-13</v>
      </c>
      <c r="GB152" s="13" t="e">
        <f t="shared" si="157"/>
        <v>#NUM!</v>
      </c>
      <c r="GC152" s="20" t="e">
        <f t="shared" si="133"/>
        <v>#NUM!</v>
      </c>
      <c r="GD152" s="59" t="e">
        <f t="shared" si="134"/>
        <v>#NUM!</v>
      </c>
      <c r="GE152" s="59">
        <f ca="1">AVERAGE(OFFSET($GD$3,0,0,'Données projet'!$E$17+1,1))-AVERAGE(OFFSET($H$3,0,0,'Données projet'!$E$17+1,1))</f>
        <v>405.42845699663462</v>
      </c>
      <c r="GF152" s="59">
        <f t="shared" si="158"/>
        <v>292.26503163353146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60.47921385416484</v>
      </c>
      <c r="GM152" s="21">
        <f>EXP(-LN(2)/25)*GM151+(1-EXP(-LN(2)/25))/(LN(2)/25)*Calculateur!GH152*Calculateur!GJ152*VLOOKUP('Données projet'!$B$17,Paramètres!$A$1:$I$89,3,0)*0.475*44/12</f>
        <v>16.743506752302551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77.222720606467391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-5.3205440053716299E-14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198.26255998041</v>
      </c>
      <c r="T153" s="59">
        <f t="shared" si="142"/>
        <v>238.62101708181166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18.468142831712051</v>
      </c>
      <c r="AA153" s="21">
        <f>EXP(-LN(2)/25)*AA152+(1-EXP(-LN(2)/25))/(LN(2)/25)*Calculateur!V153*Calculateur!X153*VLOOKUP('Données projet'!$B$9,Paramètres!$A$1:$I$89,3,0)*0.475*44/12</f>
        <v>5.1350594357963271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23.603202267508379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3.4106051316484809E-13</v>
      </c>
      <c r="AJ153" s="13">
        <f>AI153*VLOOKUP('Données projet'!$B$10,Paramètres!$A$1:$I$89,3,0)*VLOOKUP('Données projet'!$B$10,Paramètres!$A$1:$I$89,5,0)</f>
        <v>1.9065282685915009E-13</v>
      </c>
      <c r="AK153" s="13">
        <f t="shared" si="143"/>
        <v>2.6568987209435707E-12</v>
      </c>
      <c r="AL153" s="20">
        <f t="shared" si="112"/>
        <v>4.959485612423072E-12</v>
      </c>
      <c r="AM153" s="59">
        <f t="shared" si="113"/>
        <v>293.33333333333826</v>
      </c>
      <c r="AN153" s="59">
        <f ca="1">AVERAGE(OFFSET($AM$3,0,0,'Données projet'!$E$10+1,1))-AVERAGE(OFFSET($H$3,0,0,'Données projet'!$E$10+1,1))</f>
        <v>347.02720636703873</v>
      </c>
      <c r="AO153" s="59">
        <f t="shared" si="144"/>
        <v>394.03759949558702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40.313991105864538</v>
      </c>
      <c r="AV153" s="21">
        <f>EXP(-LN(2)/25)*AV152+(1-EXP(-LN(2)/25))/(LN(2)/25)*Calculateur!AQ153*Calculateur!AS153*VLOOKUP('Données projet'!$B$10,Paramètres!$A$1:$I$89,3,0)*0.475*44/12</f>
        <v>10.929184501957648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51.243175607822188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-3.4106051316484809E-13</v>
      </c>
      <c r="BE153" s="13">
        <f>BD153*VLOOKUP('Données projet'!$B$11,Paramètres!$A$1:$I$89,3,0)*VLOOKUP('Données projet'!$B$11,Paramètres!$A$1:$I$89,5,0)</f>
        <v>-2.0395418687257919E-13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378.75660696651238</v>
      </c>
      <c r="BJ153" s="59">
        <f t="shared" si="146"/>
        <v>371.70674704563288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39.87957736043348</v>
      </c>
      <c r="BQ153" s="21">
        <f>EXP(-LN(2)/25)*BQ152+(1-EXP(-LN(2)/25))/(LN(2)/25)*Calculateur!BL153*Calculateur!BN153*VLOOKUP('Données projet'!$B$11,Paramètres!$A$1:$I$89,3,0)*0.475*44/12</f>
        <v>10.559854125839619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50.439431486273101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4.833333333333333</v>
      </c>
      <c r="BY153" s="12">
        <f>IF('Données projet'!$A$114&gt;35,BY152+BX153-CG152,IF(A153&lt;'Données projet'!$A$114,$BV$205^A153,IF(A153='Données projet'!$A$114,'Données projet'!$B$114,BY152+BX153-CG152)))</f>
        <v>265.50000000000057</v>
      </c>
      <c r="BZ153" s="13">
        <f>BY153*VLOOKUP('Données projet'!$B$12,Paramètres!$A$1:$I$89,3,0)*VLOOKUP('Données projet'!$B$12,Paramètres!$A$1:$I$89,5,0)</f>
        <v>269.21700000000061</v>
      </c>
      <c r="CA153" s="13">
        <f t="shared" si="147"/>
        <v>64.683068849359728</v>
      </c>
      <c r="CB153" s="20">
        <f t="shared" si="118"/>
        <v>581.54261991263581</v>
      </c>
      <c r="CC153" s="59">
        <f t="shared" si="119"/>
        <v>874.87595324596919</v>
      </c>
      <c r="CD153" s="59">
        <f ca="1">AVERAGE(OFFSET($CC$3,0,0,'Données projet'!$E$12+1,1))-AVERAGE(OFFSET($H$3,0,0,'Données projet'!$E$12+1,1))</f>
        <v>410.75375635525211</v>
      </c>
      <c r="CE153" s="59">
        <f t="shared" si="148"/>
        <v>183.55513001437367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34.743950597486837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34.743950597486837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5.916666666666667</v>
      </c>
      <c r="CT153" s="12">
        <f>IF('Données projet'!$A$140&gt;35,CT152+CS153-DB152,IF(A153&lt;'Données projet'!$A$140,$CQ$205^A153,IF(A153='Données projet'!$A$140,'Données projet'!$B$140,CT152+CS153-DB152)))</f>
        <v>320.74999999999983</v>
      </c>
      <c r="CU153" s="17">
        <f>CT153*VLOOKUP('Données projet'!$B$13,Paramètres!$A$1:$I$89,3,0)*VLOOKUP('Données projet'!$B$13,Paramètres!$A$1:$I$89,5,0)</f>
        <v>290.21459999999985</v>
      </c>
      <c r="CV153" s="13">
        <f t="shared" si="149"/>
        <v>69.121125368427982</v>
      </c>
      <c r="CW153" s="20">
        <f t="shared" si="121"/>
        <v>625.84305501667848</v>
      </c>
      <c r="CX153" s="59">
        <f t="shared" si="122"/>
        <v>919.17638835001185</v>
      </c>
      <c r="CY153" s="59">
        <f ca="1">AVERAGE(OFFSET($CX$3,0,0,'Données projet'!$E$13+1,1))-AVERAGE(OFFSET($H$3,0,0,'Données projet'!$E$13+1,1))</f>
        <v>436.12708882925142</v>
      </c>
      <c r="CZ153" s="59">
        <f t="shared" si="150"/>
        <v>217.65884352525285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48.122453056596505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48.122453056596505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3.4106051316484809E-13</v>
      </c>
      <c r="DP153" s="17">
        <f>DO153*VLOOKUP('Données projet'!$B$14,Paramètres!$A$1:$I$89,3,0)*VLOOKUP('Données projet'!$B$14,Paramètres!$A$1:$I$89,5,0)</f>
        <v>3.2455318432766944E-13</v>
      </c>
      <c r="DQ153" s="13">
        <f t="shared" si="151"/>
        <v>4.2513245787534721E-12</v>
      </c>
      <c r="DR153" s="20">
        <f t="shared" si="124"/>
        <v>7.9696537706996534E-12</v>
      </c>
      <c r="DS153" s="59">
        <f t="shared" si="125"/>
        <v>293.33333333334127</v>
      </c>
      <c r="DT153" s="59">
        <f ca="1">AVERAGE(OFFSET($DS$3,0,0,'Données projet'!$E$14+1,1))-AVERAGE(OFFSET($H$3,0,0,'Données projet'!$E$14+1,1))</f>
        <v>735.50267870886194</v>
      </c>
      <c r="DU153" s="59">
        <f t="shared" si="152"/>
        <v>525.80345400853275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106.38405659987787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106.38405659987787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4.833333333333333</v>
      </c>
      <c r="EJ153" s="12">
        <f>IF('Données projet'!$A$192&gt;35,EJ152+EI153-ER152,IF(A153&lt;'Données projet'!$A$192,$EG$205^A153,IF(A153='Données projet'!$A$192,'Données projet'!$B$192,EJ152+EI153-ER152)))</f>
        <v>265.50000000000057</v>
      </c>
      <c r="EK153" s="17">
        <f>EJ153*VLOOKUP('Données projet'!$B$15,Paramètres!$A$1:$I$89,3,0)*VLOOKUP('Données projet'!$B$15,Paramètres!$A$1:$I$89,5,0)</f>
        <v>169.81380000000036</v>
      </c>
      <c r="EL153" s="13">
        <f t="shared" si="153"/>
        <v>43.048318319912291</v>
      </c>
      <c r="EM153" s="20">
        <f t="shared" si="127"/>
        <v>370.73485607384782</v>
      </c>
      <c r="EN153" s="59">
        <f t="shared" si="128"/>
        <v>664.06818940718108</v>
      </c>
      <c r="EO153" s="59">
        <f ca="1">AVERAGE(OFFSET($EN$3,0,0,'Données projet'!$E$15+1,1))-AVERAGE(OFFSET($H$3,0,0,'Données projet'!$E$15+1,1))</f>
        <v>274.14900959323484</v>
      </c>
      <c r="EP153" s="59">
        <f t="shared" si="154"/>
        <v>130.44590390921582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21.915414992260928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21.915414992260928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-2.2737367544323206E-13</v>
      </c>
      <c r="FF153" s="17">
        <f>FE153*VLOOKUP('Données projet'!$B$16,Paramètres!$A$1:$I$89,3,0)*VLOOKUP('Données projet'!$B$16,Paramètres!$A$1:$I$89,5,0)</f>
        <v>-1.3596945791505279E-13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405.42845699663462</v>
      </c>
      <c r="FK153" s="59">
        <f t="shared" si="156"/>
        <v>292.26503163353146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59.293253359162662</v>
      </c>
      <c r="FR153" s="21">
        <f>EXP(-LN(2)/25)*FR152+(1-EXP(-LN(2)/25))/(LN(2)/25)*Calculateur!FM153*Calculateur!FO153*VLOOKUP('Données projet'!$B$16,Paramètres!$A$1:$I$89,3,0)*0.475*44/12</f>
        <v>16.285654679658084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75.578908038820742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-2.2737367544323206E-13</v>
      </c>
      <c r="GA153" s="17">
        <f>FZ153*VLOOKUP('Données projet'!$B$17,Paramètres!$A$1:$I$89,3,0)*VLOOKUP('Données projet'!$B$17,Paramètres!$A$1:$I$89,5,0)</f>
        <v>-1.3596945791505279E-13</v>
      </c>
      <c r="GB153" s="13" t="e">
        <f t="shared" si="157"/>
        <v>#NUM!</v>
      </c>
      <c r="GC153" s="20" t="e">
        <f t="shared" si="133"/>
        <v>#NUM!</v>
      </c>
      <c r="GD153" s="59" t="e">
        <f t="shared" si="134"/>
        <v>#NUM!</v>
      </c>
      <c r="GE153" s="59">
        <f ca="1">AVERAGE(OFFSET($GD$3,0,0,'Données projet'!$E$17+1,1))-AVERAGE(OFFSET($H$3,0,0,'Données projet'!$E$17+1,1))</f>
        <v>405.42845699663462</v>
      </c>
      <c r="GF153" s="59">
        <f t="shared" si="158"/>
        <v>292.26503163353146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59.293253359162662</v>
      </c>
      <c r="GM153" s="21">
        <f>EXP(-LN(2)/25)*GM152+(1-EXP(-LN(2)/25))/(LN(2)/25)*Calculateur!GH153*Calculateur!GJ153*VLOOKUP('Données projet'!$B$17,Paramètres!$A$1:$I$89,3,0)*0.475*44/12</f>
        <v>16.285654679658084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75.578908038820742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-5.3205440053716299E-14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198.26255998041</v>
      </c>
      <c r="T154" s="59">
        <f t="shared" si="142"/>
        <v>238.62101708181166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18.105993815237031</v>
      </c>
      <c r="AA154" s="21">
        <f>EXP(-LN(2)/25)*AA153+(1-EXP(-LN(2)/25))/(LN(2)/25)*Calculateur!V154*Calculateur!X154*VLOOKUP('Données projet'!$B$9,Paramètres!$A$1:$I$89,3,0)*0.475*44/12</f>
        <v>4.9946409654834367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23.100634780720469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3.4106051316484809E-13</v>
      </c>
      <c r="AJ154" s="13">
        <f>AI154*VLOOKUP('Données projet'!$B$10,Paramètres!$A$1:$I$89,3,0)*VLOOKUP('Données projet'!$B$10,Paramètres!$A$1:$I$89,5,0)</f>
        <v>1.9065282685915009E-13</v>
      </c>
      <c r="AK154" s="13">
        <f t="shared" ref="AK154:AK203" si="164">EXP(-1.0587+0.8836*LN(AJ154)+0.284)</f>
        <v>2.6568987209435707E-12</v>
      </c>
      <c r="AL154" s="20">
        <f t="shared" ref="AL154:AL203" si="165">(AJ154+AK154)*0.475*44/12</f>
        <v>4.959485612423072E-12</v>
      </c>
      <c r="AM154" s="59">
        <f t="shared" si="113"/>
        <v>293.33333333333826</v>
      </c>
      <c r="AN154" s="59">
        <f ca="1">AVERAGE(OFFSET($AM$3,0,0,'Données projet'!$E$10+1,1))-AVERAGE(OFFSET($H$3,0,0,'Données projet'!$E$10+1,1))</f>
        <v>347.02720636703873</v>
      </c>
      <c r="AO154" s="59">
        <f t="shared" si="144"/>
        <v>394.03759949558702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39.523458329385136</v>
      </c>
      <c r="AV154" s="21">
        <f>EXP(-LN(2)/25)*AV153+(1-EXP(-LN(2)/25))/(LN(2)/25)*Calculateur!AQ154*Calculateur!AS154*VLOOKUP('Données projet'!$B$10,Paramètres!$A$1:$I$89,3,0)*0.475*44/12</f>
        <v>10.630325377010783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50.15378370639592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-3.4106051316484809E-13</v>
      </c>
      <c r="BE154" s="13">
        <f>BD154*VLOOKUP('Données projet'!$B$11,Paramètres!$A$1:$I$89,3,0)*VLOOKUP('Données projet'!$B$11,Paramètres!$A$1:$I$89,5,0)</f>
        <v>-2.0395418687257919E-13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378.75660696651238</v>
      </c>
      <c r="BJ154" s="59">
        <f t="shared" si="146"/>
        <v>371.70674704563288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39.097563172535757</v>
      </c>
      <c r="BQ154" s="21">
        <f>EXP(-LN(2)/25)*BQ153+(1-EXP(-LN(2)/25))/(LN(2)/25)*Calculateur!BL154*Calculateur!BN154*VLOOKUP('Données projet'!$B$11,Paramètres!$A$1:$I$89,3,0)*0.475*44/12</f>
        <v>10.271094359449942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49.368657531985697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4.833333333333333</v>
      </c>
      <c r="BY154" s="12">
        <f>IF('Données projet'!$A$114&gt;35,BY153+BX154-CG153,IF(A154&lt;'Données projet'!$A$114,$BV$205^A154,IF(A154='Données projet'!$A$114,'Données projet'!$B$114,BY153+BX154-CG153)))</f>
        <v>270.33333333333388</v>
      </c>
      <c r="BZ154" s="13">
        <f>BY154*VLOOKUP('Données projet'!$B$12,Paramètres!$A$1:$I$89,3,0)*VLOOKUP('Données projet'!$B$12,Paramètres!$A$1:$I$89,5,0)</f>
        <v>274.11800000000056</v>
      </c>
      <c r="CA154" s="13">
        <f t="shared" ref="CA154:CA203" si="170">EXP(-1.0587+0.8836*LN(BZ154)+0.284)</f>
        <v>65.722441424228975</v>
      </c>
      <c r="CB154" s="20">
        <f t="shared" ref="CB154:CB203" si="171">(BZ154+CA154)*0.475*44/12</f>
        <v>591.88876881386648</v>
      </c>
      <c r="CC154" s="59">
        <f t="shared" si="119"/>
        <v>885.22210214719985</v>
      </c>
      <c r="CD154" s="59">
        <f ca="1">AVERAGE(OFFSET($CC$3,0,0,'Données projet'!$E$12+1,1))-AVERAGE(OFFSET($H$3,0,0,'Données projet'!$E$12+1,1))</f>
        <v>410.75375635525211</v>
      </c>
      <c r="CE154" s="59">
        <f t="shared" si="148"/>
        <v>183.55513001437367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34.062642917987475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34.062642917987475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5.916666666666667</v>
      </c>
      <c r="CT154" s="12">
        <f>IF('Données projet'!$A$140&gt;35,CT153+CS154-DB153,IF(A154&lt;'Données projet'!$A$140,$CQ$205^A154,IF(A154='Données projet'!$A$140,'Données projet'!$B$140,CT153+CS154-DB153)))</f>
        <v>326.66666666666652</v>
      </c>
      <c r="CU154" s="17">
        <f>CT154*VLOOKUP('Données projet'!$B$13,Paramètres!$A$1:$I$89,3,0)*VLOOKUP('Données projet'!$B$13,Paramètres!$A$1:$I$89,5,0)</f>
        <v>295.56799999999981</v>
      </c>
      <c r="CV154" s="13">
        <f t="shared" ref="CV154:CV203" si="173">EXP(-1.0587+0.8836*LN(CU154)+0.284)</f>
        <v>70.246542751571255</v>
      </c>
      <c r="CW154" s="20">
        <f t="shared" ref="CW154:CW203" si="174">(CU154+CV154)*0.475*44/12</f>
        <v>637.12699529231952</v>
      </c>
      <c r="CX154" s="59">
        <f t="shared" si="122"/>
        <v>930.46032862565289</v>
      </c>
      <c r="CY154" s="59">
        <f ca="1">AVERAGE(OFFSET($CX$3,0,0,'Données projet'!$E$13+1,1))-AVERAGE(OFFSET($H$3,0,0,'Données projet'!$E$13+1,1))</f>
        <v>436.12708882925142</v>
      </c>
      <c r="CZ154" s="59">
        <f t="shared" si="150"/>
        <v>217.65884352525285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47.178801103954761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47.178801103954761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3.4106051316484809E-13</v>
      </c>
      <c r="DP154" s="17">
        <f>DO154*VLOOKUP('Données projet'!$B$14,Paramètres!$A$1:$I$89,3,0)*VLOOKUP('Données projet'!$B$14,Paramètres!$A$1:$I$89,5,0)</f>
        <v>3.2455318432766944E-13</v>
      </c>
      <c r="DQ154" s="13">
        <f t="shared" ref="DQ154:DQ203" si="176">EXP(-1.0587+0.8836*LN(DP154)+0.284)</f>
        <v>4.2513245787534721E-12</v>
      </c>
      <c r="DR154" s="20">
        <f t="shared" ref="DR154:DR203" si="177">(DP154+DQ154)*0.475*44/12</f>
        <v>7.9696537706996534E-12</v>
      </c>
      <c r="DS154" s="59">
        <f t="shared" si="125"/>
        <v>293.33333333334127</v>
      </c>
      <c r="DT154" s="59">
        <f ca="1">AVERAGE(OFFSET($DS$3,0,0,'Données projet'!$E$14+1,1))-AVERAGE(OFFSET($H$3,0,0,'Données projet'!$E$14+1,1))</f>
        <v>735.50267870886194</v>
      </c>
      <c r="DU154" s="59">
        <f t="shared" si="152"/>
        <v>525.80345400853275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104.29793013782164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104.29793013782164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4.833333333333333</v>
      </c>
      <c r="EJ154" s="12">
        <f>IF('Données projet'!$A$192&gt;35,EJ153+EI154-ER153,IF(A154&lt;'Données projet'!$A$192,$EG$205^A154,IF(A154='Données projet'!$A$192,'Données projet'!$B$192,EJ153+EI154-ER153)))</f>
        <v>270.33333333333388</v>
      </c>
      <c r="EK154" s="17">
        <f>EJ154*VLOOKUP('Données projet'!$B$15,Paramètres!$A$1:$I$89,3,0)*VLOOKUP('Données projet'!$B$15,Paramètres!$A$1:$I$89,5,0)</f>
        <v>172.90520000000035</v>
      </c>
      <c r="EL154" s="13">
        <f t="shared" ref="EL154:EL203" si="179">EXP(-1.0587+0.8836*LN(EK154)+0.284)</f>
        <v>43.74004866375487</v>
      </c>
      <c r="EM154" s="20">
        <f t="shared" ref="EM154:EM203" si="180">(EK154+EL154)*0.475*44/12</f>
        <v>377.32380808937364</v>
      </c>
      <c r="EN154" s="59">
        <f t="shared" si="128"/>
        <v>670.6571414227069</v>
      </c>
      <c r="EO154" s="59">
        <f ca="1">AVERAGE(OFFSET($EN$3,0,0,'Données projet'!$E$15+1,1))-AVERAGE(OFFSET($H$3,0,0,'Données projet'!$E$15+1,1))</f>
        <v>274.14900959323484</v>
      </c>
      <c r="EP154" s="59">
        <f t="shared" si="154"/>
        <v>130.44590390921582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21.485667071345947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21.485667071345947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-2.2737367544323206E-13</v>
      </c>
      <c r="FF154" s="17">
        <f>FE154*VLOOKUP('Données projet'!$B$16,Paramètres!$A$1:$I$89,3,0)*VLOOKUP('Données projet'!$B$16,Paramètres!$A$1:$I$89,5,0)</f>
        <v>-1.3596945791505279E-13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405.42845699663462</v>
      </c>
      <c r="FK154" s="59">
        <f t="shared" si="156"/>
        <v>292.26503163353146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58.130548826103002</v>
      </c>
      <c r="FR154" s="21">
        <f>EXP(-LN(2)/25)*FR153+(1-EXP(-LN(2)/25))/(LN(2)/25)*Calculateur!FM154*Calculateur!FO154*VLOOKUP('Données projet'!$B$16,Paramètres!$A$1:$I$89,3,0)*0.475*44/12</f>
        <v>15.840322596017476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73.970871422120481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-2.2737367544323206E-13</v>
      </c>
      <c r="GA154" s="17">
        <f>FZ154*VLOOKUP('Données projet'!$B$17,Paramètres!$A$1:$I$89,3,0)*VLOOKUP('Données projet'!$B$17,Paramètres!$A$1:$I$89,5,0)</f>
        <v>-1.3596945791505279E-13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9" t="e">
        <f t="shared" si="134"/>
        <v>#NUM!</v>
      </c>
      <c r="GE154" s="59">
        <f ca="1">AVERAGE(OFFSET($GD$3,0,0,'Données projet'!$E$17+1,1))-AVERAGE(OFFSET($H$3,0,0,'Données projet'!$E$17+1,1))</f>
        <v>405.42845699663462</v>
      </c>
      <c r="GF154" s="59">
        <f t="shared" si="158"/>
        <v>292.26503163353146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58.130548826103002</v>
      </c>
      <c r="GM154" s="21">
        <f>EXP(-LN(2)/25)*GM153+(1-EXP(-LN(2)/25))/(LN(2)/25)*Calculateur!GH154*Calculateur!GJ154*VLOOKUP('Données projet'!$B$17,Paramètres!$A$1:$I$89,3,0)*0.475*44/12</f>
        <v>15.840322596017476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73.970871422120481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-5.3205440053716299E-14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198.26255998041</v>
      </c>
      <c r="T155" s="59">
        <f t="shared" si="142"/>
        <v>238.62101708181166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17.750946320085998</v>
      </c>
      <c r="AA155" s="21">
        <f>EXP(-LN(2)/25)*AA154+(1-EXP(-LN(2)/25))/(LN(2)/25)*Calculateur!V155*Calculateur!X155*VLOOKUP('Données projet'!$B$9,Paramètres!$A$1:$I$89,3,0)*0.475*44/12</f>
        <v>4.8580622456255389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22.609008565711537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3.4106051316484809E-13</v>
      </c>
      <c r="AJ155" s="13">
        <f>AI155*VLOOKUP('Données projet'!$B$10,Paramètres!$A$1:$I$89,3,0)*VLOOKUP('Données projet'!$B$10,Paramètres!$A$1:$I$89,5,0)</f>
        <v>1.9065282685915009E-13</v>
      </c>
      <c r="AK155" s="13">
        <f t="shared" si="164"/>
        <v>2.6568987209435707E-12</v>
      </c>
      <c r="AL155" s="20">
        <f t="shared" si="165"/>
        <v>4.959485612423072E-12</v>
      </c>
      <c r="AM155" s="59">
        <f t="shared" si="113"/>
        <v>293.33333333333826</v>
      </c>
      <c r="AN155" s="59">
        <f ca="1">AVERAGE(OFFSET($AM$3,0,0,'Données projet'!$E$10+1,1))-AVERAGE(OFFSET($H$3,0,0,'Données projet'!$E$10+1,1))</f>
        <v>347.02720636703873</v>
      </c>
      <c r="AO155" s="59">
        <f t="shared" si="144"/>
        <v>394.03759949558702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38.74842741847511</v>
      </c>
      <c r="AV155" s="21">
        <f>EXP(-LN(2)/25)*AV154+(1-EXP(-LN(2)/25))/(LN(2)/25)*Calculateur!AQ155*Calculateur!AS155*VLOOKUP('Données projet'!$B$10,Paramètres!$A$1:$I$89,3,0)*0.475*44/12</f>
        <v>10.339638570551907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49.088065989027015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-3.4106051316484809E-13</v>
      </c>
      <c r="BE155" s="13">
        <f>BD155*VLOOKUP('Données projet'!$B$11,Paramètres!$A$1:$I$89,3,0)*VLOOKUP('Données projet'!$B$11,Paramètres!$A$1:$I$89,5,0)</f>
        <v>-2.0395418687257919E-13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378.75660696651238</v>
      </c>
      <c r="BJ155" s="59">
        <f t="shared" si="146"/>
        <v>371.70674704563288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38.330883805881157</v>
      </c>
      <c r="BQ155" s="21">
        <f>EXP(-LN(2)/25)*BQ154+(1-EXP(-LN(2)/25))/(LN(2)/25)*Calculateur!BL155*Calculateur!BN155*VLOOKUP('Données projet'!$B$11,Paramètres!$A$1:$I$89,3,0)*0.475*44/12</f>
        <v>9.9902307440574063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48.321114549938564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4.833333333333333</v>
      </c>
      <c r="BY155" s="12">
        <f>IF('Données projet'!$A$114&gt;35,BY154+BX155-CG154,IF(A155&lt;'Données projet'!$A$114,$BV$205^A155,IF(A155='Données projet'!$A$114,'Données projet'!$B$114,BY154+BX155-CG154)))</f>
        <v>275.1666666666672</v>
      </c>
      <c r="BZ155" s="13">
        <f>BY155*VLOOKUP('Données projet'!$B$12,Paramètres!$A$1:$I$89,3,0)*VLOOKUP('Données projet'!$B$12,Paramètres!$A$1:$I$89,5,0)</f>
        <v>279.01900000000057</v>
      </c>
      <c r="CA155" s="13">
        <f t="shared" si="170"/>
        <v>66.759653052626632</v>
      </c>
      <c r="CB155" s="20">
        <f t="shared" si="171"/>
        <v>602.23115406665897</v>
      </c>
      <c r="CC155" s="59">
        <f t="shared" si="119"/>
        <v>895.56448739999223</v>
      </c>
      <c r="CD155" s="59">
        <f ca="1">AVERAGE(OFFSET($CC$3,0,0,'Données projet'!$E$12+1,1))-AVERAGE(OFFSET($H$3,0,0,'Données projet'!$E$12+1,1))</f>
        <v>410.75375635525211</v>
      </c>
      <c r="CE155" s="59">
        <f t="shared" si="148"/>
        <v>183.55513001437367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33.394695266526448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33.394695266526448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5.916666666666667</v>
      </c>
      <c r="CT155" s="12">
        <f>IF('Données projet'!$A$140&gt;35,CT154+CS155-DB154,IF(A155&lt;'Données projet'!$A$140,$CQ$205^A155,IF(A155='Données projet'!$A$140,'Données projet'!$B$140,CT154+CS155-DB154)))</f>
        <v>332.5833333333332</v>
      </c>
      <c r="CU155" s="17">
        <f>CT155*VLOOKUP('Données projet'!$B$13,Paramètres!$A$1:$I$89,3,0)*VLOOKUP('Données projet'!$B$13,Paramètres!$A$1:$I$89,5,0)</f>
        <v>300.92139999999989</v>
      </c>
      <c r="CV155" s="13">
        <f t="shared" si="173"/>
        <v>71.369589818644414</v>
      </c>
      <c r="CW155" s="20">
        <f t="shared" si="174"/>
        <v>648.40680726747212</v>
      </c>
      <c r="CX155" s="59">
        <f t="shared" si="122"/>
        <v>941.74014060080549</v>
      </c>
      <c r="CY155" s="59">
        <f ca="1">AVERAGE(OFFSET($CX$3,0,0,'Données projet'!$E$13+1,1))-AVERAGE(OFFSET($H$3,0,0,'Données projet'!$E$13+1,1))</f>
        <v>436.12708882925142</v>
      </c>
      <c r="CZ155" s="59">
        <f t="shared" si="150"/>
        <v>217.65884352525285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46.253653590533467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46.253653590533467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3.4106051316484809E-13</v>
      </c>
      <c r="DP155" s="17">
        <f>DO155*VLOOKUP('Données projet'!$B$14,Paramètres!$A$1:$I$89,3,0)*VLOOKUP('Données projet'!$B$14,Paramètres!$A$1:$I$89,5,0)</f>
        <v>3.2455318432766944E-13</v>
      </c>
      <c r="DQ155" s="13">
        <f t="shared" si="176"/>
        <v>4.2513245787534721E-12</v>
      </c>
      <c r="DR155" s="20">
        <f t="shared" si="177"/>
        <v>7.9696537706996534E-12</v>
      </c>
      <c r="DS155" s="59">
        <f t="shared" si="125"/>
        <v>293.33333333334127</v>
      </c>
      <c r="DT155" s="59">
        <f ca="1">AVERAGE(OFFSET($DS$3,0,0,'Données projet'!$E$14+1,1))-AVERAGE(OFFSET($H$3,0,0,'Données projet'!$E$14+1,1))</f>
        <v>735.50267870886194</v>
      </c>
      <c r="DU155" s="59">
        <f t="shared" si="152"/>
        <v>525.80345400853275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102.25271134327484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102.25271134327484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4.833333333333333</v>
      </c>
      <c r="EJ155" s="12">
        <f>IF('Données projet'!$A$192&gt;35,EJ154+EI155-ER154,IF(A155&lt;'Données projet'!$A$192,$EG$205^A155,IF(A155='Données projet'!$A$192,'Données projet'!$B$192,EJ154+EI155-ER154)))</f>
        <v>275.1666666666672</v>
      </c>
      <c r="EK155" s="17">
        <f>EJ155*VLOOKUP('Données projet'!$B$15,Paramètres!$A$1:$I$89,3,0)*VLOOKUP('Données projet'!$B$15,Paramètres!$A$1:$I$89,5,0)</f>
        <v>175.99660000000034</v>
      </c>
      <c r="EL155" s="13">
        <f t="shared" si="179"/>
        <v>44.430340839723861</v>
      </c>
      <c r="EM155" s="20">
        <f t="shared" si="180"/>
        <v>383.91025529585295</v>
      </c>
      <c r="EN155" s="59">
        <f t="shared" si="128"/>
        <v>677.24358862918621</v>
      </c>
      <c r="EO155" s="59">
        <f ca="1">AVERAGE(OFFSET($EN$3,0,0,'Données projet'!$E$15+1,1))-AVERAGE(OFFSET($H$3,0,0,'Données projet'!$E$15+1,1))</f>
        <v>274.14900959323484</v>
      </c>
      <c r="EP155" s="59">
        <f t="shared" si="154"/>
        <v>130.44590390921582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21.064346245039758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21.064346245039758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-2.2737367544323206E-13</v>
      </c>
      <c r="FF155" s="17">
        <f>FE155*VLOOKUP('Données projet'!$B$16,Paramètres!$A$1:$I$89,3,0)*VLOOKUP('Données projet'!$B$16,Paramètres!$A$1:$I$89,5,0)</f>
        <v>-1.3596945791505279E-13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405.42845699663462</v>
      </c>
      <c r="FK155" s="59">
        <f t="shared" si="156"/>
        <v>292.26503163353146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56.990644219756902</v>
      </c>
      <c r="FR155" s="21">
        <f>EXP(-LN(2)/25)*FR154+(1-EXP(-LN(2)/25))/(LN(2)/25)*Calculateur!FM155*Calculateur!FO155*VLOOKUP('Données projet'!$B$16,Paramètres!$A$1:$I$89,3,0)*0.475*44/12</f>
        <v>15.407168141623016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72.39781236137992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-2.2737367544323206E-13</v>
      </c>
      <c r="GA155" s="17">
        <f>FZ155*VLOOKUP('Données projet'!$B$17,Paramètres!$A$1:$I$89,3,0)*VLOOKUP('Données projet'!$B$17,Paramètres!$A$1:$I$89,5,0)</f>
        <v>-1.3596945791505279E-13</v>
      </c>
      <c r="GB155" s="13" t="e">
        <f t="shared" si="185"/>
        <v>#NUM!</v>
      </c>
      <c r="GC155" s="20" t="e">
        <f t="shared" si="186"/>
        <v>#NUM!</v>
      </c>
      <c r="GD155" s="59" t="e">
        <f t="shared" si="134"/>
        <v>#NUM!</v>
      </c>
      <c r="GE155" s="59">
        <f ca="1">AVERAGE(OFFSET($GD$3,0,0,'Données projet'!$E$17+1,1))-AVERAGE(OFFSET($H$3,0,0,'Données projet'!$E$17+1,1))</f>
        <v>405.42845699663462</v>
      </c>
      <c r="GF155" s="59">
        <f t="shared" si="158"/>
        <v>292.26503163353146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56.990644219756902</v>
      </c>
      <c r="GM155" s="21">
        <f>EXP(-LN(2)/25)*GM154+(1-EXP(-LN(2)/25))/(LN(2)/25)*Calculateur!GH155*Calculateur!GJ155*VLOOKUP('Données projet'!$B$17,Paramètres!$A$1:$I$89,3,0)*0.475*44/12</f>
        <v>15.407168141623016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72.39781236137992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-5.3205440053716299E-14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198.26255998041</v>
      </c>
      <c r="T156" s="59">
        <f t="shared" si="142"/>
        <v>238.62101708181166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17.402861089757288</v>
      </c>
      <c r="AA156" s="21">
        <f>EXP(-LN(2)/25)*AA155+(1-EXP(-LN(2)/25))/(LN(2)/25)*Calculateur!V156*Calculateur!X156*VLOOKUP('Données projet'!$B$9,Paramètres!$A$1:$I$89,3,0)*0.475*44/12</f>
        <v>4.725218278044518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22.128079367801806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3.4106051316484809E-13</v>
      </c>
      <c r="AJ156" s="13">
        <f>AI156*VLOOKUP('Données projet'!$B$10,Paramètres!$A$1:$I$89,3,0)*VLOOKUP('Données projet'!$B$10,Paramètres!$A$1:$I$89,5,0)</f>
        <v>1.9065282685915009E-13</v>
      </c>
      <c r="AK156" s="13">
        <f t="shared" si="164"/>
        <v>2.6568987209435707E-12</v>
      </c>
      <c r="AL156" s="20">
        <f t="shared" si="165"/>
        <v>4.959485612423072E-12</v>
      </c>
      <c r="AM156" s="59">
        <f t="shared" si="113"/>
        <v>293.33333333333826</v>
      </c>
      <c r="AN156" s="59">
        <f ca="1">AVERAGE(OFFSET($AM$3,0,0,'Données projet'!$E$10+1,1))-AVERAGE(OFFSET($H$3,0,0,'Données projet'!$E$10+1,1))</f>
        <v>347.02720636703873</v>
      </c>
      <c r="AO156" s="59">
        <f t="shared" si="144"/>
        <v>394.03759949558702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37.988594391005854</v>
      </c>
      <c r="AV156" s="21">
        <f>EXP(-LN(2)/25)*AV155+(1-EXP(-LN(2)/25))/(LN(2)/25)*Calculateur!AQ156*Calculateur!AS156*VLOOKUP('Données projet'!$B$10,Paramètres!$A$1:$I$89,3,0)*0.475*44/12</f>
        <v>10.056900610102204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48.045495001108058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-3.4106051316484809E-13</v>
      </c>
      <c r="BE156" s="13">
        <f>BD156*VLOOKUP('Données projet'!$B$11,Paramètres!$A$1:$I$89,3,0)*VLOOKUP('Données projet'!$B$11,Paramètres!$A$1:$I$89,5,0)</f>
        <v>-2.0395418687257919E-13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378.75660696651238</v>
      </c>
      <c r="BJ156" s="59">
        <f t="shared" si="146"/>
        <v>371.70674704563288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37.579238553978414</v>
      </c>
      <c r="BQ156" s="21">
        <f>EXP(-LN(2)/25)*BQ155+(1-EXP(-LN(2)/25))/(LN(2)/25)*Calculateur!BL156*Calculateur!BN156*VLOOKUP('Données projet'!$B$11,Paramètres!$A$1:$I$89,3,0)*0.475*44/12</f>
        <v>9.7170473589977551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47.296285912976167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>
        <f>VLOOKUP(A156,'Données projet'!$A$113:$I$133,2,0)</f>
        <v>280</v>
      </c>
      <c r="BW156" s="12">
        <f>VLOOKUP(A156,'Données projet'!$A$113:$I$133,9,0)</f>
        <v>4.833333333333333</v>
      </c>
      <c r="BX156" s="12">
        <f t="array" ref="BX156">INDEX(BW:BW,MIN(IF(ISNUMBER(BW156:BW352),ROW(BW156:BW352),"")))</f>
        <v>4.833333333333333</v>
      </c>
      <c r="BY156" s="12">
        <f>IF('Données projet'!$A$114&gt;35,BY155+BX156-CG155,IF(A156&lt;'Données projet'!$A$114,$BV$205^A156,IF(A156='Données projet'!$A$114,'Données projet'!$B$114,BY155+BX156-CG155)))</f>
        <v>280.00000000000051</v>
      </c>
      <c r="BZ156" s="13">
        <f>BY156*VLOOKUP('Données projet'!$B$12,Paramètres!$A$1:$I$89,3,0)*VLOOKUP('Données projet'!$B$12,Paramètres!$A$1:$I$89,5,0)</f>
        <v>283.92000000000053</v>
      </c>
      <c r="CA156" s="13">
        <f t="shared" si="170"/>
        <v>67.794746071143749</v>
      </c>
      <c r="CB156" s="20">
        <f t="shared" si="171"/>
        <v>612.56984940724294</v>
      </c>
      <c r="CC156" s="59">
        <f t="shared" si="119"/>
        <v>905.90318274057631</v>
      </c>
      <c r="CD156" s="59">
        <f ca="1">AVERAGE(OFFSET($CC$3,0,0,'Données projet'!$E$12+1,1))-AVERAGE(OFFSET($H$3,0,0,'Données projet'!$E$12+1,1))</f>
        <v>410.75375635525211</v>
      </c>
      <c r="CE156" s="59">
        <f t="shared" si="148"/>
        <v>183.55513001437367</v>
      </c>
      <c r="CF156" s="15">
        <f>IF(ISNA(VLOOKUP(A156,'Données projet'!$A$113:$I$133,3,0)),0,VLOOKUP(A156,'Données projet'!$A$113:$I$133,3,0))</f>
        <v>11</v>
      </c>
      <c r="CG156" s="15">
        <f>IF(ISNA(VLOOKUP(A156,'Données projet'!$A$113:$I$133,4,0)),0,VLOOKUP(A156,'Données projet'!$A$113:$I$133,4,0))</f>
        <v>40</v>
      </c>
      <c r="CH156" s="16">
        <f>IF(ISNA(VLOOKUP(A156,'Données projet'!$A$113:$I$133,5,0)),0%,VLOOKUP(A156,'Données projet'!$A$113:$I$133,5,0)*VLOOKUP('Données projet'!$B$12,Paramètres!$A$1:$I$89,7,0))</f>
        <v>0.25800000000000001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44.308018338317694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44.308018338317694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5.916666666666667</v>
      </c>
      <c r="CT156" s="12">
        <f>IF('Données projet'!$A$140&gt;35,CT155+CS156-DB155,IF(A156&lt;'Données projet'!$A$140,$CQ$205^A156,IF(A156='Données projet'!$A$140,'Données projet'!$B$140,CT155+CS156-DB155)))</f>
        <v>338.49999999999989</v>
      </c>
      <c r="CU156" s="17">
        <f>CT156*VLOOKUP('Données projet'!$B$13,Paramètres!$A$1:$I$89,3,0)*VLOOKUP('Données projet'!$B$13,Paramètres!$A$1:$I$89,5,0)</f>
        <v>306.27479999999991</v>
      </c>
      <c r="CV156" s="13">
        <f t="shared" si="173"/>
        <v>72.490313602283052</v>
      </c>
      <c r="CW156" s="20">
        <f t="shared" si="174"/>
        <v>659.68257285730954</v>
      </c>
      <c r="CX156" s="59">
        <f t="shared" si="122"/>
        <v>953.01590619064291</v>
      </c>
      <c r="CY156" s="59">
        <f ca="1">AVERAGE(OFFSET($CX$3,0,0,'Données projet'!$E$13+1,1))-AVERAGE(OFFSET($H$3,0,0,'Données projet'!$E$13+1,1))</f>
        <v>436.12708882925142</v>
      </c>
      <c r="CZ156" s="59">
        <f t="shared" si="150"/>
        <v>217.65884352525285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45.346647655566102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45.346647655566102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3.4106051316484809E-13</v>
      </c>
      <c r="DP156" s="17">
        <f>DO156*VLOOKUP('Données projet'!$B$14,Paramètres!$A$1:$I$89,3,0)*VLOOKUP('Données projet'!$B$14,Paramètres!$A$1:$I$89,5,0)</f>
        <v>3.2455318432766944E-13</v>
      </c>
      <c r="DQ156" s="13">
        <f t="shared" si="176"/>
        <v>4.2513245787534721E-12</v>
      </c>
      <c r="DR156" s="20">
        <f t="shared" si="177"/>
        <v>7.9696537706996534E-12</v>
      </c>
      <c r="DS156" s="59">
        <f t="shared" si="125"/>
        <v>293.33333333334127</v>
      </c>
      <c r="DT156" s="59">
        <f ca="1">AVERAGE(OFFSET($DS$3,0,0,'Données projet'!$E$14+1,1))-AVERAGE(OFFSET($H$3,0,0,'Données projet'!$E$14+1,1))</f>
        <v>735.50267870886194</v>
      </c>
      <c r="DU156" s="59">
        <f t="shared" si="152"/>
        <v>525.80345400853275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100.24759804182881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100.24759804182881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>
        <f>VLOOKUP(A156,'Données projet'!$A$191:$I$211,2,0)</f>
        <v>280</v>
      </c>
      <c r="EH156" s="12">
        <f>VLOOKUP(A156,'Données projet'!$A$191:$I$211,9,0)</f>
        <v>4.833333333333333</v>
      </c>
      <c r="EI156" s="12">
        <f t="array" ref="EI156">INDEX(EH:EH,MIN(IF(ISNUMBER(EH156:EH352),ROW(EH156:EH352),"")))</f>
        <v>4.833333333333333</v>
      </c>
      <c r="EJ156" s="12">
        <f>IF('Données projet'!$A$192&gt;35,EJ155+EI156-ER155,IF(A156&lt;'Données projet'!$A$192,$EG$205^A156,IF(A156='Données projet'!$A$192,'Données projet'!$B$192,EJ155+EI156-ER155)))</f>
        <v>280.00000000000051</v>
      </c>
      <c r="EK156" s="17">
        <f>EJ156*VLOOKUP('Données projet'!$B$15,Paramètres!$A$1:$I$89,3,0)*VLOOKUP('Données projet'!$B$15,Paramètres!$A$1:$I$89,5,0)</f>
        <v>179.08800000000031</v>
      </c>
      <c r="EL156" s="13">
        <f t="shared" si="179"/>
        <v>45.119223023956913</v>
      </c>
      <c r="EM156" s="20">
        <f t="shared" si="180"/>
        <v>390.49424676672544</v>
      </c>
      <c r="EN156" s="59">
        <f t="shared" si="128"/>
        <v>683.82758010005875</v>
      </c>
      <c r="EO156" s="59">
        <f ca="1">AVERAGE(OFFSET($EN$3,0,0,'Données projet'!$E$15+1,1))-AVERAGE(OFFSET($H$3,0,0,'Données projet'!$E$15+1,1))</f>
        <v>274.14900959323484</v>
      </c>
      <c r="EP156" s="59">
        <f t="shared" si="154"/>
        <v>130.44590390921582</v>
      </c>
      <c r="EQ156" s="15">
        <f>IF(ISNA(VLOOKUP(A156,'Données projet'!$A$191:$I$211,3,0)),0,VLOOKUP(A156,'Données projet'!$A$191:$I$211,3,0))</f>
        <v>11</v>
      </c>
      <c r="ER156" s="15">
        <f>IF(ISNA(VLOOKUP(A156,'Données projet'!$A$191:$I$211,4,0)),0,VLOOKUP(A156,'Données projet'!$A$191:$I$211,4,0))</f>
        <v>40</v>
      </c>
      <c r="ES156" s="16">
        <f>IF(ISNA(VLOOKUP(A156,'Données projet'!$A$191:$I$211,5,0)),0%,VLOOKUP(A156,'Données projet'!$A$191:$I$211,5,0)*VLOOKUP('Données projet'!$B$15,Paramètres!$A$1:$I$89,7,0))</f>
        <v>0.25800000000000001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27.948134644169624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27.948134644169624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-2.2737367544323206E-13</v>
      </c>
      <c r="FF156" s="17">
        <f>FE156*VLOOKUP('Données projet'!$B$16,Paramètres!$A$1:$I$89,3,0)*VLOOKUP('Données projet'!$B$16,Paramètres!$A$1:$I$89,5,0)</f>
        <v>-1.3596945791505279E-13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405.42845699663462</v>
      </c>
      <c r="FK156" s="59">
        <f t="shared" si="156"/>
        <v>292.26503163353146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55.873092447468096</v>
      </c>
      <c r="FR156" s="21">
        <f>EXP(-LN(2)/25)*FR155+(1-EXP(-LN(2)/25))/(LN(2)/25)*Calculateur!FM156*Calculateur!FO156*VLOOKUP('Données projet'!$B$16,Paramètres!$A$1:$I$89,3,0)*0.475*44/12</f>
        <v>14.985858318562576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70.858950766030674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-2.2737367544323206E-13</v>
      </c>
      <c r="GA156" s="17">
        <f>FZ156*VLOOKUP('Données projet'!$B$17,Paramètres!$A$1:$I$89,3,0)*VLOOKUP('Données projet'!$B$17,Paramètres!$A$1:$I$89,5,0)</f>
        <v>-1.3596945791505279E-13</v>
      </c>
      <c r="GB156" s="13" t="e">
        <f t="shared" si="185"/>
        <v>#NUM!</v>
      </c>
      <c r="GC156" s="20" t="e">
        <f t="shared" si="186"/>
        <v>#NUM!</v>
      </c>
      <c r="GD156" s="59" t="e">
        <f t="shared" si="134"/>
        <v>#NUM!</v>
      </c>
      <c r="GE156" s="59">
        <f ca="1">AVERAGE(OFFSET($GD$3,0,0,'Données projet'!$E$17+1,1))-AVERAGE(OFFSET($H$3,0,0,'Données projet'!$E$17+1,1))</f>
        <v>405.42845699663462</v>
      </c>
      <c r="GF156" s="59">
        <f t="shared" si="158"/>
        <v>292.26503163353146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55.873092447468096</v>
      </c>
      <c r="GM156" s="21">
        <f>EXP(-LN(2)/25)*GM155+(1-EXP(-LN(2)/25))/(LN(2)/25)*Calculateur!GH156*Calculateur!GJ156*VLOOKUP('Données projet'!$B$17,Paramètres!$A$1:$I$89,3,0)*0.475*44/12</f>
        <v>14.985858318562576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70.858950766030674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-5.3205440053716299E-14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198.26255998041</v>
      </c>
      <c r="T157" s="59">
        <f t="shared" si="142"/>
        <v>238.62101708181166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17.061601598484298</v>
      </c>
      <c r="AA157" s="21">
        <f>EXP(-LN(2)/25)*AA156+(1-EXP(-LN(2)/25))/(LN(2)/25)*Calculateur!V157*Calculateur!X157*VLOOKUP('Données projet'!$B$9,Paramètres!$A$1:$I$89,3,0)*0.475*44/12</f>
        <v>4.5960069357429614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21.657608534227258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3.4106051316484809E-13</v>
      </c>
      <c r="AJ157" s="13">
        <f>AI157*VLOOKUP('Données projet'!$B$10,Paramètres!$A$1:$I$89,3,0)*VLOOKUP('Données projet'!$B$10,Paramètres!$A$1:$I$89,5,0)</f>
        <v>1.9065282685915009E-13</v>
      </c>
      <c r="AK157" s="13">
        <f t="shared" si="164"/>
        <v>2.6568987209435707E-12</v>
      </c>
      <c r="AL157" s="20">
        <f t="shared" si="165"/>
        <v>4.959485612423072E-12</v>
      </c>
      <c r="AM157" s="59">
        <f t="shared" si="113"/>
        <v>293.33333333333826</v>
      </c>
      <c r="AN157" s="59">
        <f ca="1">AVERAGE(OFFSET($AM$3,0,0,'Données projet'!$E$10+1,1))-AVERAGE(OFFSET($H$3,0,0,'Données projet'!$E$10+1,1))</f>
        <v>347.02720636703873</v>
      </c>
      <c r="AO157" s="59">
        <f t="shared" si="144"/>
        <v>394.03759949558702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37.243661225752888</v>
      </c>
      <c r="AV157" s="21">
        <f>EXP(-LN(2)/25)*AV156+(1-EXP(-LN(2)/25))/(LN(2)/25)*Calculateur!AQ157*Calculateur!AS157*VLOOKUP('Données projet'!$B$10,Paramètres!$A$1:$I$89,3,0)*0.475*44/12</f>
        <v>9.7818941340495407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47.025555359802425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-3.4106051316484809E-13</v>
      </c>
      <c r="BE157" s="13">
        <f>BD157*VLOOKUP('Données projet'!$B$11,Paramètres!$A$1:$I$89,3,0)*VLOOKUP('Données projet'!$B$11,Paramètres!$A$1:$I$89,5,0)</f>
        <v>-2.0395418687257919E-13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378.75660696651238</v>
      </c>
      <c r="BJ157" s="59">
        <f t="shared" si="146"/>
        <v>371.70674704563288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36.842332607007144</v>
      </c>
      <c r="BQ157" s="21">
        <f>EXP(-LN(2)/25)*BQ156+(1-EXP(-LN(2)/25))/(LN(2)/25)*Calculateur!BL157*Calculateur!BN157*VLOOKUP('Données projet'!$B$11,Paramètres!$A$1:$I$89,3,0)*0.475*44/12</f>
        <v>9.4513341879686497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46.293666794975792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4.916666666666667</v>
      </c>
      <c r="BY157" s="12">
        <f>IF('Données projet'!$A$114&gt;35,BY156+BX157-CG156,IF(A157&lt;'Données projet'!$A$114,$BV$205^A157,IF(A157='Données projet'!$A$114,'Données projet'!$B$114,BY156+BX157-CG156)))</f>
        <v>244.9166666666672</v>
      </c>
      <c r="BZ157" s="13">
        <f>BY157*VLOOKUP('Données projet'!$B$12,Paramètres!$A$1:$I$89,3,0)*VLOOKUP('Données projet'!$B$12,Paramètres!$A$1:$I$89,5,0)</f>
        <v>248.34550000000058</v>
      </c>
      <c r="CA157" s="13">
        <f t="shared" si="170"/>
        <v>60.231517781802566</v>
      </c>
      <c r="CB157" s="20">
        <f t="shared" si="171"/>
        <v>537.43830596997384</v>
      </c>
      <c r="CC157" s="59">
        <f t="shared" si="119"/>
        <v>830.77163930330721</v>
      </c>
      <c r="CD157" s="59">
        <f ca="1">AVERAGE(OFFSET($CC$3,0,0,'Données projet'!$E$12+1,1))-AVERAGE(OFFSET($H$3,0,0,'Données projet'!$E$12+1,1))</f>
        <v>410.75375635525211</v>
      </c>
      <c r="CE157" s="59">
        <f t="shared" si="148"/>
        <v>183.55513001437367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43.439165123925953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43.439165123925953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5.916666666666667</v>
      </c>
      <c r="CT157" s="12">
        <f>IF('Données projet'!$A$140&gt;35,CT156+CS157-DB156,IF(A157&lt;'Données projet'!$A$140,$CQ$205^A157,IF(A157='Données projet'!$A$140,'Données projet'!$B$140,CT156+CS157-DB156)))</f>
        <v>344.41666666666657</v>
      </c>
      <c r="CU157" s="17">
        <f>CT157*VLOOKUP('Données projet'!$B$13,Paramètres!$A$1:$I$89,3,0)*VLOOKUP('Données projet'!$B$13,Paramètres!$A$1:$I$89,5,0)</f>
        <v>311.62819999999988</v>
      </c>
      <c r="CV157" s="13">
        <f t="shared" si="173"/>
        <v>73.608759396761911</v>
      </c>
      <c r="CW157" s="20">
        <f t="shared" si="174"/>
        <v>670.95437094936005</v>
      </c>
      <c r="CX157" s="59">
        <f t="shared" si="122"/>
        <v>964.28770428269331</v>
      </c>
      <c r="CY157" s="59">
        <f ca="1">AVERAGE(OFFSET($CX$3,0,0,'Données projet'!$E$13+1,1))-AVERAGE(OFFSET($H$3,0,0,'Données projet'!$E$13+1,1))</f>
        <v>436.12708882925142</v>
      </c>
      <c r="CZ157" s="59">
        <f t="shared" si="150"/>
        <v>217.65884352525285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44.457427553764447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44.457427553764447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3.4106051316484809E-13</v>
      </c>
      <c r="DP157" s="17">
        <f>DO157*VLOOKUP('Données projet'!$B$14,Paramètres!$A$1:$I$89,3,0)*VLOOKUP('Données projet'!$B$14,Paramètres!$A$1:$I$89,5,0)</f>
        <v>3.2455318432766944E-13</v>
      </c>
      <c r="DQ157" s="13">
        <f t="shared" si="176"/>
        <v>4.2513245787534721E-12</v>
      </c>
      <c r="DR157" s="20">
        <f t="shared" si="177"/>
        <v>7.9696537706996534E-12</v>
      </c>
      <c r="DS157" s="59">
        <f t="shared" si="125"/>
        <v>293.33333333334127</v>
      </c>
      <c r="DT157" s="59">
        <f ca="1">AVERAGE(OFFSET($DS$3,0,0,'Données projet'!$E$14+1,1))-AVERAGE(OFFSET($H$3,0,0,'Données projet'!$E$14+1,1))</f>
        <v>735.50267870886194</v>
      </c>
      <c r="DU157" s="59">
        <f t="shared" si="152"/>
        <v>525.80345400853275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98.281803789225791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98.281803789225791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4.916666666666667</v>
      </c>
      <c r="EJ157" s="12">
        <f>IF('Données projet'!$A$192&gt;35,EJ156+EI157-ER156,IF(A157&lt;'Données projet'!$A$192,$EG$205^A157,IF(A157='Données projet'!$A$192,'Données projet'!$B$192,EJ156+EI157-ER156)))</f>
        <v>244.9166666666672</v>
      </c>
      <c r="EK157" s="17">
        <f>EJ157*VLOOKUP('Données projet'!$B$15,Paramètres!$A$1:$I$89,3,0)*VLOOKUP('Données projet'!$B$15,Paramètres!$A$1:$I$89,5,0)</f>
        <v>156.64870000000033</v>
      </c>
      <c r="EL157" s="13">
        <f t="shared" si="179"/>
        <v>40.085691611216191</v>
      </c>
      <c r="EM157" s="20">
        <f t="shared" si="180"/>
        <v>342.64573205620212</v>
      </c>
      <c r="EN157" s="59">
        <f t="shared" si="128"/>
        <v>635.97906538953544</v>
      </c>
      <c r="EO157" s="59">
        <f ca="1">AVERAGE(OFFSET($EN$3,0,0,'Données projet'!$E$15+1,1))-AVERAGE(OFFSET($H$3,0,0,'Données projet'!$E$15+1,1))</f>
        <v>274.14900959323484</v>
      </c>
      <c r="EP157" s="59">
        <f t="shared" si="154"/>
        <v>130.44590390921582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27.400088770476369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27.400088770476369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-2.2737367544323206E-13</v>
      </c>
      <c r="FF157" s="17">
        <f>FE157*VLOOKUP('Données projet'!$B$16,Paramètres!$A$1:$I$89,3,0)*VLOOKUP('Données projet'!$B$16,Paramètres!$A$1:$I$89,5,0)</f>
        <v>-1.3596945791505279E-13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405.42845699663462</v>
      </c>
      <c r="FK157" s="59">
        <f t="shared" si="156"/>
        <v>292.26503163353146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54.777455183794594</v>
      </c>
      <c r="FR157" s="21">
        <f>EXP(-LN(2)/25)*FR156+(1-EXP(-LN(2)/25))/(LN(2)/25)*Calculateur!FM157*Calculateur!FO157*VLOOKUP('Données projet'!$B$16,Paramètres!$A$1:$I$89,3,0)*0.475*44/12</f>
        <v>14.576069234769443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69.353524418564035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-2.2737367544323206E-13</v>
      </c>
      <c r="GA157" s="17">
        <f>FZ157*VLOOKUP('Données projet'!$B$17,Paramètres!$A$1:$I$89,3,0)*VLOOKUP('Données projet'!$B$17,Paramètres!$A$1:$I$89,5,0)</f>
        <v>-1.3596945791505279E-13</v>
      </c>
      <c r="GB157" s="13" t="e">
        <f t="shared" si="185"/>
        <v>#NUM!</v>
      </c>
      <c r="GC157" s="20" t="e">
        <f t="shared" si="186"/>
        <v>#NUM!</v>
      </c>
      <c r="GD157" s="59" t="e">
        <f t="shared" si="134"/>
        <v>#NUM!</v>
      </c>
      <c r="GE157" s="59">
        <f ca="1">AVERAGE(OFFSET($GD$3,0,0,'Données projet'!$E$17+1,1))-AVERAGE(OFFSET($H$3,0,0,'Données projet'!$E$17+1,1))</f>
        <v>405.42845699663462</v>
      </c>
      <c r="GF157" s="59">
        <f t="shared" si="158"/>
        <v>292.26503163353146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54.777455183794594</v>
      </c>
      <c r="GM157" s="21">
        <f>EXP(-LN(2)/25)*GM156+(1-EXP(-LN(2)/25))/(LN(2)/25)*Calculateur!GH157*Calculateur!GJ157*VLOOKUP('Données projet'!$B$17,Paramètres!$A$1:$I$89,3,0)*0.475*44/12</f>
        <v>14.576069234769443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69.353524418564035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-5.3205440053716299E-14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198.26255998041</v>
      </c>
      <c r="T158" s="59">
        <f t="shared" si="142"/>
        <v>238.62101708181166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16.727033997687435</v>
      </c>
      <c r="AA158" s="21">
        <f>EXP(-LN(2)/25)*AA157+(1-EXP(-LN(2)/25))/(LN(2)/25)*Calculateur!V158*Calculateur!X158*VLOOKUP('Données projet'!$B$9,Paramètres!$A$1:$I$89,3,0)*0.475*44/12</f>
        <v>4.4703288843915701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21.197362882079005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3.4106051316484809E-13</v>
      </c>
      <c r="AJ158" s="13">
        <f>AI158*VLOOKUP('Données projet'!$B$10,Paramètres!$A$1:$I$89,3,0)*VLOOKUP('Données projet'!$B$10,Paramètres!$A$1:$I$89,5,0)</f>
        <v>1.9065282685915009E-13</v>
      </c>
      <c r="AK158" s="13">
        <f t="shared" si="164"/>
        <v>2.6568987209435707E-12</v>
      </c>
      <c r="AL158" s="20">
        <f t="shared" si="165"/>
        <v>4.959485612423072E-12</v>
      </c>
      <c r="AM158" s="59">
        <f t="shared" si="113"/>
        <v>293.33333333333826</v>
      </c>
      <c r="AN158" s="59">
        <f ca="1">AVERAGE(OFFSET($AM$3,0,0,'Données projet'!$E$10+1,1))-AVERAGE(OFFSET($H$3,0,0,'Données projet'!$E$10+1,1))</f>
        <v>347.02720636703873</v>
      </c>
      <c r="AO158" s="59">
        <f t="shared" si="144"/>
        <v>394.03759949558702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36.513335745506161</v>
      </c>
      <c r="AV158" s="21">
        <f>EXP(-LN(2)/25)*AV157+(1-EXP(-LN(2)/25))/(LN(2)/25)*Calculateur!AQ158*Calculateur!AS158*VLOOKUP('Données projet'!$B$10,Paramètres!$A$1:$I$89,3,0)*0.475*44/12</f>
        <v>9.5144077245464995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46.027743470052663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-3.4106051316484809E-13</v>
      </c>
      <c r="BE158" s="13">
        <f>BD158*VLOOKUP('Données projet'!$B$11,Paramètres!$A$1:$I$89,3,0)*VLOOKUP('Données projet'!$B$11,Paramètres!$A$1:$I$89,5,0)</f>
        <v>-2.0395418687257919E-13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378.75660696651238</v>
      </c>
      <c r="BJ158" s="59">
        <f t="shared" si="146"/>
        <v>371.70674704563288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36.119876936187737</v>
      </c>
      <c r="BQ158" s="21">
        <f>EXP(-LN(2)/25)*BQ157+(1-EXP(-LN(2)/25))/(LN(2)/25)*Calculateur!BL158*Calculateur!BN158*VLOOKUP('Données projet'!$B$11,Paramètres!$A$1:$I$89,3,0)*0.475*44/12</f>
        <v>9.1928869575745829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45.312763893762323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4.916666666666667</v>
      </c>
      <c r="BY158" s="12">
        <f>IF('Données projet'!$A$114&gt;35,BY157+BX158-CG157,IF(A158&lt;'Données projet'!$A$114,$BV$205^A158,IF(A158='Données projet'!$A$114,'Données projet'!$B$114,BY157+BX158-CG157)))</f>
        <v>249.83333333333385</v>
      </c>
      <c r="BZ158" s="13">
        <f>BY158*VLOOKUP('Données projet'!$B$12,Paramètres!$A$1:$I$89,3,0)*VLOOKUP('Données projet'!$B$12,Paramètres!$A$1:$I$89,5,0)</f>
        <v>253.33100000000056</v>
      </c>
      <c r="CA158" s="13">
        <f t="shared" si="170"/>
        <v>61.298673971436891</v>
      </c>
      <c r="CB158" s="20">
        <f t="shared" si="171"/>
        <v>547.98001550025356</v>
      </c>
      <c r="CC158" s="59">
        <f t="shared" si="119"/>
        <v>841.31334883358682</v>
      </c>
      <c r="CD158" s="59">
        <f ca="1">AVERAGE(OFFSET($CC$3,0,0,'Données projet'!$E$12+1,1))-AVERAGE(OFFSET($H$3,0,0,'Données projet'!$E$12+1,1))</f>
        <v>410.75375635525211</v>
      </c>
      <c r="CE158" s="59">
        <f t="shared" si="148"/>
        <v>183.55513001437367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42.587349591120301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42.587349591120301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5.916666666666667</v>
      </c>
      <c r="CT158" s="12">
        <f>IF('Données projet'!$A$140&gt;35,CT157+CS158-DB157,IF(A158&lt;'Données projet'!$A$140,$CQ$205^A158,IF(A158='Données projet'!$A$140,'Données projet'!$B$140,CT157+CS158-DB157)))</f>
        <v>350.33333333333326</v>
      </c>
      <c r="CU158" s="17">
        <f>CT158*VLOOKUP('Données projet'!$B$13,Paramètres!$A$1:$I$89,3,0)*VLOOKUP('Données projet'!$B$13,Paramètres!$A$1:$I$89,5,0)</f>
        <v>316.9815999999999</v>
      </c>
      <c r="CV158" s="13">
        <f t="shared" si="173"/>
        <v>74.724970850984974</v>
      </c>
      <c r="CW158" s="20">
        <f t="shared" si="174"/>
        <v>682.22227756546533</v>
      </c>
      <c r="CX158" s="59">
        <f t="shared" si="122"/>
        <v>975.5556108987987</v>
      </c>
      <c r="CY158" s="59">
        <f ca="1">AVERAGE(OFFSET($CX$3,0,0,'Données projet'!$E$13+1,1))-AVERAGE(OFFSET($H$3,0,0,'Données projet'!$E$13+1,1))</f>
        <v>436.12708882925142</v>
      </c>
      <c r="CZ158" s="59">
        <f t="shared" si="150"/>
        <v>217.65884352525285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43.585644515788417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43.585644515788417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3.4106051316484809E-13</v>
      </c>
      <c r="DP158" s="17">
        <f>DO158*VLOOKUP('Données projet'!$B$14,Paramètres!$A$1:$I$89,3,0)*VLOOKUP('Données projet'!$B$14,Paramètres!$A$1:$I$89,5,0)</f>
        <v>3.2455318432766944E-13</v>
      </c>
      <c r="DQ158" s="13">
        <f t="shared" si="176"/>
        <v>4.2513245787534721E-12</v>
      </c>
      <c r="DR158" s="20">
        <f t="shared" si="177"/>
        <v>7.9696537706996534E-12</v>
      </c>
      <c r="DS158" s="59">
        <f t="shared" si="125"/>
        <v>293.33333333334127</v>
      </c>
      <c r="DT158" s="59">
        <f ca="1">AVERAGE(OFFSET($DS$3,0,0,'Données projet'!$E$14+1,1))-AVERAGE(OFFSET($H$3,0,0,'Données projet'!$E$14+1,1))</f>
        <v>735.50267870886194</v>
      </c>
      <c r="DU158" s="59">
        <f t="shared" si="152"/>
        <v>525.80345400853275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96.354557562900212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96.354557562900212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4.916666666666667</v>
      </c>
      <c r="EJ158" s="12">
        <f>IF('Données projet'!$A$192&gt;35,EJ157+EI158-ER157,IF(A158&lt;'Données projet'!$A$192,$EG$205^A158,IF(A158='Données projet'!$A$192,'Données projet'!$B$192,EJ157+EI158-ER157)))</f>
        <v>249.83333333333385</v>
      </c>
      <c r="EK158" s="17">
        <f>EJ158*VLOOKUP('Données projet'!$B$15,Paramètres!$A$1:$I$89,3,0)*VLOOKUP('Données projet'!$B$15,Paramètres!$A$1:$I$89,5,0)</f>
        <v>159.79340000000033</v>
      </c>
      <c r="EL158" s="13">
        <f t="shared" si="179"/>
        <v>40.795912696357171</v>
      </c>
      <c r="EM158" s="20">
        <f t="shared" si="180"/>
        <v>349.35971961282263</v>
      </c>
      <c r="EN158" s="59">
        <f t="shared" si="128"/>
        <v>642.69305294615594</v>
      </c>
      <c r="EO158" s="59">
        <f ca="1">AVERAGE(OFFSET($EN$3,0,0,'Données projet'!$E$15+1,1))-AVERAGE(OFFSET($H$3,0,0,'Données projet'!$E$15+1,1))</f>
        <v>274.14900959323484</v>
      </c>
      <c r="EP158" s="59">
        <f t="shared" si="154"/>
        <v>130.44590390921582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26.862789742091266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26.862789742091266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-2.2737367544323206E-13</v>
      </c>
      <c r="FF158" s="17">
        <f>FE158*VLOOKUP('Données projet'!$B$16,Paramètres!$A$1:$I$89,3,0)*VLOOKUP('Données projet'!$B$16,Paramètres!$A$1:$I$89,5,0)</f>
        <v>-1.3596945791505279E-13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405.42845699663462</v>
      </c>
      <c r="FK158" s="59">
        <f t="shared" si="156"/>
        <v>292.26503163353146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53.703302698588985</v>
      </c>
      <c r="FR158" s="21">
        <f>EXP(-LN(2)/25)*FR157+(1-EXP(-LN(2)/25))/(LN(2)/25)*Calculateur!FM158*Calculateur!FO158*VLOOKUP('Données projet'!$B$16,Paramètres!$A$1:$I$89,3,0)*0.475*44/12</f>
        <v>14.177485855022505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67.880788553611495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-2.2737367544323206E-13</v>
      </c>
      <c r="GA158" s="17">
        <f>FZ158*VLOOKUP('Données projet'!$B$17,Paramètres!$A$1:$I$89,3,0)*VLOOKUP('Données projet'!$B$17,Paramètres!$A$1:$I$89,5,0)</f>
        <v>-1.3596945791505279E-13</v>
      </c>
      <c r="GB158" s="13" t="e">
        <f t="shared" si="185"/>
        <v>#NUM!</v>
      </c>
      <c r="GC158" s="20" t="e">
        <f t="shared" si="186"/>
        <v>#NUM!</v>
      </c>
      <c r="GD158" s="59" t="e">
        <f t="shared" si="134"/>
        <v>#NUM!</v>
      </c>
      <c r="GE158" s="59">
        <f ca="1">AVERAGE(OFFSET($GD$3,0,0,'Données projet'!$E$17+1,1))-AVERAGE(OFFSET($H$3,0,0,'Données projet'!$E$17+1,1))</f>
        <v>405.42845699663462</v>
      </c>
      <c r="GF158" s="59">
        <f t="shared" si="158"/>
        <v>292.26503163353146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53.703302698588985</v>
      </c>
      <c r="GM158" s="21">
        <f>EXP(-LN(2)/25)*GM157+(1-EXP(-LN(2)/25))/(LN(2)/25)*Calculateur!GH158*Calculateur!GJ158*VLOOKUP('Données projet'!$B$17,Paramètres!$A$1:$I$89,3,0)*0.475*44/12</f>
        <v>14.177485855022505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67.880788553611495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-5.3205440053716299E-14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198.26255998041</v>
      </c>
      <c r="T159" s="59">
        <f t="shared" si="142"/>
        <v>238.62101708181166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16.399027063476112</v>
      </c>
      <c r="AA159" s="21">
        <f>EXP(-LN(2)/25)*AA158+(1-EXP(-LN(2)/25))/(LN(2)/25)*Calculateur!V159*Calculateur!X159*VLOOKUP('Données projet'!$B$9,Paramètres!$A$1:$I$89,3,0)*0.475*44/12</f>
        <v>4.3480875059635036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20.747114569439617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3.4106051316484809E-13</v>
      </c>
      <c r="AJ159" s="13">
        <f>AI159*VLOOKUP('Données projet'!$B$10,Paramètres!$A$1:$I$89,3,0)*VLOOKUP('Données projet'!$B$10,Paramètres!$A$1:$I$89,5,0)</f>
        <v>1.9065282685915009E-13</v>
      </c>
      <c r="AK159" s="13">
        <f t="shared" si="164"/>
        <v>2.6568987209435707E-12</v>
      </c>
      <c r="AL159" s="20">
        <f t="shared" si="165"/>
        <v>4.959485612423072E-12</v>
      </c>
      <c r="AM159" s="59">
        <f t="shared" si="113"/>
        <v>293.33333333333826</v>
      </c>
      <c r="AN159" s="59">
        <f ca="1">AVERAGE(OFFSET($AM$3,0,0,'Données projet'!$E$10+1,1))-AVERAGE(OFFSET($H$3,0,0,'Données projet'!$E$10+1,1))</f>
        <v>347.02720636703873</v>
      </c>
      <c r="AO159" s="59">
        <f t="shared" si="144"/>
        <v>394.03759949558702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35.797331502472517</v>
      </c>
      <c r="AV159" s="21">
        <f>EXP(-LN(2)/25)*AV158+(1-EXP(-LN(2)/25))/(LN(2)/25)*Calculateur!AQ159*Calculateur!AS159*VLOOKUP('Données projet'!$B$10,Paramètres!$A$1:$I$89,3,0)*0.475*44/12</f>
        <v>9.2542357449778194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45.051567247450336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-3.4106051316484809E-13</v>
      </c>
      <c r="BE159" s="13">
        <f>BD159*VLOOKUP('Données projet'!$B$11,Paramètres!$A$1:$I$89,3,0)*VLOOKUP('Données projet'!$B$11,Paramètres!$A$1:$I$89,5,0)</f>
        <v>-2.0395418687257919E-13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378.75660696651238</v>
      </c>
      <c r="BJ159" s="59">
        <f t="shared" si="146"/>
        <v>371.70674704563288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35.411588180418647</v>
      </c>
      <c r="BQ159" s="21">
        <f>EXP(-LN(2)/25)*BQ158+(1-EXP(-LN(2)/25))/(LN(2)/25)*Calculateur!BL159*Calculateur!BN159*VLOOKUP('Données projet'!$B$11,Paramètres!$A$1:$I$89,3,0)*0.475*44/12</f>
        <v>8.9415069802867908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44.353095160705436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4.916666666666667</v>
      </c>
      <c r="BY159" s="12">
        <f>IF('Données projet'!$A$114&gt;35,BY158+BX159-CG158,IF(A159&lt;'Données projet'!$A$114,$BV$205^A159,IF(A159='Données projet'!$A$114,'Données projet'!$B$114,BY158+BX159-CG158)))</f>
        <v>254.75000000000051</v>
      </c>
      <c r="BZ159" s="13">
        <f>BY159*VLOOKUP('Données projet'!$B$12,Paramètres!$A$1:$I$89,3,0)*VLOOKUP('Données projet'!$B$12,Paramètres!$A$1:$I$89,5,0)</f>
        <v>258.31650000000053</v>
      </c>
      <c r="CA159" s="13">
        <f t="shared" si="170"/>
        <v>62.36338822856753</v>
      </c>
      <c r="CB159" s="20">
        <f t="shared" si="171"/>
        <v>558.51747199808938</v>
      </c>
      <c r="CC159" s="59">
        <f t="shared" si="119"/>
        <v>851.85080533142263</v>
      </c>
      <c r="CD159" s="59">
        <f ca="1">AVERAGE(OFFSET($CC$3,0,0,'Données projet'!$E$12+1,1))-AVERAGE(OFFSET($H$3,0,0,'Données projet'!$E$12+1,1))</f>
        <v>410.75375635525211</v>
      </c>
      <c r="CE159" s="59">
        <f t="shared" si="148"/>
        <v>183.55513001437367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41.752237641356793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41.752237641356793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5.916666666666667</v>
      </c>
      <c r="CT159" s="12">
        <f>IF('Données projet'!$A$140&gt;35,CT158+CS159-DB158,IF(A159&lt;'Données projet'!$A$140,$CQ$205^A159,IF(A159='Données projet'!$A$140,'Données projet'!$B$140,CT158+CS159-DB158)))</f>
        <v>356.24999999999994</v>
      </c>
      <c r="CU159" s="17">
        <f>CT159*VLOOKUP('Données projet'!$B$13,Paramètres!$A$1:$I$89,3,0)*VLOOKUP('Données projet'!$B$13,Paramètres!$A$1:$I$89,5,0)</f>
        <v>322.33499999999992</v>
      </c>
      <c r="CV159" s="13">
        <f t="shared" si="173"/>
        <v>75.838990055015756</v>
      </c>
      <c r="CW159" s="20">
        <f t="shared" si="174"/>
        <v>693.48636601248563</v>
      </c>
      <c r="CX159" s="59">
        <f t="shared" si="122"/>
        <v>986.81969934581889</v>
      </c>
      <c r="CY159" s="59">
        <f ca="1">AVERAGE(OFFSET($CX$3,0,0,'Données projet'!$E$13+1,1))-AVERAGE(OFFSET($H$3,0,0,'Données projet'!$E$13+1,1))</f>
        <v>436.12708882925142</v>
      </c>
      <c r="CZ159" s="59">
        <f t="shared" si="150"/>
        <v>217.65884352525285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42.730956611451944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42.730956611451944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3.4106051316484809E-13</v>
      </c>
      <c r="DP159" s="17">
        <f>DO159*VLOOKUP('Données projet'!$B$14,Paramètres!$A$1:$I$89,3,0)*VLOOKUP('Données projet'!$B$14,Paramètres!$A$1:$I$89,5,0)</f>
        <v>3.2455318432766944E-13</v>
      </c>
      <c r="DQ159" s="13">
        <f t="shared" si="176"/>
        <v>4.2513245787534721E-12</v>
      </c>
      <c r="DR159" s="20">
        <f t="shared" si="177"/>
        <v>7.9696537706996534E-12</v>
      </c>
      <c r="DS159" s="59">
        <f t="shared" si="125"/>
        <v>293.33333333334127</v>
      </c>
      <c r="DT159" s="59">
        <f ca="1">AVERAGE(OFFSET($DS$3,0,0,'Données projet'!$E$14+1,1))-AVERAGE(OFFSET($H$3,0,0,'Données projet'!$E$14+1,1))</f>
        <v>735.50267870886194</v>
      </c>
      <c r="DU159" s="59">
        <f t="shared" si="152"/>
        <v>525.80345400853275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94.465103459568752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94.465103459568752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4.916666666666667</v>
      </c>
      <c r="EJ159" s="12">
        <f>IF('Données projet'!$A$192&gt;35,EJ158+EI159-ER158,IF(A159&lt;'Données projet'!$A$192,$EG$205^A159,IF(A159='Données projet'!$A$192,'Données projet'!$B$192,EJ158+EI159-ER158)))</f>
        <v>254.75000000000051</v>
      </c>
      <c r="EK159" s="17">
        <f>EJ159*VLOOKUP('Données projet'!$B$15,Paramètres!$A$1:$I$89,3,0)*VLOOKUP('Données projet'!$B$15,Paramètres!$A$1:$I$89,5,0)</f>
        <v>162.93810000000033</v>
      </c>
      <c r="EL159" s="13">
        <f t="shared" si="179"/>
        <v>41.504508609879025</v>
      </c>
      <c r="EM159" s="20">
        <f t="shared" si="180"/>
        <v>356.0708766622065</v>
      </c>
      <c r="EN159" s="59">
        <f t="shared" si="128"/>
        <v>649.40420999553976</v>
      </c>
      <c r="EO159" s="59">
        <f ca="1">AVERAGE(OFFSET($EN$3,0,0,'Données projet'!$E$15+1,1))-AVERAGE(OFFSET($H$3,0,0,'Données projet'!$E$15+1,1))</f>
        <v>274.14900959323484</v>
      </c>
      <c r="EP159" s="59">
        <f t="shared" si="154"/>
        <v>130.44590390921582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26.336026819932744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26.336026819932744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-2.2737367544323206E-13</v>
      </c>
      <c r="FF159" s="17">
        <f>FE159*VLOOKUP('Données projet'!$B$16,Paramètres!$A$1:$I$89,3,0)*VLOOKUP('Données projet'!$B$16,Paramètres!$A$1:$I$89,5,0)</f>
        <v>-1.3596945791505279E-13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405.42845699663462</v>
      </c>
      <c r="FK159" s="59">
        <f t="shared" si="156"/>
        <v>292.26503163353146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52.650213688449938</v>
      </c>
      <c r="FR159" s="21">
        <f>EXP(-LN(2)/25)*FR158+(1-EXP(-LN(2)/25))/(LN(2)/25)*Calculateur!FM159*Calculateur!FO159*VLOOKUP('Données projet'!$B$16,Paramètres!$A$1:$I$89,3,0)*0.475*44/12</f>
        <v>13.789801758755337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66.440015447205269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-2.2737367544323206E-13</v>
      </c>
      <c r="GA159" s="17">
        <f>FZ159*VLOOKUP('Données projet'!$B$17,Paramètres!$A$1:$I$89,3,0)*VLOOKUP('Données projet'!$B$17,Paramètres!$A$1:$I$89,5,0)</f>
        <v>-1.3596945791505279E-13</v>
      </c>
      <c r="GB159" s="13" t="e">
        <f t="shared" si="185"/>
        <v>#NUM!</v>
      </c>
      <c r="GC159" s="20" t="e">
        <f t="shared" si="186"/>
        <v>#NUM!</v>
      </c>
      <c r="GD159" s="59" t="e">
        <f t="shared" si="134"/>
        <v>#NUM!</v>
      </c>
      <c r="GE159" s="59">
        <f ca="1">AVERAGE(OFFSET($GD$3,0,0,'Données projet'!$E$17+1,1))-AVERAGE(OFFSET($H$3,0,0,'Données projet'!$E$17+1,1))</f>
        <v>405.42845699663462</v>
      </c>
      <c r="GF159" s="59">
        <f t="shared" si="158"/>
        <v>292.26503163353146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52.650213688449938</v>
      </c>
      <c r="GM159" s="21">
        <f>EXP(-LN(2)/25)*GM158+(1-EXP(-LN(2)/25))/(LN(2)/25)*Calculateur!GH159*Calculateur!GJ159*VLOOKUP('Données projet'!$B$17,Paramètres!$A$1:$I$89,3,0)*0.475*44/12</f>
        <v>13.789801758755337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66.440015447205269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-5.3205440053716299E-14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198.26255998041</v>
      </c>
      <c r="T160" s="59">
        <f t="shared" si="142"/>
        <v>238.62101708181166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16.077452145180196</v>
      </c>
      <c r="AA160" s="21">
        <f>EXP(-LN(2)/25)*AA159+(1-EXP(-LN(2)/25))/(LN(2)/25)*Calculateur!V160*Calculateur!X160*VLOOKUP('Données projet'!$B$9,Paramètres!$A$1:$I$89,3,0)*0.475*44/12</f>
        <v>4.2291888244569469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20.306640969637144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3.4106051316484809E-13</v>
      </c>
      <c r="AJ160" s="13">
        <f>AI160*VLOOKUP('Données projet'!$B$10,Paramètres!$A$1:$I$89,3,0)*VLOOKUP('Données projet'!$B$10,Paramètres!$A$1:$I$89,5,0)</f>
        <v>1.9065282685915009E-13</v>
      </c>
      <c r="AK160" s="13">
        <f t="shared" si="164"/>
        <v>2.6568987209435707E-12</v>
      </c>
      <c r="AL160" s="20">
        <f t="shared" si="165"/>
        <v>4.959485612423072E-12</v>
      </c>
      <c r="AM160" s="59">
        <f t="shared" si="113"/>
        <v>293.33333333333826</v>
      </c>
      <c r="AN160" s="59">
        <f ca="1">AVERAGE(OFFSET($AM$3,0,0,'Données projet'!$E$10+1,1))-AVERAGE(OFFSET($H$3,0,0,'Données projet'!$E$10+1,1))</f>
        <v>347.02720636703873</v>
      </c>
      <c r="AO160" s="59">
        <f t="shared" si="144"/>
        <v>394.03759949558702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35.095367665925295</v>
      </c>
      <c r="AV160" s="21">
        <f>EXP(-LN(2)/25)*AV159+(1-EXP(-LN(2)/25))/(LN(2)/25)*Calculateur!AQ160*Calculateur!AS160*VLOOKUP('Données projet'!$B$10,Paramètres!$A$1:$I$89,3,0)*0.475*44/12</f>
        <v>9.0011781818722945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44.096545847797586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-3.4106051316484809E-13</v>
      </c>
      <c r="BE160" s="13">
        <f>BD160*VLOOKUP('Données projet'!$B$11,Paramètres!$A$1:$I$89,3,0)*VLOOKUP('Données projet'!$B$11,Paramètres!$A$1:$I$89,5,0)</f>
        <v>-2.0395418687257919E-13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378.75660696651238</v>
      </c>
      <c r="BJ160" s="59">
        <f t="shared" si="146"/>
        <v>371.70674704563288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34.717188535136707</v>
      </c>
      <c r="BQ160" s="21">
        <f>EXP(-LN(2)/25)*BQ159+(1-EXP(-LN(2)/25))/(LN(2)/25)*Calculateur!BL160*Calculateur!BN160*VLOOKUP('Données projet'!$B$11,Paramètres!$A$1:$I$89,3,0)*0.475*44/12</f>
        <v>8.6970010016974317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43.414189536834137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4.916666666666667</v>
      </c>
      <c r="BY160" s="12">
        <f>IF('Données projet'!$A$114&gt;35,BY159+BX160-CG159,IF(A160&lt;'Données projet'!$A$114,$BV$205^A160,IF(A160='Données projet'!$A$114,'Données projet'!$B$114,BY159+BX160-CG159)))</f>
        <v>259.6666666666672</v>
      </c>
      <c r="BZ160" s="13">
        <f>BY160*VLOOKUP('Données projet'!$B$12,Paramètres!$A$1:$I$89,3,0)*VLOOKUP('Données projet'!$B$12,Paramètres!$A$1:$I$89,5,0)</f>
        <v>263.30200000000053</v>
      </c>
      <c r="CA160" s="13">
        <f t="shared" si="170"/>
        <v>63.425713115780454</v>
      </c>
      <c r="CB160" s="20">
        <f t="shared" si="171"/>
        <v>569.05076700998518</v>
      </c>
      <c r="CC160" s="59">
        <f t="shared" si="119"/>
        <v>862.38410034331855</v>
      </c>
      <c r="CD160" s="59">
        <f ca="1">AVERAGE(OFFSET($CC$3,0,0,'Données projet'!$E$12+1,1))-AVERAGE(OFFSET($H$3,0,0,'Données projet'!$E$12+1,1))</f>
        <v>410.75375635525211</v>
      </c>
      <c r="CE160" s="59">
        <f t="shared" si="148"/>
        <v>183.55513001437367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40.933501727560156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40.933501727560156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5.916666666666667</v>
      </c>
      <c r="CT160" s="12">
        <f>IF('Données projet'!$A$140&gt;35,CT159+CS160-DB159,IF(A160&lt;'Données projet'!$A$140,$CQ$205^A160,IF(A160='Données projet'!$A$140,'Données projet'!$B$140,CT159+CS160-DB159)))</f>
        <v>362.16666666666663</v>
      </c>
      <c r="CU160" s="17">
        <f>CT160*VLOOKUP('Données projet'!$B$13,Paramètres!$A$1:$I$89,3,0)*VLOOKUP('Données projet'!$B$13,Paramètres!$A$1:$I$89,5,0)</f>
        <v>327.6884</v>
      </c>
      <c r="CV160" s="13">
        <f t="shared" si="173"/>
        <v>76.950857620696269</v>
      </c>
      <c r="CW160" s="20">
        <f t="shared" si="174"/>
        <v>704.7467070227126</v>
      </c>
      <c r="CX160" s="59">
        <f t="shared" si="122"/>
        <v>998.08004035604586</v>
      </c>
      <c r="CY160" s="59">
        <f ca="1">AVERAGE(OFFSET($CX$3,0,0,'Données projet'!$E$13+1,1))-AVERAGE(OFFSET($H$3,0,0,'Données projet'!$E$13+1,1))</f>
        <v>436.12708882925142</v>
      </c>
      <c r="CZ160" s="59">
        <f t="shared" si="150"/>
        <v>217.65884352525285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41.893028615611364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41.893028615611364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3.4106051316484809E-13</v>
      </c>
      <c r="DP160" s="17">
        <f>DO160*VLOOKUP('Données projet'!$B$14,Paramètres!$A$1:$I$89,3,0)*VLOOKUP('Données projet'!$B$14,Paramètres!$A$1:$I$89,5,0)</f>
        <v>3.2455318432766944E-13</v>
      </c>
      <c r="DQ160" s="13">
        <f t="shared" si="176"/>
        <v>4.2513245787534721E-12</v>
      </c>
      <c r="DR160" s="20">
        <f t="shared" si="177"/>
        <v>7.9696537706996534E-12</v>
      </c>
      <c r="DS160" s="59">
        <f t="shared" si="125"/>
        <v>293.33333333334127</v>
      </c>
      <c r="DT160" s="59">
        <f ca="1">AVERAGE(OFFSET($DS$3,0,0,'Données projet'!$E$14+1,1))-AVERAGE(OFFSET($H$3,0,0,'Données projet'!$E$14+1,1))</f>
        <v>735.50267870886194</v>
      </c>
      <c r="DU160" s="59">
        <f t="shared" si="152"/>
        <v>525.80345400853275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92.612700398750405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92.612700398750405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4.916666666666667</v>
      </c>
      <c r="EJ160" s="12">
        <f>IF('Données projet'!$A$192&gt;35,EJ159+EI160-ER159,IF(A160&lt;'Données projet'!$A$192,$EG$205^A160,IF(A160='Données projet'!$A$192,'Données projet'!$B$192,EJ159+EI160-ER159)))</f>
        <v>259.6666666666672</v>
      </c>
      <c r="EK160" s="17">
        <f>EJ160*VLOOKUP('Données projet'!$B$15,Paramètres!$A$1:$I$89,3,0)*VLOOKUP('Données projet'!$B$15,Paramètres!$A$1:$I$89,5,0)</f>
        <v>166.08280000000033</v>
      </c>
      <c r="EL160" s="13">
        <f t="shared" si="179"/>
        <v>42.211514333593371</v>
      </c>
      <c r="EM160" s="20">
        <f t="shared" si="180"/>
        <v>362.77926413100903</v>
      </c>
      <c r="EN160" s="59">
        <f t="shared" si="128"/>
        <v>656.11259746434234</v>
      </c>
      <c r="EO160" s="59">
        <f ca="1">AVERAGE(OFFSET($EN$3,0,0,'Données projet'!$E$15+1,1))-AVERAGE(OFFSET($H$3,0,0,'Données projet'!$E$15+1,1))</f>
        <v>274.14900959323484</v>
      </c>
      <c r="EP160" s="59">
        <f t="shared" si="154"/>
        <v>130.44590390921582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25.819593397384097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25.819593397384097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-2.2737367544323206E-13</v>
      </c>
      <c r="FF160" s="17">
        <f>FE160*VLOOKUP('Données projet'!$B$16,Paramètres!$A$1:$I$89,3,0)*VLOOKUP('Données projet'!$B$16,Paramètres!$A$1:$I$89,5,0)</f>
        <v>-1.3596945791505279E-13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405.42845699663462</v>
      </c>
      <c r="FK160" s="59">
        <f t="shared" si="156"/>
        <v>292.26503163353146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51.617775111478842</v>
      </c>
      <c r="FR160" s="21">
        <f>EXP(-LN(2)/25)*FR159+(1-EXP(-LN(2)/25))/(LN(2)/25)*Calculateur!FM160*Calculateur!FO160*VLOOKUP('Données projet'!$B$16,Paramètres!$A$1:$I$89,3,0)*0.475*44/12</f>
        <v>13.412718904488015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65.030494015966852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-2.2737367544323206E-13</v>
      </c>
      <c r="GA160" s="17">
        <f>FZ160*VLOOKUP('Données projet'!$B$17,Paramètres!$A$1:$I$89,3,0)*VLOOKUP('Données projet'!$B$17,Paramètres!$A$1:$I$89,5,0)</f>
        <v>-1.3596945791505279E-13</v>
      </c>
      <c r="GB160" s="13" t="e">
        <f t="shared" si="185"/>
        <v>#NUM!</v>
      </c>
      <c r="GC160" s="20" t="e">
        <f t="shared" si="186"/>
        <v>#NUM!</v>
      </c>
      <c r="GD160" s="59" t="e">
        <f t="shared" si="134"/>
        <v>#NUM!</v>
      </c>
      <c r="GE160" s="59">
        <f ca="1">AVERAGE(OFFSET($GD$3,0,0,'Données projet'!$E$17+1,1))-AVERAGE(OFFSET($H$3,0,0,'Données projet'!$E$17+1,1))</f>
        <v>405.42845699663462</v>
      </c>
      <c r="GF160" s="59">
        <f t="shared" si="158"/>
        <v>292.26503163353146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51.617775111478842</v>
      </c>
      <c r="GM160" s="21">
        <f>EXP(-LN(2)/25)*GM159+(1-EXP(-LN(2)/25))/(LN(2)/25)*Calculateur!GH160*Calculateur!GJ160*VLOOKUP('Données projet'!$B$17,Paramètres!$A$1:$I$89,3,0)*0.475*44/12</f>
        <v>13.412718904488015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65.030494015966852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-5.3205440053716299E-14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198.26255998041</v>
      </c>
      <c r="T161" s="59">
        <f t="shared" si="142"/>
        <v>238.62101708181166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15.762183114890732</v>
      </c>
      <c r="AA161" s="21">
        <f>EXP(-LN(2)/25)*AA160+(1-EXP(-LN(2)/25))/(LN(2)/25)*Calculateur!V161*Calculateur!X161*VLOOKUP('Données projet'!$B$9,Paramètres!$A$1:$I$89,3,0)*0.475*44/12</f>
        <v>4.1135414336487974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19.87572454853953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3.4106051316484809E-13</v>
      </c>
      <c r="AJ161" s="13">
        <f>AI161*VLOOKUP('Données projet'!$B$10,Paramètres!$A$1:$I$89,3,0)*VLOOKUP('Données projet'!$B$10,Paramètres!$A$1:$I$89,5,0)</f>
        <v>1.9065282685915009E-13</v>
      </c>
      <c r="AK161" s="13">
        <f t="shared" si="164"/>
        <v>2.6568987209435707E-12</v>
      </c>
      <c r="AL161" s="20">
        <f t="shared" si="165"/>
        <v>4.959485612423072E-12</v>
      </c>
      <c r="AM161" s="59">
        <f t="shared" si="113"/>
        <v>293.33333333333826</v>
      </c>
      <c r="AN161" s="59">
        <f ca="1">AVERAGE(OFFSET($AM$3,0,0,'Données projet'!$E$10+1,1))-AVERAGE(OFFSET($H$3,0,0,'Données projet'!$E$10+1,1))</f>
        <v>347.02720636703873</v>
      </c>
      <c r="AO161" s="59">
        <f t="shared" si="144"/>
        <v>394.03759949558702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34.407168912057102</v>
      </c>
      <c r="AV161" s="21">
        <f>EXP(-LN(2)/25)*AV160+(1-EXP(-LN(2)/25))/(LN(2)/25)*Calculateur!AQ161*Calculateur!AS161*VLOOKUP('Données projet'!$B$10,Paramètres!$A$1:$I$89,3,0)*0.475*44/12</f>
        <v>8.7550404911376081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43.162209403194709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-3.4106051316484809E-13</v>
      </c>
      <c r="BE161" s="13">
        <f>BD161*VLOOKUP('Données projet'!$B$11,Paramètres!$A$1:$I$89,3,0)*VLOOKUP('Données projet'!$B$11,Paramètres!$A$1:$I$89,5,0)</f>
        <v>-2.0395418687257919E-13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378.75660696651238</v>
      </c>
      <c r="BJ161" s="59">
        <f t="shared" si="146"/>
        <v>371.70674704563288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34.036405643356787</v>
      </c>
      <c r="BQ161" s="21">
        <f>EXP(-LN(2)/25)*BQ160+(1-EXP(-LN(2)/25))/(LN(2)/25)*Calculateur!BL161*Calculateur!BN161*VLOOKUP('Données projet'!$B$11,Paramètres!$A$1:$I$89,3,0)*0.475*44/12</f>
        <v>8.4591810519506101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42.495586695307395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4.916666666666667</v>
      </c>
      <c r="BY161" s="12">
        <f>IF('Données projet'!$A$114&gt;35,BY160+BX161-CG160,IF(A161&lt;'Données projet'!$A$114,$BV$205^A161,IF(A161='Données projet'!$A$114,'Données projet'!$B$114,BY160+BX161-CG160)))</f>
        <v>264.58333333333388</v>
      </c>
      <c r="BZ161" s="13">
        <f>BY161*VLOOKUP('Données projet'!$B$12,Paramètres!$A$1:$I$89,3,0)*VLOOKUP('Données projet'!$B$12,Paramètres!$A$1:$I$89,5,0)</f>
        <v>268.28750000000059</v>
      </c>
      <c r="CA161" s="13">
        <f t="shared" si="170"/>
        <v>64.485699091261722</v>
      </c>
      <c r="CB161" s="20">
        <f t="shared" si="171"/>
        <v>579.57998841728181</v>
      </c>
      <c r="CC161" s="59">
        <f t="shared" si="119"/>
        <v>872.91332175061507</v>
      </c>
      <c r="CD161" s="59">
        <f ca="1">AVERAGE(OFFSET($CC$3,0,0,'Données projet'!$E$12+1,1))-AVERAGE(OFFSET($H$3,0,0,'Données projet'!$E$12+1,1))</f>
        <v>410.75375635525211</v>
      </c>
      <c r="CE161" s="59">
        <f t="shared" si="148"/>
        <v>183.55513001437367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40.130820725653471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40.130820725653471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5.916666666666667</v>
      </c>
      <c r="CT161" s="12">
        <f>IF('Données projet'!$A$140&gt;35,CT160+CS161-DB160,IF(A161&lt;'Données projet'!$A$140,$CQ$205^A161,IF(A161='Données projet'!$A$140,'Données projet'!$B$140,CT160+CS161-DB160)))</f>
        <v>368.08333333333331</v>
      </c>
      <c r="CU161" s="17">
        <f>CT161*VLOOKUP('Données projet'!$B$13,Paramètres!$A$1:$I$89,3,0)*VLOOKUP('Données projet'!$B$13,Paramètres!$A$1:$I$89,5,0)</f>
        <v>333.04179999999997</v>
      </c>
      <c r="CV161" s="13">
        <f t="shared" si="173"/>
        <v>78.060612756848215</v>
      </c>
      <c r="CW161" s="20">
        <f t="shared" si="174"/>
        <v>716.00336888484389</v>
      </c>
      <c r="CX161" s="59">
        <f t="shared" si="122"/>
        <v>1009.3367022181772</v>
      </c>
      <c r="CY161" s="59">
        <f ca="1">AVERAGE(OFFSET($CX$3,0,0,'Données projet'!$E$13+1,1))-AVERAGE(OFFSET($H$3,0,0,'Données projet'!$E$13+1,1))</f>
        <v>436.12708882925142</v>
      </c>
      <c r="CZ161" s="59">
        <f t="shared" si="150"/>
        <v>217.65884352525285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41.071531876683608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41.071531876683608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3.4106051316484809E-13</v>
      </c>
      <c r="DP161" s="17">
        <f>DO161*VLOOKUP('Données projet'!$B$14,Paramètres!$A$1:$I$89,3,0)*VLOOKUP('Données projet'!$B$14,Paramètres!$A$1:$I$89,5,0)</f>
        <v>3.2455318432766944E-13</v>
      </c>
      <c r="DQ161" s="13">
        <f t="shared" si="176"/>
        <v>4.2513245787534721E-12</v>
      </c>
      <c r="DR161" s="20">
        <f t="shared" si="177"/>
        <v>7.9696537706996534E-12</v>
      </c>
      <c r="DS161" s="59">
        <f t="shared" si="125"/>
        <v>293.33333333334127</v>
      </c>
      <c r="DT161" s="59">
        <f ca="1">AVERAGE(OFFSET($DS$3,0,0,'Données projet'!$E$14+1,1))-AVERAGE(OFFSET($H$3,0,0,'Données projet'!$E$14+1,1))</f>
        <v>735.50267870886194</v>
      </c>
      <c r="DU161" s="59">
        <f t="shared" si="152"/>
        <v>525.80345400853275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90.796621832100413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90.796621832100413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4.916666666666667</v>
      </c>
      <c r="EJ161" s="12">
        <f>IF('Données projet'!$A$192&gt;35,EJ160+EI161-ER160,IF(A161&lt;'Données projet'!$A$192,$EG$205^A161,IF(A161='Données projet'!$A$192,'Données projet'!$B$192,EJ160+EI161-ER160)))</f>
        <v>264.58333333333388</v>
      </c>
      <c r="EK161" s="17">
        <f>EJ161*VLOOKUP('Données projet'!$B$15,Paramètres!$A$1:$I$89,3,0)*VLOOKUP('Données projet'!$B$15,Paramètres!$A$1:$I$89,5,0)</f>
        <v>169.22750000000033</v>
      </c>
      <c r="EL161" s="13">
        <f t="shared" si="179"/>
        <v>42.916963448777281</v>
      </c>
      <c r="EM161" s="20">
        <f t="shared" si="180"/>
        <v>369.48494050662106</v>
      </c>
      <c r="EN161" s="59">
        <f t="shared" si="128"/>
        <v>662.81827383995437</v>
      </c>
      <c r="EO161" s="59">
        <f ca="1">AVERAGE(OFFSET($EN$3,0,0,'Données projet'!$E$15+1,1))-AVERAGE(OFFSET($H$3,0,0,'Données projet'!$E$15+1,1))</f>
        <v>274.14900959323484</v>
      </c>
      <c r="EP161" s="59">
        <f t="shared" si="154"/>
        <v>130.44590390921582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25.313286919258342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25.313286919258342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-2.2737367544323206E-13</v>
      </c>
      <c r="FF161" s="17">
        <f>FE161*VLOOKUP('Données projet'!$B$16,Paramètres!$A$1:$I$89,3,0)*VLOOKUP('Données projet'!$B$16,Paramètres!$A$1:$I$89,5,0)</f>
        <v>-1.3596945791505279E-13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405.42845699663462</v>
      </c>
      <c r="FK161" s="59">
        <f t="shared" si="156"/>
        <v>292.26503163353146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50.605582025276803</v>
      </c>
      <c r="FR161" s="21">
        <f>EXP(-LN(2)/25)*FR160+(1-EXP(-LN(2)/25))/(LN(2)/25)*Calculateur!FM161*Calculateur!FO161*VLOOKUP('Données projet'!$B$16,Paramètres!$A$1:$I$89,3,0)*0.475*44/12</f>
        <v>13.045947400700559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63.651529425977358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-2.2737367544323206E-13</v>
      </c>
      <c r="GA161" s="17">
        <f>FZ161*VLOOKUP('Données projet'!$B$17,Paramètres!$A$1:$I$89,3,0)*VLOOKUP('Données projet'!$B$17,Paramètres!$A$1:$I$89,5,0)</f>
        <v>-1.3596945791505279E-13</v>
      </c>
      <c r="GB161" s="13" t="e">
        <f t="shared" si="185"/>
        <v>#NUM!</v>
      </c>
      <c r="GC161" s="20" t="e">
        <f t="shared" si="186"/>
        <v>#NUM!</v>
      </c>
      <c r="GD161" s="59" t="e">
        <f t="shared" si="134"/>
        <v>#NUM!</v>
      </c>
      <c r="GE161" s="59">
        <f ca="1">AVERAGE(OFFSET($GD$3,0,0,'Données projet'!$E$17+1,1))-AVERAGE(OFFSET($H$3,0,0,'Données projet'!$E$17+1,1))</f>
        <v>405.42845699663462</v>
      </c>
      <c r="GF161" s="59">
        <f t="shared" si="158"/>
        <v>292.26503163353146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50.605582025276803</v>
      </c>
      <c r="GM161" s="21">
        <f>EXP(-LN(2)/25)*GM160+(1-EXP(-LN(2)/25))/(LN(2)/25)*Calculateur!GH161*Calculateur!GJ161*VLOOKUP('Données projet'!$B$17,Paramètres!$A$1:$I$89,3,0)*0.475*44/12</f>
        <v>13.045947400700559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63.651529425977358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-5.3205440053716299E-14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198.26255998041</v>
      </c>
      <c r="T162" s="59">
        <f t="shared" si="142"/>
        <v>238.62101708181166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15.453096317990124</v>
      </c>
      <c r="AA162" s="21">
        <f>EXP(-LN(2)/25)*AA161+(1-EXP(-LN(2)/25))/(LN(2)/25)*Calculateur!V162*Calculateur!X162*VLOOKUP('Données projet'!$B$9,Paramètres!$A$1:$I$89,3,0)*0.475*44/12</f>
        <v>4.0010564268239284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19.454152744814053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3.4106051316484809E-13</v>
      </c>
      <c r="AJ162" s="13">
        <f>AI162*VLOOKUP('Données projet'!$B$10,Paramètres!$A$1:$I$89,3,0)*VLOOKUP('Données projet'!$B$10,Paramètres!$A$1:$I$89,5,0)</f>
        <v>1.9065282685915009E-13</v>
      </c>
      <c r="AK162" s="13">
        <f t="shared" si="164"/>
        <v>2.6568987209435707E-12</v>
      </c>
      <c r="AL162" s="20">
        <f t="shared" si="165"/>
        <v>4.959485612423072E-12</v>
      </c>
      <c r="AM162" s="59">
        <f t="shared" si="113"/>
        <v>293.33333333333826</v>
      </c>
      <c r="AN162" s="59">
        <f ca="1">AVERAGE(OFFSET($AM$3,0,0,'Données projet'!$E$10+1,1))-AVERAGE(OFFSET($H$3,0,0,'Données projet'!$E$10+1,1))</f>
        <v>347.02720636703873</v>
      </c>
      <c r="AO162" s="59">
        <f t="shared" si="144"/>
        <v>394.03759949558702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33.732465315992471</v>
      </c>
      <c r="AV162" s="21">
        <f>EXP(-LN(2)/25)*AV161+(1-EXP(-LN(2)/25))/(LN(2)/25)*Calculateur!AQ162*Calculateur!AS162*VLOOKUP('Données projet'!$B$10,Paramètres!$A$1:$I$89,3,0)*0.475*44/12</f>
        <v>8.5156334484998801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42.248098764492354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-3.4106051316484809E-13</v>
      </c>
      <c r="BE162" s="13">
        <f>BD162*VLOOKUP('Données projet'!$B$11,Paramètres!$A$1:$I$89,3,0)*VLOOKUP('Données projet'!$B$11,Paramètres!$A$1:$I$89,5,0)</f>
        <v>-2.0395418687257919E-13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378.75660696651238</v>
      </c>
      <c r="BJ162" s="59">
        <f t="shared" si="146"/>
        <v>371.70674704563288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33.368972488848108</v>
      </c>
      <c r="BQ162" s="21">
        <f>EXP(-LN(2)/25)*BQ161+(1-EXP(-LN(2)/25))/(LN(2)/25)*Calculateur!BL162*Calculateur!BN162*VLOOKUP('Données projet'!$B$11,Paramètres!$A$1:$I$89,3,0)*0.475*44/12</f>
        <v>8.2278643012360231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41.596836790084133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4.916666666666667</v>
      </c>
      <c r="BY162" s="12">
        <f>IF('Données projet'!$A$114&gt;35,BY161+BX162-CG161,IF(A162&lt;'Données projet'!$A$114,$BV$205^A162,IF(A162='Données projet'!$A$114,'Données projet'!$B$114,BY161+BX162-CG161)))</f>
        <v>269.50000000000057</v>
      </c>
      <c r="BZ162" s="13">
        <f>BY162*VLOOKUP('Données projet'!$B$12,Paramètres!$A$1:$I$89,3,0)*VLOOKUP('Données projet'!$B$12,Paramètres!$A$1:$I$89,5,0)</f>
        <v>273.27300000000059</v>
      </c>
      <c r="CA162" s="13">
        <f t="shared" si="170"/>
        <v>65.543394630561536</v>
      </c>
      <c r="CB162" s="20">
        <f t="shared" si="171"/>
        <v>590.10522064822896</v>
      </c>
      <c r="CC162" s="59">
        <f t="shared" si="119"/>
        <v>883.43855398156234</v>
      </c>
      <c r="CD162" s="59">
        <f ca="1">AVERAGE(OFFSET($CC$3,0,0,'Données projet'!$E$12+1,1))-AVERAGE(OFFSET($H$3,0,0,'Données projet'!$E$12+1,1))</f>
        <v>410.75375635525211</v>
      </c>
      <c r="CE162" s="59">
        <f t="shared" si="148"/>
        <v>183.55513001437367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39.343879808607106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39.343879808607106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>
        <f>VLOOKUP(A162,'Données projet'!$A$139:$I$159,2,0)</f>
        <v>374</v>
      </c>
      <c r="CR162" s="12">
        <f>VLOOKUP(A162,'Données projet'!$A$139:$I$159,9,0)</f>
        <v>5.916666666666667</v>
      </c>
      <c r="CS162" s="12">
        <f t="array" ref="CS162">INDEX(CR:CR,MIN(IF(ISNUMBER(CR162:CR358),ROW(CR162:CR358),"")))</f>
        <v>5.916666666666667</v>
      </c>
      <c r="CT162" s="12">
        <f>IF('Données projet'!$A$140&gt;35,CT161+CS162-DB161,IF(A162&lt;'Données projet'!$A$140,$CQ$205^A162,IF(A162='Données projet'!$A$140,'Données projet'!$B$140,CT161+CS162-DB161)))</f>
        <v>374</v>
      </c>
      <c r="CU162" s="17">
        <f>CT162*VLOOKUP('Données projet'!$B$13,Paramètres!$A$1:$I$89,3,0)*VLOOKUP('Données projet'!$B$13,Paramètres!$A$1:$I$89,5,0)</f>
        <v>338.39519999999999</v>
      </c>
      <c r="CV162" s="13">
        <f t="shared" si="173"/>
        <v>79.168293339502085</v>
      </c>
      <c r="CW162" s="20">
        <f t="shared" si="174"/>
        <v>727.25641756629955</v>
      </c>
      <c r="CX162" s="59">
        <f t="shared" si="122"/>
        <v>1020.5897508996329</v>
      </c>
      <c r="CY162" s="59">
        <f ca="1">AVERAGE(OFFSET($CX$3,0,0,'Données projet'!$E$13+1,1))-AVERAGE(OFFSET($H$3,0,0,'Données projet'!$E$13+1,1))</f>
        <v>436.12708882925142</v>
      </c>
      <c r="CZ162" s="59">
        <f t="shared" si="150"/>
        <v>217.65884352525285</v>
      </c>
      <c r="DA162" s="15">
        <f>IF(ISNA(VLOOKUP(A162,'Données projet'!$A$139:$I$159,3,0)),0,VLOOKUP(A162,'Données projet'!$A$139:$I$159,3,0))</f>
        <v>13</v>
      </c>
      <c r="DB162" s="15">
        <f>IF(ISNA(VLOOKUP(A162,'Données projet'!$A$139:$I$159,4,0)),0,VLOOKUP(A162,'Données projet'!$A$139:$I$159,4,0))</f>
        <v>48</v>
      </c>
      <c r="DC162" s="16">
        <f>IF(ISNA(VLOOKUP(A162,'Données projet'!$A$139:$I$159,5,0)),0%,VLOOKUP(A162,'Données projet'!$A$139:$I$159,5,0)*VLOOKUP('Données projet'!$B$13,Paramètres!$A$1:$I$89,7,0))</f>
        <v>0.25800000000000001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52.65298754672979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52.65298754672979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3.4106051316484809E-13</v>
      </c>
      <c r="DP162" s="17">
        <f>DO162*VLOOKUP('Données projet'!$B$14,Paramètres!$A$1:$I$89,3,0)*VLOOKUP('Données projet'!$B$14,Paramètres!$A$1:$I$89,5,0)</f>
        <v>3.2455318432766944E-13</v>
      </c>
      <c r="DQ162" s="13">
        <f t="shared" si="176"/>
        <v>4.2513245787534721E-12</v>
      </c>
      <c r="DR162" s="20">
        <f t="shared" si="177"/>
        <v>7.9696537706996534E-12</v>
      </c>
      <c r="DS162" s="59">
        <f t="shared" si="125"/>
        <v>293.33333333334127</v>
      </c>
      <c r="DT162" s="59">
        <f ca="1">AVERAGE(OFFSET($DS$3,0,0,'Données projet'!$E$14+1,1))-AVERAGE(OFFSET($H$3,0,0,'Données projet'!$E$14+1,1))</f>
        <v>735.50267870886194</v>
      </c>
      <c r="DU162" s="59">
        <f t="shared" si="152"/>
        <v>525.80345400853275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89.016155458443876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89.016155458443876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4.916666666666667</v>
      </c>
      <c r="EJ162" s="12">
        <f>IF('Données projet'!$A$192&gt;35,EJ161+EI162-ER161,IF(A162&lt;'Données projet'!$A$192,$EG$205^A162,IF(A162='Données projet'!$A$192,'Données projet'!$B$192,EJ161+EI162-ER161)))</f>
        <v>269.50000000000057</v>
      </c>
      <c r="EK162" s="17">
        <f>EJ162*VLOOKUP('Données projet'!$B$15,Paramètres!$A$1:$I$89,3,0)*VLOOKUP('Données projet'!$B$15,Paramètres!$A$1:$I$89,5,0)</f>
        <v>172.37220000000036</v>
      </c>
      <c r="EL162" s="13">
        <f t="shared" si="179"/>
        <v>43.620888217210414</v>
      </c>
      <c r="EM162" s="20">
        <f t="shared" si="180"/>
        <v>376.18796197830875</v>
      </c>
      <c r="EN162" s="59">
        <f t="shared" si="128"/>
        <v>669.52129531164201</v>
      </c>
      <c r="EO162" s="59">
        <f ca="1">AVERAGE(OFFSET($EN$3,0,0,'Données projet'!$E$15+1,1))-AVERAGE(OFFSET($H$3,0,0,'Données projet'!$E$15+1,1))</f>
        <v>274.14900959323484</v>
      </c>
      <c r="EP162" s="59">
        <f t="shared" si="154"/>
        <v>130.44590390921582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24.816908802352174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24.816908802352174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-2.2737367544323206E-13</v>
      </c>
      <c r="FF162" s="17">
        <f>FE162*VLOOKUP('Données projet'!$B$16,Paramètres!$A$1:$I$89,3,0)*VLOOKUP('Données projet'!$B$16,Paramètres!$A$1:$I$89,5,0)</f>
        <v>-1.3596945791505279E-13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405.42845699663462</v>
      </c>
      <c r="FK162" s="59">
        <f t="shared" si="156"/>
        <v>292.26503163353146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49.61323742811836</v>
      </c>
      <c r="FR162" s="21">
        <f>EXP(-LN(2)/25)*FR161+(1-EXP(-LN(2)/25))/(LN(2)/25)*Calculateur!FM162*Calculateur!FO162*VLOOKUP('Données projet'!$B$16,Paramètres!$A$1:$I$89,3,0)*0.475*44/12</f>
        <v>12.689205282971844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62.302442711090208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-2.2737367544323206E-13</v>
      </c>
      <c r="GA162" s="17">
        <f>FZ162*VLOOKUP('Données projet'!$B$17,Paramètres!$A$1:$I$89,3,0)*VLOOKUP('Données projet'!$B$17,Paramètres!$A$1:$I$89,5,0)</f>
        <v>-1.3596945791505279E-13</v>
      </c>
      <c r="GB162" s="13" t="e">
        <f t="shared" si="185"/>
        <v>#NUM!</v>
      </c>
      <c r="GC162" s="20" t="e">
        <f t="shared" si="186"/>
        <v>#NUM!</v>
      </c>
      <c r="GD162" s="59" t="e">
        <f t="shared" si="134"/>
        <v>#NUM!</v>
      </c>
      <c r="GE162" s="59">
        <f ca="1">AVERAGE(OFFSET($GD$3,0,0,'Données projet'!$E$17+1,1))-AVERAGE(OFFSET($H$3,0,0,'Données projet'!$E$17+1,1))</f>
        <v>405.42845699663462</v>
      </c>
      <c r="GF162" s="59">
        <f t="shared" si="158"/>
        <v>292.26503163353146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49.61323742811836</v>
      </c>
      <c r="GM162" s="21">
        <f>EXP(-LN(2)/25)*GM161+(1-EXP(-LN(2)/25))/(LN(2)/25)*Calculateur!GH162*Calculateur!GJ162*VLOOKUP('Données projet'!$B$17,Paramètres!$A$1:$I$89,3,0)*0.475*44/12</f>
        <v>12.689205282971844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62.302442711090208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-5.3205440053716299E-14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198.26255998041</v>
      </c>
      <c r="T163" s="59">
        <f t="shared" si="142"/>
        <v>238.62101708181166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15.150070524652405</v>
      </c>
      <c r="AA163" s="21">
        <f>EXP(-LN(2)/25)*AA162+(1-EXP(-LN(2)/25))/(LN(2)/25)*Calculateur!V163*Calculateur!X163*VLOOKUP('Données projet'!$B$9,Paramètres!$A$1:$I$89,3,0)*0.475*44/12</f>
        <v>3.8916473284260151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19.041717853078421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3.4106051316484809E-13</v>
      </c>
      <c r="AJ163" s="13">
        <f>AI163*VLOOKUP('Données projet'!$B$10,Paramètres!$A$1:$I$89,3,0)*VLOOKUP('Données projet'!$B$10,Paramètres!$A$1:$I$89,5,0)</f>
        <v>1.9065282685915009E-13</v>
      </c>
      <c r="AK163" s="13">
        <f t="shared" si="164"/>
        <v>2.6568987209435707E-12</v>
      </c>
      <c r="AL163" s="20">
        <f t="shared" si="165"/>
        <v>4.959485612423072E-12</v>
      </c>
      <c r="AM163" s="59">
        <f t="shared" si="113"/>
        <v>293.33333333333826</v>
      </c>
      <c r="AN163" s="59">
        <f ca="1">AVERAGE(OFFSET($AM$3,0,0,'Données projet'!$E$10+1,1))-AVERAGE(OFFSET($H$3,0,0,'Données projet'!$E$10+1,1))</f>
        <v>347.02720636703873</v>
      </c>
      <c r="AO163" s="59">
        <f t="shared" si="144"/>
        <v>394.03759949558702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33.070992245918113</v>
      </c>
      <c r="AV163" s="21">
        <f>EXP(-LN(2)/25)*AV162+(1-EXP(-LN(2)/25))/(LN(2)/25)*Calculateur!AQ163*Calculateur!AS163*VLOOKUP('Données projet'!$B$10,Paramètres!$A$1:$I$89,3,0)*0.475*44/12</f>
        <v>8.2827730040329506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41.353765249951067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-3.4106051316484809E-13</v>
      </c>
      <c r="BE163" s="13">
        <f>BD163*VLOOKUP('Données projet'!$B$11,Paramètres!$A$1:$I$89,3,0)*VLOOKUP('Données projet'!$B$11,Paramètres!$A$1:$I$89,5,0)</f>
        <v>-2.0395418687257919E-13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378.75660696651238</v>
      </c>
      <c r="BJ163" s="59">
        <f t="shared" si="146"/>
        <v>371.70674704563288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32.714627291405314</v>
      </c>
      <c r="BQ163" s="21">
        <f>EXP(-LN(2)/25)*BQ162+(1-EXP(-LN(2)/25))/(LN(2)/25)*Calculateur!BL163*Calculateur!BN163*VLOOKUP('Données projet'!$B$11,Paramètres!$A$1:$I$89,3,0)*0.475*44/12</f>
        <v>8.0028729192341448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40.717500210639457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4.916666666666667</v>
      </c>
      <c r="BY163" s="12">
        <f>IF('Données projet'!$A$114&gt;35,BY162+BX163-CG162,IF(A163&lt;'Données projet'!$A$114,$BV$205^A163,IF(A163='Données projet'!$A$114,'Données projet'!$B$114,BY162+BX163-CG162)))</f>
        <v>274.41666666666725</v>
      </c>
      <c r="BZ163" s="13">
        <f>BY163*VLOOKUP('Données projet'!$B$12,Paramètres!$A$1:$I$89,3,0)*VLOOKUP('Données projet'!$B$12,Paramètres!$A$1:$I$89,5,0)</f>
        <v>278.25850000000065</v>
      </c>
      <c r="CA163" s="13">
        <f t="shared" si="170"/>
        <v>66.598846339221538</v>
      </c>
      <c r="CB163" s="20">
        <f t="shared" si="171"/>
        <v>600.62654487414534</v>
      </c>
      <c r="CC163" s="59">
        <f t="shared" si="119"/>
        <v>893.9598782074786</v>
      </c>
      <c r="CD163" s="59">
        <f ca="1">AVERAGE(OFFSET($CC$3,0,0,'Données projet'!$E$12+1,1))-AVERAGE(OFFSET($H$3,0,0,'Données projet'!$E$12+1,1))</f>
        <v>410.75375635525211</v>
      </c>
      <c r="CE163" s="59">
        <f t="shared" si="148"/>
        <v>183.55513001437367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38.572370322957461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38.572370322957461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6.083333333333333</v>
      </c>
      <c r="CT163" s="12">
        <f>IF('Données projet'!$A$140&gt;35,CT162+CS163-DB162,IF(A163&lt;'Données projet'!$A$140,$CQ$205^A163,IF(A163='Données projet'!$A$140,'Données projet'!$B$140,CT162+CS163-DB162)))</f>
        <v>332.08333333333331</v>
      </c>
      <c r="CU163" s="17">
        <f>CT163*VLOOKUP('Données projet'!$B$13,Paramètres!$A$1:$I$89,3,0)*VLOOKUP('Données projet'!$B$13,Paramètres!$A$1:$I$89,5,0)</f>
        <v>300.46899999999999</v>
      </c>
      <c r="CV163" s="13">
        <f t="shared" si="173"/>
        <v>71.274774949595866</v>
      </c>
      <c r="CW163" s="20">
        <f t="shared" si="174"/>
        <v>647.45374137054603</v>
      </c>
      <c r="CX163" s="59">
        <f t="shared" si="122"/>
        <v>940.7870747038794</v>
      </c>
      <c r="CY163" s="59">
        <f ca="1">AVERAGE(OFFSET($CX$3,0,0,'Données projet'!$E$13+1,1))-AVERAGE(OFFSET($H$3,0,0,'Données projet'!$E$13+1,1))</f>
        <v>436.12708882925142</v>
      </c>
      <c r="CZ163" s="59">
        <f t="shared" si="150"/>
        <v>217.65884352525285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51.620494576089712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51.620494576089712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3.4106051316484809E-13</v>
      </c>
      <c r="DP163" s="17">
        <f>DO163*VLOOKUP('Données projet'!$B$14,Paramètres!$A$1:$I$89,3,0)*VLOOKUP('Données projet'!$B$14,Paramètres!$A$1:$I$89,5,0)</f>
        <v>3.2455318432766944E-13</v>
      </c>
      <c r="DQ163" s="13">
        <f t="shared" si="176"/>
        <v>4.2513245787534721E-12</v>
      </c>
      <c r="DR163" s="20">
        <f t="shared" si="177"/>
        <v>7.9696537706996534E-12</v>
      </c>
      <c r="DS163" s="59">
        <f t="shared" si="125"/>
        <v>293.33333333334127</v>
      </c>
      <c r="DT163" s="59">
        <f ca="1">AVERAGE(OFFSET($DS$3,0,0,'Données projet'!$E$14+1,1))-AVERAGE(OFFSET($H$3,0,0,'Données projet'!$E$14+1,1))</f>
        <v>735.50267870886194</v>
      </c>
      <c r="DU163" s="59">
        <f t="shared" si="152"/>
        <v>525.80345400853275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87.270602944397481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87.270602944397481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4.916666666666667</v>
      </c>
      <c r="EJ163" s="12">
        <f>IF('Données projet'!$A$192&gt;35,EJ162+EI163-ER162,IF(A163&lt;'Données projet'!$A$192,$EG$205^A163,IF(A163='Données projet'!$A$192,'Données projet'!$B$192,EJ162+EI163-ER162)))</f>
        <v>274.41666666666725</v>
      </c>
      <c r="EK163" s="17">
        <f>EJ163*VLOOKUP('Données projet'!$B$15,Paramètres!$A$1:$I$89,3,0)*VLOOKUP('Données projet'!$B$15,Paramètres!$A$1:$I$89,5,0)</f>
        <v>175.51690000000036</v>
      </c>
      <c r="EL163" s="13">
        <f t="shared" si="179"/>
        <v>44.323319656131552</v>
      </c>
      <c r="EM163" s="20">
        <f t="shared" si="180"/>
        <v>382.88838256776307</v>
      </c>
      <c r="EN163" s="59">
        <f t="shared" si="128"/>
        <v>676.22171590109633</v>
      </c>
      <c r="EO163" s="59">
        <f ca="1">AVERAGE(OFFSET($EN$3,0,0,'Données projet'!$E$15+1,1))-AVERAGE(OFFSET($H$3,0,0,'Données projet'!$E$15+1,1))</f>
        <v>274.14900959323484</v>
      </c>
      <c r="EP163" s="59">
        <f t="shared" si="154"/>
        <v>130.44590390921582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24.33026435755778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24.33026435755778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-2.2737367544323206E-13</v>
      </c>
      <c r="FF163" s="17">
        <f>FE163*VLOOKUP('Données projet'!$B$16,Paramètres!$A$1:$I$89,3,0)*VLOOKUP('Données projet'!$B$16,Paramètres!$A$1:$I$89,5,0)</f>
        <v>-1.3596945791505279E-13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405.42845699663462</v>
      </c>
      <c r="FK163" s="59">
        <f t="shared" si="156"/>
        <v>292.26503163353146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48.640352103239756</v>
      </c>
      <c r="FR163" s="21">
        <f>EXP(-LN(2)/25)*FR162+(1-EXP(-LN(2)/25))/(LN(2)/25)*Calculateur!FM163*Calculateur!FO163*VLOOKUP('Données projet'!$B$16,Paramètres!$A$1:$I$89,3,0)*0.475*44/12</f>
        <v>12.342218297212675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60.982570400452431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-2.2737367544323206E-13</v>
      </c>
      <c r="GA163" s="17">
        <f>FZ163*VLOOKUP('Données projet'!$B$17,Paramètres!$A$1:$I$89,3,0)*VLOOKUP('Données projet'!$B$17,Paramètres!$A$1:$I$89,5,0)</f>
        <v>-1.3596945791505279E-13</v>
      </c>
      <c r="GB163" s="13" t="e">
        <f t="shared" si="185"/>
        <v>#NUM!</v>
      </c>
      <c r="GC163" s="20" t="e">
        <f t="shared" si="186"/>
        <v>#NUM!</v>
      </c>
      <c r="GD163" s="59" t="e">
        <f t="shared" si="134"/>
        <v>#NUM!</v>
      </c>
      <c r="GE163" s="59">
        <f ca="1">AVERAGE(OFFSET($GD$3,0,0,'Données projet'!$E$17+1,1))-AVERAGE(OFFSET($H$3,0,0,'Données projet'!$E$17+1,1))</f>
        <v>405.42845699663462</v>
      </c>
      <c r="GF163" s="59">
        <f t="shared" si="158"/>
        <v>292.26503163353146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48.640352103239756</v>
      </c>
      <c r="GM163" s="21">
        <f>EXP(-LN(2)/25)*GM162+(1-EXP(-LN(2)/25))/(LN(2)/25)*Calculateur!GH163*Calculateur!GJ163*VLOOKUP('Données projet'!$B$17,Paramètres!$A$1:$I$89,3,0)*0.475*44/12</f>
        <v>12.342218297212675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60.982570400452431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-5.3205440053716299E-14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198.26255998041</v>
      </c>
      <c r="T164" s="59">
        <f t="shared" si="142"/>
        <v>238.62101708181166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14.852986882294555</v>
      </c>
      <c r="AA164" s="21">
        <f>EXP(-LN(2)/25)*AA163+(1-EXP(-LN(2)/25))/(LN(2)/25)*Calculateur!V164*Calculateur!X164*VLOOKUP('Données projet'!$B$9,Paramètres!$A$1:$I$89,3,0)*0.475*44/12</f>
        <v>3.7852300275773674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18.638216909871922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3.4106051316484809E-13</v>
      </c>
      <c r="AJ164" s="13">
        <f>AI164*VLOOKUP('Données projet'!$B$10,Paramètres!$A$1:$I$89,3,0)*VLOOKUP('Données projet'!$B$10,Paramètres!$A$1:$I$89,5,0)</f>
        <v>1.9065282685915009E-13</v>
      </c>
      <c r="AK164" s="13">
        <f t="shared" si="164"/>
        <v>2.6568987209435707E-12</v>
      </c>
      <c r="AL164" s="20">
        <f t="shared" si="165"/>
        <v>4.959485612423072E-12</v>
      </c>
      <c r="AM164" s="59">
        <f t="shared" si="113"/>
        <v>293.33333333333826</v>
      </c>
      <c r="AN164" s="59">
        <f ca="1">AVERAGE(OFFSET($AM$3,0,0,'Données projet'!$E$10+1,1))-AVERAGE(OFFSET($H$3,0,0,'Données projet'!$E$10+1,1))</f>
        <v>347.02720636703873</v>
      </c>
      <c r="AO164" s="59">
        <f t="shared" si="144"/>
        <v>394.03759949558702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32.422490259289177</v>
      </c>
      <c r="AV164" s="21">
        <f>EXP(-LN(2)/25)*AV163+(1-EXP(-LN(2)/25))/(LN(2)/25)*Calculateur!AQ164*Calculateur!AS164*VLOOKUP('Données projet'!$B$10,Paramètres!$A$1:$I$89,3,0)*0.475*44/12</f>
        <v>8.0562801406655673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40.47877039995474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-3.4106051316484809E-13</v>
      </c>
      <c r="BE164" s="13">
        <f>BD164*VLOOKUP('Données projet'!$B$11,Paramètres!$A$1:$I$89,3,0)*VLOOKUP('Données projet'!$B$11,Paramètres!$A$1:$I$89,5,0)</f>
        <v>-2.0395418687257919E-13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378.75660696651238</v>
      </c>
      <c r="BJ164" s="59">
        <f t="shared" si="146"/>
        <v>371.70674704563288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32.073113404173213</v>
      </c>
      <c r="BQ164" s="21">
        <f>EXP(-LN(2)/25)*BQ163+(1-EXP(-LN(2)/25))/(LN(2)/25)*Calculateur!BL164*Calculateur!BN164*VLOOKUP('Données projet'!$B$11,Paramètres!$A$1:$I$89,3,0)*0.475*44/12</f>
        <v>7.7840339384048907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39.857147342578102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4.916666666666667</v>
      </c>
      <c r="BY164" s="12">
        <f>IF('Données projet'!$A$114&gt;35,BY163+BX164-CG163,IF(A164&lt;'Données projet'!$A$114,$BV$205^A164,IF(A164='Données projet'!$A$114,'Données projet'!$B$114,BY163+BX164-CG163)))</f>
        <v>279.33333333333394</v>
      </c>
      <c r="BZ164" s="13">
        <f>BY164*VLOOKUP('Données projet'!$B$12,Paramètres!$A$1:$I$89,3,0)*VLOOKUP('Données projet'!$B$12,Paramètres!$A$1:$I$89,5,0)</f>
        <v>283.2440000000006</v>
      </c>
      <c r="CA164" s="13">
        <f t="shared" si="170"/>
        <v>67.652099057101978</v>
      </c>
      <c r="CB164" s="20">
        <f t="shared" si="171"/>
        <v>611.14403919112021</v>
      </c>
      <c r="CC164" s="59">
        <f t="shared" si="119"/>
        <v>904.47737252445359</v>
      </c>
      <c r="CD164" s="59">
        <f ca="1">AVERAGE(OFFSET($CC$3,0,0,'Données projet'!$E$12+1,1))-AVERAGE(OFFSET($H$3,0,0,'Données projet'!$E$12+1,1))</f>
        <v>410.75375635525211</v>
      </c>
      <c r="CE164" s="59">
        <f t="shared" si="148"/>
        <v>183.55513001437367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37.815989667747083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37.815989667747083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6.083333333333333</v>
      </c>
      <c r="CT164" s="12">
        <f>IF('Données projet'!$A$140&gt;35,CT163+CS164-DB163,IF(A164&lt;'Données projet'!$A$140,$CQ$205^A164,IF(A164='Données projet'!$A$140,'Données projet'!$B$140,CT163+CS164-DB163)))</f>
        <v>338.16666666666663</v>
      </c>
      <c r="CU164" s="17">
        <f>CT164*VLOOKUP('Données projet'!$B$13,Paramètres!$A$1:$I$89,3,0)*VLOOKUP('Données projet'!$B$13,Paramètres!$A$1:$I$89,5,0)</f>
        <v>305.97319999999996</v>
      </c>
      <c r="CV164" s="13">
        <f t="shared" si="173"/>
        <v>72.427235204058377</v>
      </c>
      <c r="CW164" s="20">
        <f t="shared" si="174"/>
        <v>659.04742464706828</v>
      </c>
      <c r="CX164" s="59">
        <f t="shared" si="122"/>
        <v>952.38075798040154</v>
      </c>
      <c r="CY164" s="59">
        <f ca="1">AVERAGE(OFFSET($CX$3,0,0,'Données projet'!$E$13+1,1))-AVERAGE(OFFSET($H$3,0,0,'Données projet'!$E$13+1,1))</f>
        <v>436.12708882925142</v>
      </c>
      <c r="CZ164" s="59">
        <f t="shared" si="150"/>
        <v>217.65884352525285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50.608248162845356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50.608248162845356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3.4106051316484809E-13</v>
      </c>
      <c r="DP164" s="17">
        <f>DO164*VLOOKUP('Données projet'!$B$14,Paramètres!$A$1:$I$89,3,0)*VLOOKUP('Données projet'!$B$14,Paramètres!$A$1:$I$89,5,0)</f>
        <v>3.2455318432766944E-13</v>
      </c>
      <c r="DQ164" s="13">
        <f t="shared" si="176"/>
        <v>4.2513245787534721E-12</v>
      </c>
      <c r="DR164" s="20">
        <f t="shared" si="177"/>
        <v>7.9696537706996534E-12</v>
      </c>
      <c r="DS164" s="59">
        <f t="shared" si="125"/>
        <v>293.33333333334127</v>
      </c>
      <c r="DT164" s="59">
        <f ca="1">AVERAGE(OFFSET($DS$3,0,0,'Données projet'!$E$14+1,1))-AVERAGE(OFFSET($H$3,0,0,'Données projet'!$E$14+1,1))</f>
        <v>735.50267870886194</v>
      </c>
      <c r="DU164" s="59">
        <f t="shared" si="152"/>
        <v>525.80345400853275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85.559279650469634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85.559279650469634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4.916666666666667</v>
      </c>
      <c r="EJ164" s="12">
        <f>IF('Données projet'!$A$192&gt;35,EJ163+EI164-ER163,IF(A164&lt;'Données projet'!$A$192,$EG$205^A164,IF(A164='Données projet'!$A$192,'Données projet'!$B$192,EJ163+EI164-ER163)))</f>
        <v>279.33333333333394</v>
      </c>
      <c r="EK164" s="17">
        <f>EJ164*VLOOKUP('Données projet'!$B$15,Paramètres!$A$1:$I$89,3,0)*VLOOKUP('Données projet'!$B$15,Paramètres!$A$1:$I$89,5,0)</f>
        <v>178.66160000000039</v>
      </c>
      <c r="EL164" s="13">
        <f t="shared" si="179"/>
        <v>45.024287607671184</v>
      </c>
      <c r="EM164" s="20">
        <f t="shared" si="180"/>
        <v>389.58625425002805</v>
      </c>
      <c r="EN164" s="59">
        <f t="shared" si="128"/>
        <v>682.91958758336136</v>
      </c>
      <c r="EO164" s="59">
        <f ca="1">AVERAGE(OFFSET($EN$3,0,0,'Données projet'!$E$15+1,1))-AVERAGE(OFFSET($H$3,0,0,'Données projet'!$E$15+1,1))</f>
        <v>274.14900959323484</v>
      </c>
      <c r="EP164" s="59">
        <f t="shared" si="154"/>
        <v>130.44590390921582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23.853162713502002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23.853162713502002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-2.2737367544323206E-13</v>
      </c>
      <c r="FF164" s="17">
        <f>FE164*VLOOKUP('Données projet'!$B$16,Paramètres!$A$1:$I$89,3,0)*VLOOKUP('Données projet'!$B$16,Paramètres!$A$1:$I$89,5,0)</f>
        <v>-1.3596945791505279E-13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405.42845699663462</v>
      </c>
      <c r="FK164" s="59">
        <f t="shared" si="156"/>
        <v>292.26503163353146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47.686544466180564</v>
      </c>
      <c r="FR164" s="21">
        <f>EXP(-LN(2)/25)*FR163+(1-EXP(-LN(2)/25))/(LN(2)/25)*Calculateur!FM164*Calculateur!FO164*VLOOKUP('Données projet'!$B$16,Paramètres!$A$1:$I$89,3,0)*0.475*44/12</f>
        <v>12.004719688826343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59.691264155006905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-2.2737367544323206E-13</v>
      </c>
      <c r="GA164" s="17">
        <f>FZ164*VLOOKUP('Données projet'!$B$17,Paramètres!$A$1:$I$89,3,0)*VLOOKUP('Données projet'!$B$17,Paramètres!$A$1:$I$89,5,0)</f>
        <v>-1.3596945791505279E-13</v>
      </c>
      <c r="GB164" s="13" t="e">
        <f t="shared" si="185"/>
        <v>#NUM!</v>
      </c>
      <c r="GC164" s="20" t="e">
        <f t="shared" si="186"/>
        <v>#NUM!</v>
      </c>
      <c r="GD164" s="59" t="e">
        <f t="shared" si="134"/>
        <v>#NUM!</v>
      </c>
      <c r="GE164" s="59">
        <f ca="1">AVERAGE(OFFSET($GD$3,0,0,'Données projet'!$E$17+1,1))-AVERAGE(OFFSET($H$3,0,0,'Données projet'!$E$17+1,1))</f>
        <v>405.42845699663462</v>
      </c>
      <c r="GF164" s="59">
        <f t="shared" si="158"/>
        <v>292.26503163353146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47.686544466180564</v>
      </c>
      <c r="GM164" s="21">
        <f>EXP(-LN(2)/25)*GM163+(1-EXP(-LN(2)/25))/(LN(2)/25)*Calculateur!GH164*Calculateur!GJ164*VLOOKUP('Données projet'!$B$17,Paramètres!$A$1:$I$89,3,0)*0.475*44/12</f>
        <v>12.004719688826343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59.691264155006905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-5.3205440053716299E-14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198.26255998041</v>
      </c>
      <c r="T165" s="59">
        <f t="shared" si="142"/>
        <v>238.62101708181166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14.561728868960213</v>
      </c>
      <c r="AA165" s="21">
        <f>EXP(-LN(2)/25)*AA164+(1-EXP(-LN(2)/25))/(LN(2)/25)*Calculateur!V165*Calculateur!X165*VLOOKUP('Données projet'!$B$9,Paramètres!$A$1:$I$89,3,0)*0.475*44/12</f>
        <v>3.6817227134166686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18.243451582376881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3.4106051316484809E-13</v>
      </c>
      <c r="AJ165" s="13">
        <f>AI165*VLOOKUP('Données projet'!$B$10,Paramètres!$A$1:$I$89,3,0)*VLOOKUP('Données projet'!$B$10,Paramètres!$A$1:$I$89,5,0)</f>
        <v>1.9065282685915009E-13</v>
      </c>
      <c r="AK165" s="13">
        <f t="shared" si="164"/>
        <v>2.6568987209435707E-12</v>
      </c>
      <c r="AL165" s="20">
        <f t="shared" si="165"/>
        <v>4.959485612423072E-12</v>
      </c>
      <c r="AM165" s="59">
        <f t="shared" si="113"/>
        <v>293.33333333333826</v>
      </c>
      <c r="AN165" s="59">
        <f ca="1">AVERAGE(OFFSET($AM$3,0,0,'Données projet'!$E$10+1,1))-AVERAGE(OFFSET($H$3,0,0,'Données projet'!$E$10+1,1))</f>
        <v>347.02720636703873</v>
      </c>
      <c r="AO165" s="59">
        <f t="shared" si="144"/>
        <v>394.03759949558702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31.786705001070878</v>
      </c>
      <c r="AV165" s="21">
        <f>EXP(-LN(2)/25)*AV164+(1-EXP(-LN(2)/25))/(LN(2)/25)*Calculateur!AQ165*Calculateur!AS165*VLOOKUP('Données projet'!$B$10,Paramètres!$A$1:$I$89,3,0)*0.475*44/12</f>
        <v>7.8359807365577074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39.622685737628586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-3.4106051316484809E-13</v>
      </c>
      <c r="BE165" s="13">
        <f>BD165*VLOOKUP('Données projet'!$B$11,Paramètres!$A$1:$I$89,3,0)*VLOOKUP('Données projet'!$B$11,Paramètres!$A$1:$I$89,5,0)</f>
        <v>-2.0395418687257919E-13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378.75660696651238</v>
      </c>
      <c r="BJ165" s="59">
        <f t="shared" si="146"/>
        <v>371.70674704563288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31.444179212984899</v>
      </c>
      <c r="BQ165" s="21">
        <f>EXP(-LN(2)/25)*BQ164+(1-EXP(-LN(2)/25))/(LN(2)/25)*Calculateur!BL165*Calculateur!BN165*VLOOKUP('Données projet'!$B$11,Paramètres!$A$1:$I$89,3,0)*0.475*44/12</f>
        <v>7.5711791210146551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39.015358333999558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4.916666666666667</v>
      </c>
      <c r="BY165" s="12">
        <f>IF('Données projet'!$A$114&gt;35,BY164+BX165-CG164,IF(A165&lt;'Données projet'!$A$114,$BV$205^A165,IF(A165='Données projet'!$A$114,'Données projet'!$B$114,BY164+BX165-CG164)))</f>
        <v>284.25000000000063</v>
      </c>
      <c r="BZ165" s="13">
        <f>BY165*VLOOKUP('Données projet'!$B$12,Paramètres!$A$1:$I$89,3,0)*VLOOKUP('Données projet'!$B$12,Paramètres!$A$1:$I$89,5,0)</f>
        <v>288.22950000000066</v>
      </c>
      <c r="CA165" s="13">
        <f t="shared" si="170"/>
        <v>68.703195955155465</v>
      </c>
      <c r="CB165" s="20">
        <f t="shared" si="171"/>
        <v>621.65777878856363</v>
      </c>
      <c r="CC165" s="59">
        <f t="shared" si="119"/>
        <v>914.991112121897</v>
      </c>
      <c r="CD165" s="59">
        <f ca="1">AVERAGE(OFFSET($CC$3,0,0,'Données projet'!$E$12+1,1))-AVERAGE(OFFSET($H$3,0,0,'Données projet'!$E$12+1,1))</f>
        <v>410.75375635525211</v>
      </c>
      <c r="CE165" s="59">
        <f t="shared" si="148"/>
        <v>183.55513001437367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37.074441175838736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37.074441175838736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6.083333333333333</v>
      </c>
      <c r="CT165" s="12">
        <f>IF('Données projet'!$A$140&gt;35,CT164+CS165-DB164,IF(A165&lt;'Données projet'!$A$140,$CQ$205^A165,IF(A165='Données projet'!$A$140,'Données projet'!$B$140,CT164+CS165-DB164)))</f>
        <v>344.24999999999994</v>
      </c>
      <c r="CU165" s="17">
        <f>CT165*VLOOKUP('Données projet'!$B$13,Paramètres!$A$1:$I$89,3,0)*VLOOKUP('Données projet'!$B$13,Paramètres!$A$1:$I$89,5,0)</f>
        <v>311.47739999999993</v>
      </c>
      <c r="CV165" s="13">
        <f t="shared" si="173"/>
        <v>73.577284665617171</v>
      </c>
      <c r="CW165" s="20">
        <f t="shared" si="174"/>
        <v>670.63690912594973</v>
      </c>
      <c r="CX165" s="59">
        <f t="shared" si="122"/>
        <v>963.9702424592831</v>
      </c>
      <c r="CY165" s="59">
        <f ca="1">AVERAGE(OFFSET($CX$3,0,0,'Données projet'!$E$13+1,1))-AVERAGE(OFFSET($H$3,0,0,'Données projet'!$E$13+1,1))</f>
        <v>436.12708882925142</v>
      </c>
      <c r="CZ165" s="59">
        <f t="shared" si="150"/>
        <v>217.65884352525285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49.615851284355379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49.615851284355379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3.4106051316484809E-13</v>
      </c>
      <c r="DP165" s="17">
        <f>DO165*VLOOKUP('Données projet'!$B$14,Paramètres!$A$1:$I$89,3,0)*VLOOKUP('Données projet'!$B$14,Paramètres!$A$1:$I$89,5,0)</f>
        <v>3.2455318432766944E-13</v>
      </c>
      <c r="DQ165" s="13">
        <f t="shared" si="176"/>
        <v>4.2513245787534721E-12</v>
      </c>
      <c r="DR165" s="20">
        <f t="shared" si="177"/>
        <v>7.9696537706996534E-12</v>
      </c>
      <c r="DS165" s="59">
        <f t="shared" si="125"/>
        <v>293.33333333334127</v>
      </c>
      <c r="DT165" s="59">
        <f ca="1">AVERAGE(OFFSET($DS$3,0,0,'Données projet'!$E$14+1,1))-AVERAGE(OFFSET($H$3,0,0,'Données projet'!$E$14+1,1))</f>
        <v>735.50267870886194</v>
      </c>
      <c r="DU165" s="59">
        <f t="shared" si="152"/>
        <v>525.80345400853275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83.881514362531576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83.881514362531576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4.916666666666667</v>
      </c>
      <c r="EJ165" s="12">
        <f>IF('Données projet'!$A$192&gt;35,EJ164+EI165-ER164,IF(A165&lt;'Données projet'!$A$192,$EG$205^A165,IF(A165='Données projet'!$A$192,'Données projet'!$B$192,EJ164+EI165-ER164)))</f>
        <v>284.25000000000063</v>
      </c>
      <c r="EK165" s="17">
        <f>EJ165*VLOOKUP('Données projet'!$B$15,Paramètres!$A$1:$I$89,3,0)*VLOOKUP('Données projet'!$B$15,Paramètres!$A$1:$I$89,5,0)</f>
        <v>181.80630000000039</v>
      </c>
      <c r="EL165" s="13">
        <f t="shared" si="179"/>
        <v>45.723820803256793</v>
      </c>
      <c r="EM165" s="20">
        <f t="shared" si="180"/>
        <v>396.28162706567292</v>
      </c>
      <c r="EN165" s="59">
        <f t="shared" si="128"/>
        <v>689.61496039900624</v>
      </c>
      <c r="EO165" s="59">
        <f ca="1">AVERAGE(OFFSET($EN$3,0,0,'Données projet'!$E$15+1,1))-AVERAGE(OFFSET($H$3,0,0,'Données projet'!$E$15+1,1))</f>
        <v>274.14900959323484</v>
      </c>
      <c r="EP165" s="59">
        <f t="shared" si="154"/>
        <v>130.44590390921582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23.385416741682889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23.385416741682889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-2.2737367544323206E-13</v>
      </c>
      <c r="FF165" s="17">
        <f>FE165*VLOOKUP('Données projet'!$B$16,Paramètres!$A$1:$I$89,3,0)*VLOOKUP('Données projet'!$B$16,Paramètres!$A$1:$I$89,5,0)</f>
        <v>-1.3596945791505279E-13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405.42845699663462</v>
      </c>
      <c r="FK165" s="59">
        <f t="shared" si="156"/>
        <v>292.26503163353146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46.751440415118893</v>
      </c>
      <c r="FR165" s="21">
        <f>EXP(-LN(2)/25)*FR164+(1-EXP(-LN(2)/25))/(LN(2)/25)*Calculateur!FM165*Calculateur!FO165*VLOOKUP('Données projet'!$B$16,Paramètres!$A$1:$I$89,3,0)*0.475*44/12</f>
        <v>11.676449997634615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58.427890412753506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-2.2737367544323206E-13</v>
      </c>
      <c r="GA165" s="17">
        <f>FZ165*VLOOKUP('Données projet'!$B$17,Paramètres!$A$1:$I$89,3,0)*VLOOKUP('Données projet'!$B$17,Paramètres!$A$1:$I$89,5,0)</f>
        <v>-1.3596945791505279E-13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405.42845699663462</v>
      </c>
      <c r="GF165" s="59">
        <f t="shared" si="158"/>
        <v>292.26503163353146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46.751440415118893</v>
      </c>
      <c r="GM165" s="21">
        <f>EXP(-LN(2)/25)*GM164+(1-EXP(-LN(2)/25))/(LN(2)/25)*Calculateur!GH165*Calculateur!GJ165*VLOOKUP('Données projet'!$B$17,Paramètres!$A$1:$I$89,3,0)*0.475*44/12</f>
        <v>11.676449997634615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58.427890412753506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-5.3205440053716299E-14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198.26255998041</v>
      </c>
      <c r="T166" s="59">
        <f t="shared" si="142"/>
        <v>238.62101708181166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14.276182247617511</v>
      </c>
      <c r="AA166" s="21">
        <f>EXP(-LN(2)/25)*AA165+(1-EXP(-LN(2)/25))/(LN(2)/25)*Calculateur!V166*Calculateur!X166*VLOOKUP('Données projet'!$B$9,Paramètres!$A$1:$I$89,3,0)*0.475*44/12</f>
        <v>3.5810458122049069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17.857228059822418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3.4106051316484809E-13</v>
      </c>
      <c r="AJ166" s="13">
        <f>AI166*VLOOKUP('Données projet'!$B$10,Paramètres!$A$1:$I$89,3,0)*VLOOKUP('Données projet'!$B$10,Paramètres!$A$1:$I$89,5,0)</f>
        <v>1.9065282685915009E-13</v>
      </c>
      <c r="AK166" s="13">
        <f t="shared" si="164"/>
        <v>2.6568987209435707E-12</v>
      </c>
      <c r="AL166" s="20">
        <f t="shared" si="165"/>
        <v>4.959485612423072E-12</v>
      </c>
      <c r="AM166" s="59">
        <f t="shared" si="113"/>
        <v>293.33333333333826</v>
      </c>
      <c r="AN166" s="59">
        <f ca="1">AVERAGE(OFFSET($AM$3,0,0,'Données projet'!$E$10+1,1))-AVERAGE(OFFSET($H$3,0,0,'Données projet'!$E$10+1,1))</f>
        <v>347.02720636703873</v>
      </c>
      <c r="AO166" s="59">
        <f t="shared" si="144"/>
        <v>394.03759949558702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31.163387103975523</v>
      </c>
      <c r="AV166" s="21">
        <f>EXP(-LN(2)/25)*AV165+(1-EXP(-LN(2)/25))/(LN(2)/25)*Calculateur!AQ166*Calculateur!AS166*VLOOKUP('Données projet'!$B$10,Paramètres!$A$1:$I$89,3,0)*0.475*44/12</f>
        <v>7.621705431240219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38.785092535215739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-3.4106051316484809E-13</v>
      </c>
      <c r="BE166" s="13">
        <f>BD166*VLOOKUP('Données projet'!$B$11,Paramètres!$A$1:$I$89,3,0)*VLOOKUP('Données projet'!$B$11,Paramètres!$A$1:$I$89,5,0)</f>
        <v>-2.0395418687257919E-13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378.75660696651238</v>
      </c>
      <c r="BJ166" s="59">
        <f t="shared" si="146"/>
        <v>371.70674704563288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30.82757803767381</v>
      </c>
      <c r="BQ166" s="21">
        <f>EXP(-LN(2)/25)*BQ165+(1-EXP(-LN(2)/25))/(LN(2)/25)*Calculateur!BL166*Calculateur!BN166*VLOOKUP('Données projet'!$B$11,Paramètres!$A$1:$I$89,3,0)*0.475*44/12</f>
        <v>7.3641448297995034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38.191722867473317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4.916666666666667</v>
      </c>
      <c r="BY166" s="12">
        <f>IF('Données projet'!$A$114&gt;35,BY165+BX166-CG165,IF(A166&lt;'Données projet'!$A$114,$BV$205^A166,IF(A166='Données projet'!$A$114,'Données projet'!$B$114,BY165+BX166-CG165)))</f>
        <v>289.16666666666731</v>
      </c>
      <c r="BZ166" s="13">
        <f>BY166*VLOOKUP('Données projet'!$B$12,Paramètres!$A$1:$I$89,3,0)*VLOOKUP('Données projet'!$B$12,Paramètres!$A$1:$I$89,5,0)</f>
        <v>293.21500000000071</v>
      </c>
      <c r="CA166" s="13">
        <f t="shared" si="170"/>
        <v>69.752178625315608</v>
      </c>
      <c r="CB166" s="20">
        <f t="shared" si="171"/>
        <v>632.16783610575919</v>
      </c>
      <c r="CC166" s="59">
        <f t="shared" si="119"/>
        <v>925.50116943909256</v>
      </c>
      <c r="CD166" s="59">
        <f ca="1">AVERAGE(OFFSET($CC$3,0,0,'Données projet'!$E$12+1,1))-AVERAGE(OFFSET($H$3,0,0,'Données projet'!$E$12+1,1))</f>
        <v>410.75375635525211</v>
      </c>
      <c r="CE166" s="59">
        <f t="shared" si="148"/>
        <v>183.55513001437367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36.347433997556791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36.347433997556791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6.083333333333333</v>
      </c>
      <c r="CT166" s="12">
        <f>IF('Données projet'!$A$140&gt;35,CT165+CS166-DB165,IF(A166&lt;'Données projet'!$A$140,$CQ$205^A166,IF(A166='Données projet'!$A$140,'Données projet'!$B$140,CT165+CS166-DB165)))</f>
        <v>350.33333333333326</v>
      </c>
      <c r="CU166" s="17">
        <f>CT166*VLOOKUP('Données projet'!$B$13,Paramètres!$A$1:$I$89,3,0)*VLOOKUP('Données projet'!$B$13,Paramètres!$A$1:$I$89,5,0)</f>
        <v>316.9815999999999</v>
      </c>
      <c r="CV166" s="13">
        <f t="shared" si="173"/>
        <v>74.724970850984974</v>
      </c>
      <c r="CW166" s="20">
        <f t="shared" si="174"/>
        <v>682.22227756546533</v>
      </c>
      <c r="CX166" s="59">
        <f t="shared" si="122"/>
        <v>975.5556108987987</v>
      </c>
      <c r="CY166" s="59">
        <f ca="1">AVERAGE(OFFSET($CX$3,0,0,'Données projet'!$E$13+1,1))-AVERAGE(OFFSET($H$3,0,0,'Données projet'!$E$13+1,1))</f>
        <v>436.12708882925142</v>
      </c>
      <c r="CZ166" s="59">
        <f t="shared" si="150"/>
        <v>217.65884352525285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48.642914703350264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48.642914703350264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3.4106051316484809E-13</v>
      </c>
      <c r="DP166" s="17">
        <f>DO166*VLOOKUP('Données projet'!$B$14,Paramètres!$A$1:$I$89,3,0)*VLOOKUP('Données projet'!$B$14,Paramètres!$A$1:$I$89,5,0)</f>
        <v>3.2455318432766944E-13</v>
      </c>
      <c r="DQ166" s="13">
        <f t="shared" si="176"/>
        <v>4.2513245787534721E-12</v>
      </c>
      <c r="DR166" s="20">
        <f t="shared" si="177"/>
        <v>7.9696537706996534E-12</v>
      </c>
      <c r="DS166" s="59">
        <f t="shared" si="125"/>
        <v>293.33333333334127</v>
      </c>
      <c r="DT166" s="59">
        <f ca="1">AVERAGE(OFFSET($DS$3,0,0,'Données projet'!$E$14+1,1))-AVERAGE(OFFSET($H$3,0,0,'Données projet'!$E$14+1,1))</f>
        <v>735.50267870886194</v>
      </c>
      <c r="DU166" s="59">
        <f t="shared" si="152"/>
        <v>525.80345400853275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82.236649028554197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82.236649028554197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4.916666666666667</v>
      </c>
      <c r="EJ166" s="12">
        <f>IF('Données projet'!$A$192&gt;35,EJ165+EI166-ER165,IF(A166&lt;'Données projet'!$A$192,$EG$205^A166,IF(A166='Données projet'!$A$192,'Données projet'!$B$192,EJ165+EI166-ER165)))</f>
        <v>289.16666666666731</v>
      </c>
      <c r="EK166" s="17">
        <f>EJ166*VLOOKUP('Données projet'!$B$15,Paramètres!$A$1:$I$89,3,0)*VLOOKUP('Données projet'!$B$15,Paramètres!$A$1:$I$89,5,0)</f>
        <v>184.95100000000042</v>
      </c>
      <c r="EL166" s="13">
        <f t="shared" si="179"/>
        <v>46.421946923436572</v>
      </c>
      <c r="EM166" s="20">
        <f t="shared" si="180"/>
        <v>402.97454922498605</v>
      </c>
      <c r="EN166" s="59">
        <f t="shared" si="128"/>
        <v>696.30788255831931</v>
      </c>
      <c r="EO166" s="59">
        <f ca="1">AVERAGE(OFFSET($EN$3,0,0,'Données projet'!$E$15+1,1))-AVERAGE(OFFSET($H$3,0,0,'Données projet'!$E$15+1,1))</f>
        <v>274.14900959323484</v>
      </c>
      <c r="EP166" s="59">
        <f t="shared" si="154"/>
        <v>130.44590390921582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22.926842983074277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22.926842983074277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-2.2737367544323206E-13</v>
      </c>
      <c r="FF166" s="17">
        <f>FE166*VLOOKUP('Données projet'!$B$16,Paramètres!$A$1:$I$89,3,0)*VLOOKUP('Données projet'!$B$16,Paramètres!$A$1:$I$89,5,0)</f>
        <v>-1.3596945791505279E-13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405.42845699663462</v>
      </c>
      <c r="FK166" s="59">
        <f t="shared" si="156"/>
        <v>292.26503163353146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45.834673184141387</v>
      </c>
      <c r="FR166" s="21">
        <f>EXP(-LN(2)/25)*FR165+(1-EXP(-LN(2)/25))/(LN(2)/25)*Calculateur!FM166*Calculateur!FO166*VLOOKUP('Données projet'!$B$16,Paramètres!$A$1:$I$89,3,0)*0.475*44/12</f>
        <v>11.357156858411479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57.191830042552866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-2.2737367544323206E-13</v>
      </c>
      <c r="GA166" s="17">
        <f>FZ166*VLOOKUP('Données projet'!$B$17,Paramètres!$A$1:$I$89,3,0)*VLOOKUP('Données projet'!$B$17,Paramètres!$A$1:$I$89,5,0)</f>
        <v>-1.3596945791505279E-13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405.42845699663462</v>
      </c>
      <c r="GF166" s="59">
        <f t="shared" si="158"/>
        <v>292.26503163353146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45.834673184141387</v>
      </c>
      <c r="GM166" s="21">
        <f>EXP(-LN(2)/25)*GM165+(1-EXP(-LN(2)/25))/(LN(2)/25)*Calculateur!GH166*Calculateur!GJ166*VLOOKUP('Données projet'!$B$17,Paramètres!$A$1:$I$89,3,0)*0.475*44/12</f>
        <v>11.357156858411479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57.191830042552866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-5.3205440053716299E-14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198.26255998041</v>
      </c>
      <c r="T167" s="59">
        <f t="shared" si="142"/>
        <v>238.62101708181166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13.996235021353097</v>
      </c>
      <c r="AA167" s="21">
        <f>EXP(-LN(2)/25)*AA166+(1-EXP(-LN(2)/25))/(LN(2)/25)*Calculateur!V167*Calculateur!X167*VLOOKUP('Données projet'!$B$9,Paramètres!$A$1:$I$89,3,0)*0.475*44/12</f>
        <v>3.4831219261511492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17.479356947504247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3.4106051316484809E-13</v>
      </c>
      <c r="AJ167" s="13">
        <f>AI167*VLOOKUP('Données projet'!$B$10,Paramètres!$A$1:$I$89,3,0)*VLOOKUP('Données projet'!$B$10,Paramètres!$A$1:$I$89,5,0)</f>
        <v>1.9065282685915009E-13</v>
      </c>
      <c r="AK167" s="13">
        <f t="shared" si="164"/>
        <v>2.6568987209435707E-12</v>
      </c>
      <c r="AL167" s="20">
        <f t="shared" si="165"/>
        <v>4.959485612423072E-12</v>
      </c>
      <c r="AM167" s="59">
        <f t="shared" si="113"/>
        <v>293.33333333333826</v>
      </c>
      <c r="AN167" s="59">
        <f ca="1">AVERAGE(OFFSET($AM$3,0,0,'Données projet'!$E$10+1,1))-AVERAGE(OFFSET($H$3,0,0,'Données projet'!$E$10+1,1))</f>
        <v>347.02720636703873</v>
      </c>
      <c r="AO167" s="59">
        <f t="shared" si="144"/>
        <v>394.03759949558702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30.552292090655833</v>
      </c>
      <c r="AV167" s="21">
        <f>EXP(-LN(2)/25)*AV166+(1-EXP(-LN(2)/25))/(LN(2)/25)*Calculateur!AQ167*Calculateur!AS167*VLOOKUP('Données projet'!$B$10,Paramètres!$A$1:$I$89,3,0)*0.475*44/12</f>
        <v>7.4132894954148867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37.965581586070719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-3.4106051316484809E-13</v>
      </c>
      <c r="BE167" s="13">
        <f>BD167*VLOOKUP('Données projet'!$B$11,Paramètres!$A$1:$I$89,3,0)*VLOOKUP('Données projet'!$B$11,Paramètres!$A$1:$I$89,5,0)</f>
        <v>-2.0395418687257919E-13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378.75660696651238</v>
      </c>
      <c r="BJ167" s="59">
        <f t="shared" si="146"/>
        <v>371.70674704563288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30.223068035320992</v>
      </c>
      <c r="BQ167" s="21">
        <f>EXP(-LN(2)/25)*BQ166+(1-EXP(-LN(2)/25))/(LN(2)/25)*Calculateur!BL167*Calculateur!BN167*VLOOKUP('Données projet'!$B$11,Paramètres!$A$1:$I$89,3,0)*0.475*44/12</f>
        <v>7.1627719021650904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37.385839937486082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4.916666666666667</v>
      </c>
      <c r="BY167" s="12">
        <f>IF('Données projet'!$A$114&gt;35,BY166+BX167-CG166,IF(A167&lt;'Données projet'!$A$114,$BV$205^A167,IF(A167='Données projet'!$A$114,'Données projet'!$B$114,BY166+BX167-CG166)))</f>
        <v>294.083333333334</v>
      </c>
      <c r="BZ167" s="13">
        <f>BY167*VLOOKUP('Données projet'!$B$12,Paramètres!$A$1:$I$89,3,0)*VLOOKUP('Données projet'!$B$12,Paramètres!$A$1:$I$89,5,0)</f>
        <v>298.20050000000066</v>
      </c>
      <c r="CA167" s="13">
        <f t="shared" si="170"/>
        <v>70.799087164099106</v>
      </c>
      <c r="CB167" s="20">
        <f t="shared" si="171"/>
        <v>642.6742809774737</v>
      </c>
      <c r="CC167" s="59">
        <f t="shared" si="119"/>
        <v>936.00761431080696</v>
      </c>
      <c r="CD167" s="59">
        <f ca="1">AVERAGE(OFFSET($CC$3,0,0,'Données projet'!$E$12+1,1))-AVERAGE(OFFSET($H$3,0,0,'Données projet'!$E$12+1,1))</f>
        <v>410.75375635525211</v>
      </c>
      <c r="CE167" s="59">
        <f t="shared" si="148"/>
        <v>183.55513001437367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35.634682986610358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35.634682986610358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6.083333333333333</v>
      </c>
      <c r="CT167" s="12">
        <f>IF('Données projet'!$A$140&gt;35,CT166+CS167-DB166,IF(A167&lt;'Données projet'!$A$140,$CQ$205^A167,IF(A167='Données projet'!$A$140,'Données projet'!$B$140,CT166+CS167-DB166)))</f>
        <v>356.41666666666657</v>
      </c>
      <c r="CU167" s="17">
        <f>CT167*VLOOKUP('Données projet'!$B$13,Paramètres!$A$1:$I$89,3,0)*VLOOKUP('Données projet'!$B$13,Paramètres!$A$1:$I$89,5,0)</f>
        <v>322.48579999999993</v>
      </c>
      <c r="CV167" s="13">
        <f t="shared" si="173"/>
        <v>75.870339532134324</v>
      </c>
      <c r="CW167" s="20">
        <f t="shared" si="174"/>
        <v>693.80360968513378</v>
      </c>
      <c r="CX167" s="59">
        <f t="shared" si="122"/>
        <v>987.13694301846704</v>
      </c>
      <c r="CY167" s="59">
        <f ca="1">AVERAGE(OFFSET($CX$3,0,0,'Données projet'!$E$13+1,1))-AVERAGE(OFFSET($H$3,0,0,'Données projet'!$E$13+1,1))</f>
        <v>436.12708882925142</v>
      </c>
      <c r="CZ167" s="59">
        <f t="shared" si="150"/>
        <v>217.65884352525285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47.689056815265943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47.689056815265943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3.4106051316484809E-13</v>
      </c>
      <c r="DP167" s="17">
        <f>DO167*VLOOKUP('Données projet'!$B$14,Paramètres!$A$1:$I$89,3,0)*VLOOKUP('Données projet'!$B$14,Paramètres!$A$1:$I$89,5,0)</f>
        <v>3.2455318432766944E-13</v>
      </c>
      <c r="DQ167" s="13">
        <f t="shared" si="176"/>
        <v>4.2513245787534721E-12</v>
      </c>
      <c r="DR167" s="20">
        <f t="shared" si="177"/>
        <v>7.9696537706996534E-12</v>
      </c>
      <c r="DS167" s="59">
        <f t="shared" si="125"/>
        <v>293.33333333334127</v>
      </c>
      <c r="DT167" s="59">
        <f ca="1">AVERAGE(OFFSET($DS$3,0,0,'Données projet'!$E$14+1,1))-AVERAGE(OFFSET($H$3,0,0,'Données projet'!$E$14+1,1))</f>
        <v>735.50267870886194</v>
      </c>
      <c r="DU167" s="59">
        <f t="shared" si="152"/>
        <v>525.80345400853275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80.624038500507325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80.624038500507325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4.916666666666667</v>
      </c>
      <c r="EJ167" s="12">
        <f>IF('Données projet'!$A$192&gt;35,EJ166+EI167-ER166,IF(A167&lt;'Données projet'!$A$192,$EG$205^A167,IF(A167='Données projet'!$A$192,'Données projet'!$B$192,EJ166+EI167-ER166)))</f>
        <v>294.083333333334</v>
      </c>
      <c r="EK167" s="17">
        <f>EJ167*VLOOKUP('Données projet'!$B$15,Paramètres!$A$1:$I$89,3,0)*VLOOKUP('Données projet'!$B$15,Paramètres!$A$1:$I$89,5,0)</f>
        <v>188.09570000000042</v>
      </c>
      <c r="EL167" s="13">
        <f t="shared" si="179"/>
        <v>47.118692653518494</v>
      </c>
      <c r="EM167" s="20">
        <f t="shared" si="180"/>
        <v>409.66506720487882</v>
      </c>
      <c r="EN167" s="59">
        <f t="shared" si="128"/>
        <v>702.99840053821208</v>
      </c>
      <c r="EO167" s="59">
        <f ca="1">AVERAGE(OFFSET($EN$3,0,0,'Données projet'!$E$15+1,1))-AVERAGE(OFFSET($H$3,0,0,'Données projet'!$E$15+1,1))</f>
        <v>274.14900959323484</v>
      </c>
      <c r="EP167" s="59">
        <f t="shared" si="154"/>
        <v>130.44590390921582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22.477261576169607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22.477261576169607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-2.2737367544323206E-13</v>
      </c>
      <c r="FF167" s="17">
        <f>FE167*VLOOKUP('Données projet'!$B$16,Paramètres!$A$1:$I$89,3,0)*VLOOKUP('Données projet'!$B$16,Paramètres!$A$1:$I$89,5,0)</f>
        <v>-1.3596945791505279E-13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405.42845699663462</v>
      </c>
      <c r="FK167" s="59">
        <f t="shared" si="156"/>
        <v>292.26503163353146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44.935883199390553</v>
      </c>
      <c r="FR167" s="21">
        <f>EXP(-LN(2)/25)*FR166+(1-EXP(-LN(2)/25))/(LN(2)/25)*Calculateur!FM167*Calculateur!FO167*VLOOKUP('Données projet'!$B$16,Paramètres!$A$1:$I$89,3,0)*0.475*44/12</f>
        <v>11.046594806871294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55.982478006261843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-2.2737367544323206E-13</v>
      </c>
      <c r="GA167" s="17">
        <f>FZ167*VLOOKUP('Données projet'!$B$17,Paramètres!$A$1:$I$89,3,0)*VLOOKUP('Données projet'!$B$17,Paramètres!$A$1:$I$89,5,0)</f>
        <v>-1.3596945791505279E-13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405.42845699663462</v>
      </c>
      <c r="GF167" s="59">
        <f t="shared" si="158"/>
        <v>292.26503163353146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44.935883199390553</v>
      </c>
      <c r="GM167" s="21">
        <f>EXP(-LN(2)/25)*GM166+(1-EXP(-LN(2)/25))/(LN(2)/25)*Calculateur!GH167*Calculateur!GJ167*VLOOKUP('Données projet'!$B$17,Paramètres!$A$1:$I$89,3,0)*0.475*44/12</f>
        <v>11.046594806871294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55.982478006261843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-5.3205440053716299E-14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198.26255998041</v>
      </c>
      <c r="T168" s="59">
        <f t="shared" si="142"/>
        <v>238.62101708181166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13.721777389444782</v>
      </c>
      <c r="AA168" s="21">
        <f>EXP(-LN(2)/25)*AA167+(1-EXP(-LN(2)/25))/(LN(2)/25)*Calculateur!V168*Calculateur!X168*VLOOKUP('Données projet'!$B$9,Paramètres!$A$1:$I$89,3,0)*0.475*44/12</f>
        <v>3.3878757739111247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17.109653163355908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3.4106051316484809E-13</v>
      </c>
      <c r="AJ168" s="13">
        <f>AI168*VLOOKUP('Données projet'!$B$10,Paramètres!$A$1:$I$89,3,0)*VLOOKUP('Données projet'!$B$10,Paramètres!$A$1:$I$89,5,0)</f>
        <v>1.9065282685915009E-13</v>
      </c>
      <c r="AK168" s="13">
        <f t="shared" si="164"/>
        <v>2.6568987209435707E-12</v>
      </c>
      <c r="AL168" s="20">
        <f t="shared" si="165"/>
        <v>4.959485612423072E-12</v>
      </c>
      <c r="AM168" s="59">
        <f t="shared" si="113"/>
        <v>293.33333333333826</v>
      </c>
      <c r="AN168" s="59">
        <f ca="1">AVERAGE(OFFSET($AM$3,0,0,'Données projet'!$E$10+1,1))-AVERAGE(OFFSET($H$3,0,0,'Données projet'!$E$10+1,1))</f>
        <v>347.02720636703873</v>
      </c>
      <c r="AO168" s="59">
        <f t="shared" si="144"/>
        <v>394.03759949558702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29.953180277816188</v>
      </c>
      <c r="AV168" s="21">
        <f>EXP(-LN(2)/25)*AV167+(1-EXP(-LN(2)/25))/(LN(2)/25)*Calculateur!AQ168*Calculateur!AS168*VLOOKUP('Données projet'!$B$10,Paramètres!$A$1:$I$89,3,0)*0.475*44/12</f>
        <v>7.2105727043148153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37.163752982131001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-3.4106051316484809E-13</v>
      </c>
      <c r="BE168" s="13">
        <f>BD168*VLOOKUP('Données projet'!$B$11,Paramètres!$A$1:$I$89,3,0)*VLOOKUP('Données projet'!$B$11,Paramètres!$A$1:$I$89,5,0)</f>
        <v>-2.0395418687257919E-13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378.75660696651238</v>
      </c>
      <c r="BJ168" s="59">
        <f t="shared" si="146"/>
        <v>371.70674704563288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29.630412105399618</v>
      </c>
      <c r="BQ168" s="21">
        <f>EXP(-LN(2)/25)*BQ167+(1-EXP(-LN(2)/25))/(LN(2)/25)*Calculateur!BL168*Calculateur!BN168*VLOOKUP('Données projet'!$B$11,Paramètres!$A$1:$I$89,3,0)*0.475*44/12</f>
        <v>6.9669055278265821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36.597317633226197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>
        <f>VLOOKUP(A168,'Données projet'!$A$113:$I$133,2,0)</f>
        <v>299</v>
      </c>
      <c r="BW168" s="12">
        <f>VLOOKUP(A168,'Données projet'!$A$113:$I$133,9,0)</f>
        <v>4.916666666666667</v>
      </c>
      <c r="BX168" s="12">
        <f t="array" ref="BX168">INDEX(BW:BW,MIN(IF(ISNUMBER(BW168:BW364),ROW(BW168:BW364),"")))</f>
        <v>4.916666666666667</v>
      </c>
      <c r="BY168" s="12">
        <f>IF('Données projet'!$A$114&gt;35,BY167+BX168-CG167,IF(A168&lt;'Données projet'!$A$114,$BV$205^A168,IF(A168='Données projet'!$A$114,'Données projet'!$B$114,BY167+BX168-CG167)))</f>
        <v>299.00000000000068</v>
      </c>
      <c r="BZ168" s="13">
        <f>BY168*VLOOKUP('Données projet'!$B$12,Paramètres!$A$1:$I$89,3,0)*VLOOKUP('Données projet'!$B$12,Paramètres!$A$1:$I$89,5,0)</f>
        <v>303.18600000000072</v>
      </c>
      <c r="CA168" s="13">
        <f t="shared" si="170"/>
        <v>71.843960250458494</v>
      </c>
      <c r="CB168" s="20">
        <f t="shared" si="171"/>
        <v>653.17718076954986</v>
      </c>
      <c r="CC168" s="59">
        <f t="shared" si="119"/>
        <v>946.51051410288323</v>
      </c>
      <c r="CD168" s="59">
        <f ca="1">AVERAGE(OFFSET($CC$3,0,0,'Données projet'!$E$12+1,1))-AVERAGE(OFFSET($H$3,0,0,'Données projet'!$E$12+1,1))</f>
        <v>410.75375635525211</v>
      </c>
      <c r="CE168" s="59">
        <f t="shared" si="148"/>
        <v>183.55513001437367</v>
      </c>
      <c r="CF168" s="15">
        <f>IF(ISNA(VLOOKUP(A168,'Données projet'!$A$113:$I$133,3,0)),0,VLOOKUP(A168,'Données projet'!$A$113:$I$133,3,0))</f>
        <v>12</v>
      </c>
      <c r="CG168" s="15">
        <f>IF(ISNA(VLOOKUP(A168,'Données projet'!$A$113:$I$133,4,0)),0,VLOOKUP(A168,'Données projet'!$A$113:$I$133,4,0))</f>
        <v>40</v>
      </c>
      <c r="CH168" s="16">
        <f>IF(ISNA(VLOOKUP(A168,'Données projet'!$A$113:$I$133,5,0)),0%,VLOOKUP(A168,'Données projet'!$A$113:$I$133,5,0)*VLOOKUP('Données projet'!$B$12,Paramètres!$A$1:$I$89,7,0))</f>
        <v>0.25800000000000001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46.504081265468365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46.504081265468365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6.083333333333333</v>
      </c>
      <c r="CT168" s="12">
        <f>IF('Données projet'!$A$140&gt;35,CT167+CS168-DB167,IF(A168&lt;'Données projet'!$A$140,$CQ$205^A168,IF(A168='Données projet'!$A$140,'Données projet'!$B$140,CT167+CS168-DB167)))</f>
        <v>362.49999999999989</v>
      </c>
      <c r="CU168" s="17">
        <f>CT168*VLOOKUP('Données projet'!$B$13,Paramètres!$A$1:$I$89,3,0)*VLOOKUP('Données projet'!$B$13,Paramètres!$A$1:$I$89,5,0)</f>
        <v>327.9899999999999</v>
      </c>
      <c r="CV168" s="13">
        <f t="shared" si="173"/>
        <v>77.013434829027545</v>
      </c>
      <c r="CW168" s="20">
        <f t="shared" si="174"/>
        <v>705.3809823272228</v>
      </c>
      <c r="CX168" s="59">
        <f t="shared" si="122"/>
        <v>998.71431566055617</v>
      </c>
      <c r="CY168" s="59">
        <f ca="1">AVERAGE(OFFSET($CX$3,0,0,'Données projet'!$E$13+1,1))-AVERAGE(OFFSET($H$3,0,0,'Données projet'!$E$13+1,1))</f>
        <v>436.12708882925142</v>
      </c>
      <c r="CZ168" s="59">
        <f t="shared" si="150"/>
        <v>217.65884352525285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46.753903498571084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46.753903498571084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3.4106051316484809E-13</v>
      </c>
      <c r="DP168" s="17">
        <f>DO168*VLOOKUP('Données projet'!$B$14,Paramètres!$A$1:$I$89,3,0)*VLOOKUP('Données projet'!$B$14,Paramètres!$A$1:$I$89,5,0)</f>
        <v>3.2455318432766944E-13</v>
      </c>
      <c r="DQ168" s="13">
        <f t="shared" si="176"/>
        <v>4.2513245787534721E-12</v>
      </c>
      <c r="DR168" s="20">
        <f t="shared" si="177"/>
        <v>7.9696537706996534E-12</v>
      </c>
      <c r="DS168" s="59">
        <f t="shared" si="125"/>
        <v>293.33333333334127</v>
      </c>
      <c r="DT168" s="59">
        <f ca="1">AVERAGE(OFFSET($DS$3,0,0,'Données projet'!$E$14+1,1))-AVERAGE(OFFSET($H$3,0,0,'Données projet'!$E$14+1,1))</f>
        <v>735.50267870886194</v>
      </c>
      <c r="DU168" s="59">
        <f t="shared" si="152"/>
        <v>525.80345400853275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79.043050281320149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79.043050281320149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>
        <f>VLOOKUP(A168,'Données projet'!$A$191:$I$211,2,0)</f>
        <v>299</v>
      </c>
      <c r="EH168" s="12">
        <f>VLOOKUP(A168,'Données projet'!$A$191:$I$211,9,0)</f>
        <v>4.916666666666667</v>
      </c>
      <c r="EI168" s="12">
        <f t="array" ref="EI168">INDEX(EH:EH,MIN(IF(ISNUMBER(EH168:EH364),ROW(EH168:EH364),"")))</f>
        <v>4.916666666666667</v>
      </c>
      <c r="EJ168" s="12">
        <f>IF('Données projet'!$A$192&gt;35,EJ167+EI168-ER167,IF(A168&lt;'Données projet'!$A$192,$EG$205^A168,IF(A168='Données projet'!$A$192,'Données projet'!$B$192,EJ167+EI168-ER167)))</f>
        <v>299.00000000000068</v>
      </c>
      <c r="EK168" s="17">
        <f>EJ168*VLOOKUP('Données projet'!$B$15,Paramètres!$A$1:$I$89,3,0)*VLOOKUP('Données projet'!$B$15,Paramètres!$A$1:$I$89,5,0)</f>
        <v>191.24040000000042</v>
      </c>
      <c r="EL168" s="13">
        <f t="shared" si="179"/>
        <v>47.814083735383591</v>
      </c>
      <c r="EM168" s="20">
        <f t="shared" si="180"/>
        <v>416.35322583912711</v>
      </c>
      <c r="EN168" s="59">
        <f t="shared" si="128"/>
        <v>709.68655917246042</v>
      </c>
      <c r="EO168" s="59">
        <f ca="1">AVERAGE(OFFSET($EN$3,0,0,'Données projet'!$E$15+1,1))-AVERAGE(OFFSET($H$3,0,0,'Données projet'!$E$15+1,1))</f>
        <v>274.14900959323484</v>
      </c>
      <c r="EP168" s="59">
        <f t="shared" si="154"/>
        <v>130.44590390921582</v>
      </c>
      <c r="EQ168" s="15">
        <f>IF(ISNA(VLOOKUP(A168,'Données projet'!$A$191:$I$211,3,0)),0,VLOOKUP(A168,'Données projet'!$A$191:$I$211,3,0))</f>
        <v>12</v>
      </c>
      <c r="ER168" s="15">
        <f>IF(ISNA(VLOOKUP(A168,'Données projet'!$A$191:$I$211,4,0)),0,VLOOKUP(A168,'Données projet'!$A$191:$I$211,4,0))</f>
        <v>40</v>
      </c>
      <c r="ES168" s="16">
        <f>IF(ISNA(VLOOKUP(A168,'Données projet'!$A$191:$I$211,5,0)),0%,VLOOKUP(A168,'Données projet'!$A$191:$I$211,5,0)*VLOOKUP('Données projet'!$B$15,Paramètres!$A$1:$I$89,7,0))</f>
        <v>0.25800000000000001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29.333343567449273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29.333343567449273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-2.2737367544323206E-13</v>
      </c>
      <c r="FF168" s="17">
        <f>FE168*VLOOKUP('Données projet'!$B$16,Paramètres!$A$1:$I$89,3,0)*VLOOKUP('Données projet'!$B$16,Paramètres!$A$1:$I$89,5,0)</f>
        <v>-1.3596945791505279E-13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405.42845699663462</v>
      </c>
      <c r="FK168" s="59">
        <f t="shared" si="156"/>
        <v>292.26503163353146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44.054717938032923</v>
      </c>
      <c r="FR168" s="21">
        <f>EXP(-LN(2)/25)*FR167+(1-EXP(-LN(2)/25))/(LN(2)/25)*Calculateur!FM168*Calculateur!FO168*VLOOKUP('Données projet'!$B$16,Paramètres!$A$1:$I$89,3,0)*0.475*44/12</f>
        <v>10.744525090962226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54.79924302899515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-2.2737367544323206E-13</v>
      </c>
      <c r="GA168" s="17">
        <f>FZ168*VLOOKUP('Données projet'!$B$17,Paramètres!$A$1:$I$89,3,0)*VLOOKUP('Données projet'!$B$17,Paramètres!$A$1:$I$89,5,0)</f>
        <v>-1.3596945791505279E-13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405.42845699663462</v>
      </c>
      <c r="GF168" s="59">
        <f t="shared" si="158"/>
        <v>292.26503163353146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44.054717938032923</v>
      </c>
      <c r="GM168" s="21">
        <f>EXP(-LN(2)/25)*GM167+(1-EXP(-LN(2)/25))/(LN(2)/25)*Calculateur!GH168*Calculateur!GJ168*VLOOKUP('Données projet'!$B$17,Paramètres!$A$1:$I$89,3,0)*0.475*44/12</f>
        <v>10.744525090962226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54.79924302899515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-5.3205440053716299E-14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198.26255998041</v>
      </c>
      <c r="T169" s="59">
        <f t="shared" si="142"/>
        <v>238.62101708181166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13.452701704295562</v>
      </c>
      <c r="AA169" s="21">
        <f>EXP(-LN(2)/25)*AA168+(1-EXP(-LN(2)/25))/(LN(2)/25)*Calculateur!V169*Calculateur!X169*VLOOKUP('Données projet'!$B$9,Paramètres!$A$1:$I$89,3,0)*0.475*44/12</f>
        <v>3.2952341327128813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16.747935837008441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3.4106051316484809E-13</v>
      </c>
      <c r="AJ169" s="13">
        <f>AI169*VLOOKUP('Données projet'!$B$10,Paramètres!$A$1:$I$89,3,0)*VLOOKUP('Données projet'!$B$10,Paramètres!$A$1:$I$89,5,0)</f>
        <v>1.9065282685915009E-13</v>
      </c>
      <c r="AK169" s="13">
        <f t="shared" si="164"/>
        <v>2.6568987209435707E-12</v>
      </c>
      <c r="AL169" s="20">
        <f t="shared" si="165"/>
        <v>4.959485612423072E-12</v>
      </c>
      <c r="AM169" s="59">
        <f t="shared" si="113"/>
        <v>293.33333333333826</v>
      </c>
      <c r="AN169" s="59">
        <f ca="1">AVERAGE(OFFSET($AM$3,0,0,'Données projet'!$E$10+1,1))-AVERAGE(OFFSET($H$3,0,0,'Données projet'!$E$10+1,1))</f>
        <v>347.02720636703873</v>
      </c>
      <c r="AO169" s="59">
        <f t="shared" si="144"/>
        <v>394.03759949558702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29.365816682204205</v>
      </c>
      <c r="AV169" s="21">
        <f>EXP(-LN(2)/25)*AV168+(1-EXP(-LN(2)/25))/(LN(2)/25)*Calculateur!AQ169*Calculateur!AS169*VLOOKUP('Données projet'!$B$10,Paramètres!$A$1:$I$89,3,0)*0.475*44/12</f>
        <v>7.0133992145277881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36.379215896731992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-3.4106051316484809E-13</v>
      </c>
      <c r="BE169" s="13">
        <f>BD169*VLOOKUP('Données projet'!$B$11,Paramètres!$A$1:$I$89,3,0)*VLOOKUP('Données projet'!$B$11,Paramètres!$A$1:$I$89,5,0)</f>
        <v>-2.0395418687257919E-13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378.75660696651238</v>
      </c>
      <c r="BJ169" s="59">
        <f t="shared" si="146"/>
        <v>371.70674704563288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29.049377796779577</v>
      </c>
      <c r="BQ169" s="21">
        <f>EXP(-LN(2)/25)*BQ168+(1-EXP(-LN(2)/25))/(LN(2)/25)*Calculateur!BL169*Calculateur!BN169*VLOOKUP('Données projet'!$B$11,Paramètres!$A$1:$I$89,3,0)*0.475*44/12</f>
        <v>6.7763951297945253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35.825772926574103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5.083333333333333</v>
      </c>
      <c r="BY169" s="12">
        <f>IF('Données projet'!$A$114&gt;35,BY168+BX169-CG168,IF(A169&lt;'Données projet'!$A$114,$BV$205^A169,IF(A169='Données projet'!$A$114,'Données projet'!$B$114,BY168+BX169-CG168)))</f>
        <v>264.083333333334</v>
      </c>
      <c r="BZ169" s="13">
        <f>BY169*VLOOKUP('Données projet'!$B$12,Paramètres!$A$1:$I$89,3,0)*VLOOKUP('Données projet'!$B$12,Paramètres!$A$1:$I$89,5,0)</f>
        <v>267.7805000000007</v>
      </c>
      <c r="CA169" s="13">
        <f t="shared" si="170"/>
        <v>64.378009324364257</v>
      </c>
      <c r="CB169" s="20">
        <f t="shared" si="171"/>
        <v>578.50940373993558</v>
      </c>
      <c r="CC169" s="59">
        <f t="shared" si="119"/>
        <v>871.84273707326884</v>
      </c>
      <c r="CD169" s="59">
        <f ca="1">AVERAGE(OFFSET($CC$3,0,0,'Données projet'!$E$12+1,1))-AVERAGE(OFFSET($H$3,0,0,'Données projet'!$E$12+1,1))</f>
        <v>410.75375635525211</v>
      </c>
      <c r="CE169" s="59">
        <f t="shared" si="148"/>
        <v>183.55513001437367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45.592164596541323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45.592164596541323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6.083333333333333</v>
      </c>
      <c r="CT169" s="12">
        <f>IF('Données projet'!$A$140&gt;35,CT168+CS169-DB168,IF(A169&lt;'Données projet'!$A$140,$CQ$205^A169,IF(A169='Données projet'!$A$140,'Données projet'!$B$140,CT168+CS169-DB168)))</f>
        <v>368.5833333333332</v>
      </c>
      <c r="CU169" s="17">
        <f>CT169*VLOOKUP('Données projet'!$B$13,Paramètres!$A$1:$I$89,3,0)*VLOOKUP('Données projet'!$B$13,Paramètres!$A$1:$I$89,5,0)</f>
        <v>333.49419999999986</v>
      </c>
      <c r="CV169" s="13">
        <f t="shared" si="173"/>
        <v>78.154299295945805</v>
      </c>
      <c r="CW169" s="20">
        <f t="shared" si="174"/>
        <v>716.95446960710524</v>
      </c>
      <c r="CX169" s="59">
        <f t="shared" si="122"/>
        <v>1010.2878029404385</v>
      </c>
      <c r="CY169" s="59">
        <f ca="1">AVERAGE(OFFSET($CX$3,0,0,'Données projet'!$E$13+1,1))-AVERAGE(OFFSET($H$3,0,0,'Données projet'!$E$13+1,1))</f>
        <v>436.12708882925142</v>
      </c>
      <c r="CZ169" s="59">
        <f t="shared" si="150"/>
        <v>217.65884352525285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45.837087968029415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45.837087968029415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3.4106051316484809E-13</v>
      </c>
      <c r="DP169" s="17">
        <f>DO169*VLOOKUP('Données projet'!$B$14,Paramètres!$A$1:$I$89,3,0)*VLOOKUP('Données projet'!$B$14,Paramètres!$A$1:$I$89,5,0)</f>
        <v>3.2455318432766944E-13</v>
      </c>
      <c r="DQ169" s="13">
        <f t="shared" si="176"/>
        <v>4.2513245787534721E-12</v>
      </c>
      <c r="DR169" s="20">
        <f t="shared" si="177"/>
        <v>7.9696537706996534E-12</v>
      </c>
      <c r="DS169" s="59">
        <f t="shared" si="125"/>
        <v>293.33333333334127</v>
      </c>
      <c r="DT169" s="59">
        <f ca="1">AVERAGE(OFFSET($DS$3,0,0,'Données projet'!$E$14+1,1))-AVERAGE(OFFSET($H$3,0,0,'Données projet'!$E$14+1,1))</f>
        <v>735.50267870886194</v>
      </c>
      <c r="DU169" s="59">
        <f t="shared" si="152"/>
        <v>525.80345400853275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77.493064276803636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77.493064276803636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5.083333333333333</v>
      </c>
      <c r="EJ169" s="12">
        <f>IF('Données projet'!$A$192&gt;35,EJ168+EI169-ER168,IF(A169&lt;'Données projet'!$A$192,$EG$205^A169,IF(A169='Données projet'!$A$192,'Données projet'!$B$192,EJ168+EI169-ER168)))</f>
        <v>264.083333333334</v>
      </c>
      <c r="EK169" s="17">
        <f>EJ169*VLOOKUP('Données projet'!$B$15,Paramètres!$A$1:$I$89,3,0)*VLOOKUP('Données projet'!$B$15,Paramètres!$A$1:$I$89,5,0)</f>
        <v>168.9077000000004</v>
      </c>
      <c r="EL169" s="13">
        <f t="shared" si="179"/>
        <v>42.845293018668308</v>
      </c>
      <c r="EM169" s="20">
        <f t="shared" si="180"/>
        <v>368.8031295075146</v>
      </c>
      <c r="EN169" s="59">
        <f t="shared" si="128"/>
        <v>662.13646284084791</v>
      </c>
      <c r="EO169" s="59">
        <f ca="1">AVERAGE(OFFSET($EN$3,0,0,'Données projet'!$E$15+1,1))-AVERAGE(OFFSET($H$3,0,0,'Données projet'!$E$15+1,1))</f>
        <v>274.14900959323484</v>
      </c>
      <c r="EP169" s="59">
        <f t="shared" si="154"/>
        <v>130.44590390921582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28.758134591664522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28.758134591664522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-2.2737367544323206E-13</v>
      </c>
      <c r="FF169" s="17">
        <f>FE169*VLOOKUP('Données projet'!$B$16,Paramètres!$A$1:$I$89,3,0)*VLOOKUP('Données projet'!$B$16,Paramètres!$A$1:$I$89,5,0)</f>
        <v>-1.3596945791505279E-13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405.42845699663462</v>
      </c>
      <c r="FK169" s="59">
        <f t="shared" si="156"/>
        <v>292.26503163353146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43.190831789992778</v>
      </c>
      <c r="FR169" s="21">
        <f>EXP(-LN(2)/25)*FR168+(1-EXP(-LN(2)/25))/(LN(2)/25)*Calculateur!FM169*Calculateur!FO169*VLOOKUP('Données projet'!$B$16,Paramètres!$A$1:$I$89,3,0)*0.475*44/12</f>
        <v>10.450715487319846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53.641547277312625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-2.2737367544323206E-13</v>
      </c>
      <c r="GA169" s="17">
        <f>FZ169*VLOOKUP('Données projet'!$B$17,Paramètres!$A$1:$I$89,3,0)*VLOOKUP('Données projet'!$B$17,Paramètres!$A$1:$I$89,5,0)</f>
        <v>-1.3596945791505279E-13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405.42845699663462</v>
      </c>
      <c r="GF169" s="59">
        <f t="shared" si="158"/>
        <v>292.26503163353146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43.190831789992778</v>
      </c>
      <c r="GM169" s="21">
        <f>EXP(-LN(2)/25)*GM168+(1-EXP(-LN(2)/25))/(LN(2)/25)*Calculateur!GH169*Calculateur!GJ169*VLOOKUP('Données projet'!$B$17,Paramètres!$A$1:$I$89,3,0)*0.475*44/12</f>
        <v>10.450715487319846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53.641547277312625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-5.3205440053716299E-14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198.26255998041</v>
      </c>
      <c r="T170" s="59">
        <f t="shared" si="142"/>
        <v>238.62101708181166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13.188902429212156</v>
      </c>
      <c r="AA170" s="21">
        <f>EXP(-LN(2)/25)*AA169+(1-EXP(-LN(2)/25))/(LN(2)/25)*Calculateur!V170*Calculateur!X170*VLOOKUP('Données projet'!$B$9,Paramètres!$A$1:$I$89,3,0)*0.475*44/12</f>
        <v>3.2051257820650161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16.394028211277174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3.4106051316484809E-13</v>
      </c>
      <c r="AJ170" s="13">
        <f>AI170*VLOOKUP('Données projet'!$B$10,Paramètres!$A$1:$I$89,3,0)*VLOOKUP('Données projet'!$B$10,Paramètres!$A$1:$I$89,5,0)</f>
        <v>1.9065282685915009E-13</v>
      </c>
      <c r="AK170" s="13">
        <f t="shared" si="164"/>
        <v>2.6568987209435707E-12</v>
      </c>
      <c r="AL170" s="20">
        <f t="shared" si="165"/>
        <v>4.959485612423072E-12</v>
      </c>
      <c r="AM170" s="59">
        <f t="shared" si="113"/>
        <v>293.33333333333826</v>
      </c>
      <c r="AN170" s="59">
        <f ca="1">AVERAGE(OFFSET($AM$3,0,0,'Données projet'!$E$10+1,1))-AVERAGE(OFFSET($H$3,0,0,'Données projet'!$E$10+1,1))</f>
        <v>347.02720636703873</v>
      </c>
      <c r="AO170" s="59">
        <f t="shared" si="144"/>
        <v>394.03759949558702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28.789970928445754</v>
      </c>
      <c r="AV170" s="21">
        <f>EXP(-LN(2)/25)*AV169+(1-EXP(-LN(2)/25))/(LN(2)/25)*Calculateur!AQ170*Calculateur!AS170*VLOOKUP('Données projet'!$B$10,Paramètres!$A$1:$I$89,3,0)*0.475*44/12</f>
        <v>6.8216174441878907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35.611588372633648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-3.4106051316484809E-13</v>
      </c>
      <c r="BE170" s="13">
        <f>BD170*VLOOKUP('Données projet'!$B$11,Paramètres!$A$1:$I$89,3,0)*VLOOKUP('Données projet'!$B$11,Paramètres!$A$1:$I$89,5,0)</f>
        <v>-2.0395418687257919E-13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378.75660696651238</v>
      </c>
      <c r="BJ170" s="59">
        <f t="shared" si="146"/>
        <v>371.70674704563288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28.479737216555641</v>
      </c>
      <c r="BQ170" s="21">
        <f>EXP(-LN(2)/25)*BQ169+(1-EXP(-LN(2)/25))/(LN(2)/25)*Calculateur!BL170*Calculateur!BN170*VLOOKUP('Données projet'!$B$11,Paramètres!$A$1:$I$89,3,0)*0.475*44/12</f>
        <v>6.5910942486151614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35.070831465170805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5.083333333333333</v>
      </c>
      <c r="BY170" s="12">
        <f>IF('Données projet'!$A$114&gt;35,BY169+BX170-CG169,IF(A170&lt;'Données projet'!$A$114,$BV$205^A170,IF(A170='Données projet'!$A$114,'Données projet'!$B$114,BY169+BX170-CG169)))</f>
        <v>269.16666666666731</v>
      </c>
      <c r="BZ170" s="13">
        <f>BY170*VLOOKUP('Données projet'!$B$12,Paramètres!$A$1:$I$89,3,0)*VLOOKUP('Données projet'!$B$12,Paramètres!$A$1:$I$89,5,0)</f>
        <v>272.93500000000068</v>
      </c>
      <c r="CA170" s="13">
        <f t="shared" si="170"/>
        <v>65.471757878088553</v>
      </c>
      <c r="CB170" s="20">
        <f t="shared" si="171"/>
        <v>589.39176997100537</v>
      </c>
      <c r="CC170" s="59">
        <f t="shared" si="119"/>
        <v>882.72510330433875</v>
      </c>
      <c r="CD170" s="59">
        <f ca="1">AVERAGE(OFFSET($CC$3,0,0,'Données projet'!$E$12+1,1))-AVERAGE(OFFSET($H$3,0,0,'Données projet'!$E$12+1,1))</f>
        <v>410.75375635525211</v>
      </c>
      <c r="CE170" s="59">
        <f t="shared" si="148"/>
        <v>183.55513001437367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44.698130057277695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44.698130057277695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6.083333333333333</v>
      </c>
      <c r="CT170" s="12">
        <f>IF('Données projet'!$A$140&gt;35,CT169+CS170-DB169,IF(A170&lt;'Données projet'!$A$140,$CQ$205^A170,IF(A170='Données projet'!$A$140,'Données projet'!$B$140,CT169+CS170-DB169)))</f>
        <v>374.66666666666652</v>
      </c>
      <c r="CU170" s="17">
        <f>CT170*VLOOKUP('Données projet'!$B$13,Paramètres!$A$1:$I$89,3,0)*VLOOKUP('Données projet'!$B$13,Paramètres!$A$1:$I$89,5,0)</f>
        <v>338.99839999999983</v>
      </c>
      <c r="CV170" s="13">
        <f t="shared" si="173"/>
        <v>79.292974001957077</v>
      </c>
      <c r="CW170" s="20">
        <f t="shared" si="174"/>
        <v>728.52414305340835</v>
      </c>
      <c r="CX170" s="59">
        <f t="shared" si="122"/>
        <v>1021.8574763867416</v>
      </c>
      <c r="CY170" s="59">
        <f ca="1">AVERAGE(OFFSET($CX$3,0,0,'Données projet'!$E$13+1,1))-AVERAGE(OFFSET($H$3,0,0,'Données projet'!$E$13+1,1))</f>
        <v>436.12708882925142</v>
      </c>
      <c r="CZ170" s="59">
        <f t="shared" si="150"/>
        <v>217.65884352525285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44.938250630839413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44.938250630839413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3.4106051316484809E-13</v>
      </c>
      <c r="DP170" s="17">
        <f>DO170*VLOOKUP('Données projet'!$B$14,Paramètres!$A$1:$I$89,3,0)*VLOOKUP('Données projet'!$B$14,Paramètres!$A$1:$I$89,5,0)</f>
        <v>3.2455318432766944E-13</v>
      </c>
      <c r="DQ170" s="13">
        <f t="shared" si="176"/>
        <v>4.2513245787534721E-12</v>
      </c>
      <c r="DR170" s="20">
        <f t="shared" si="177"/>
        <v>7.9696537706996534E-12</v>
      </c>
      <c r="DS170" s="59">
        <f t="shared" si="125"/>
        <v>293.33333333334127</v>
      </c>
      <c r="DT170" s="59">
        <f ca="1">AVERAGE(OFFSET($DS$3,0,0,'Données projet'!$E$14+1,1))-AVERAGE(OFFSET($H$3,0,0,'Données projet'!$E$14+1,1))</f>
        <v>735.50267870886194</v>
      </c>
      <c r="DU170" s="59">
        <f t="shared" si="152"/>
        <v>525.80345400853275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75.973472552437585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75.973472552437585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5.083333333333333</v>
      </c>
      <c r="EJ170" s="12">
        <f>IF('Données projet'!$A$192&gt;35,EJ169+EI170-ER169,IF(A170&lt;'Données projet'!$A$192,$EG$205^A170,IF(A170='Données projet'!$A$192,'Données projet'!$B$192,EJ169+EI170-ER169)))</f>
        <v>269.16666666666731</v>
      </c>
      <c r="EK170" s="17">
        <f>EJ170*VLOOKUP('Données projet'!$B$15,Paramètres!$A$1:$I$89,3,0)*VLOOKUP('Données projet'!$B$15,Paramètres!$A$1:$I$89,5,0)</f>
        <v>172.15900000000042</v>
      </c>
      <c r="EL170" s="13">
        <f t="shared" si="179"/>
        <v>43.573212035812091</v>
      </c>
      <c r="EM170" s="20">
        <f t="shared" si="180"/>
        <v>375.73360262904004</v>
      </c>
      <c r="EN170" s="59">
        <f t="shared" si="128"/>
        <v>669.06693596237335</v>
      </c>
      <c r="EO170" s="59">
        <f ca="1">AVERAGE(OFFSET($EN$3,0,0,'Données projet'!$E$15+1,1))-AVERAGE(OFFSET($H$3,0,0,'Données projet'!$E$15+1,1))</f>
        <v>274.14900959323484</v>
      </c>
      <c r="EP170" s="59">
        <f t="shared" si="154"/>
        <v>130.44590390921582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28.194205113052078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28.194205113052078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-2.2737367544323206E-13</v>
      </c>
      <c r="FF170" s="17">
        <f>FE170*VLOOKUP('Données projet'!$B$16,Paramètres!$A$1:$I$89,3,0)*VLOOKUP('Données projet'!$B$16,Paramètres!$A$1:$I$89,5,0)</f>
        <v>-1.3596945791505279E-13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405.42845699663462</v>
      </c>
      <c r="FK170" s="59">
        <f t="shared" si="156"/>
        <v>292.26503163353146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42.343885922397178</v>
      </c>
      <c r="FR170" s="21">
        <f>EXP(-LN(2)/25)*FR169+(1-EXP(-LN(2)/25))/(LN(2)/25)*Calculateur!FM170*Calculateur!FO170*VLOOKUP('Données projet'!$B$16,Paramètres!$A$1:$I$89,3,0)*0.475*44/12</f>
        <v>10.164940122739843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52.50882604513702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-2.2737367544323206E-13</v>
      </c>
      <c r="GA170" s="17">
        <f>FZ170*VLOOKUP('Données projet'!$B$17,Paramètres!$A$1:$I$89,3,0)*VLOOKUP('Données projet'!$B$17,Paramètres!$A$1:$I$89,5,0)</f>
        <v>-1.3596945791505279E-13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405.42845699663462</v>
      </c>
      <c r="GF170" s="59">
        <f t="shared" si="158"/>
        <v>292.26503163353146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42.343885922397178</v>
      </c>
      <c r="GM170" s="21">
        <f>EXP(-LN(2)/25)*GM169+(1-EXP(-LN(2)/25))/(LN(2)/25)*Calculateur!GH170*Calculateur!GJ170*VLOOKUP('Données projet'!$B$17,Paramètres!$A$1:$I$89,3,0)*0.475*44/12</f>
        <v>10.164940122739843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52.50882604513702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-5.3205440053716299E-14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198.26255998041</v>
      </c>
      <c r="T171" s="59">
        <f t="shared" si="142"/>
        <v>238.62101708181166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12.930276097011465</v>
      </c>
      <c r="AA171" s="21">
        <f>EXP(-LN(2)/25)*AA170+(1-EXP(-LN(2)/25))/(LN(2)/25)*Calculateur!V171*Calculateur!X171*VLOOKUP('Données projet'!$B$9,Paramètres!$A$1:$I$89,3,0)*0.475*44/12</f>
        <v>3.1174814490042086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16.047757546015674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3.4106051316484809E-13</v>
      </c>
      <c r="AJ171" s="13">
        <f>AI171*VLOOKUP('Données projet'!$B$10,Paramètres!$A$1:$I$89,3,0)*VLOOKUP('Données projet'!$B$10,Paramètres!$A$1:$I$89,5,0)</f>
        <v>1.9065282685915009E-13</v>
      </c>
      <c r="AK171" s="13">
        <f t="shared" si="164"/>
        <v>2.6568987209435707E-12</v>
      </c>
      <c r="AL171" s="20">
        <f t="shared" si="165"/>
        <v>4.959485612423072E-12</v>
      </c>
      <c r="AM171" s="59">
        <f t="shared" si="113"/>
        <v>293.33333333333826</v>
      </c>
      <c r="AN171" s="59">
        <f ca="1">AVERAGE(OFFSET($AM$3,0,0,'Données projet'!$E$10+1,1))-AVERAGE(OFFSET($H$3,0,0,'Données projet'!$E$10+1,1))</f>
        <v>347.02720636703873</v>
      </c>
      <c r="AO171" s="59">
        <f t="shared" si="144"/>
        <v>394.03759949558702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28.225417158687279</v>
      </c>
      <c r="AV171" s="21">
        <f>EXP(-LN(2)/25)*AV170+(1-EXP(-LN(2)/25))/(LN(2)/25)*Calculateur!AQ171*Calculateur!AS171*VLOOKUP('Données projet'!$B$10,Paramètres!$A$1:$I$89,3,0)*0.475*44/12</f>
        <v>6.6350799564433025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34.860497115130585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-3.4106051316484809E-13</v>
      </c>
      <c r="BE171" s="13">
        <f>BD171*VLOOKUP('Données projet'!$B$11,Paramètres!$A$1:$I$89,3,0)*VLOOKUP('Données projet'!$B$11,Paramètres!$A$1:$I$89,5,0)</f>
        <v>-2.0395418687257919E-13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378.75660696651238</v>
      </c>
      <c r="BJ171" s="59">
        <f t="shared" si="146"/>
        <v>371.70674704563288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27.92126694066345</v>
      </c>
      <c r="BQ171" s="21">
        <f>EXP(-LN(2)/25)*BQ170+(1-EXP(-LN(2)/25))/(LN(2)/25)*Calculateur!BL171*Calculateur!BN171*VLOOKUP('Données projet'!$B$11,Paramètres!$A$1:$I$89,3,0)*0.475*44/12</f>
        <v>6.4108604297761973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34.33212737043965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5.083333333333333</v>
      </c>
      <c r="BY171" s="12">
        <f>IF('Données projet'!$A$114&gt;35,BY170+BX171-CG170,IF(A171&lt;'Données projet'!$A$114,$BV$205^A171,IF(A171='Données projet'!$A$114,'Données projet'!$B$114,BY170+BX171-CG170)))</f>
        <v>274.25000000000063</v>
      </c>
      <c r="BZ171" s="13">
        <f>BY171*VLOOKUP('Données projet'!$B$12,Paramètres!$A$1:$I$89,3,0)*VLOOKUP('Données projet'!$B$12,Paramètres!$A$1:$I$89,5,0)</f>
        <v>278.08950000000067</v>
      </c>
      <c r="CA171" s="13">
        <f t="shared" si="170"/>
        <v>66.563104571111609</v>
      </c>
      <c r="CB171" s="20">
        <f t="shared" si="171"/>
        <v>600.26995296135385</v>
      </c>
      <c r="CC171" s="59">
        <f t="shared" si="119"/>
        <v>893.60328629468722</v>
      </c>
      <c r="CD171" s="59">
        <f ca="1">AVERAGE(OFFSET($CC$3,0,0,'Données projet'!$E$12+1,1))-AVERAGE(OFFSET($H$3,0,0,'Données projet'!$E$12+1,1))</f>
        <v>410.75375635525211</v>
      </c>
      <c r="CE171" s="59">
        <f t="shared" si="148"/>
        <v>183.55513001437367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43.821626990021798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43.821626990021798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6.083333333333333</v>
      </c>
      <c r="CT171" s="12">
        <f>IF('Données projet'!$A$140&gt;35,CT170+CS171-DB170,IF(A171&lt;'Données projet'!$A$140,$CQ$205^A171,IF(A171='Données projet'!$A$140,'Données projet'!$B$140,CT170+CS171-DB170)))</f>
        <v>380.74999999999983</v>
      </c>
      <c r="CU171" s="17">
        <f>CT171*VLOOKUP('Données projet'!$B$13,Paramètres!$A$1:$I$89,3,0)*VLOOKUP('Données projet'!$B$13,Paramètres!$A$1:$I$89,5,0)</f>
        <v>344.50259999999986</v>
      </c>
      <c r="CV171" s="13">
        <f t="shared" si="173"/>
        <v>80.429498606010227</v>
      </c>
      <c r="CW171" s="20">
        <f t="shared" si="174"/>
        <v>740.09007173880082</v>
      </c>
      <c r="CX171" s="59">
        <f t="shared" si="122"/>
        <v>1033.4234050721341</v>
      </c>
      <c r="CY171" s="59">
        <f ca="1">AVERAGE(OFFSET($CX$3,0,0,'Données projet'!$E$13+1,1))-AVERAGE(OFFSET($H$3,0,0,'Données projet'!$E$13+1,1))</f>
        <v>436.12708882925142</v>
      </c>
      <c r="CZ171" s="59">
        <f t="shared" si="150"/>
        <v>217.65884352525285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44.05703894559506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44.05703894559506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3.4106051316484809E-13</v>
      </c>
      <c r="DP171" s="17">
        <f>DO171*VLOOKUP('Données projet'!$B$14,Paramètres!$A$1:$I$89,3,0)*VLOOKUP('Données projet'!$B$14,Paramètres!$A$1:$I$89,5,0)</f>
        <v>3.2455318432766944E-13</v>
      </c>
      <c r="DQ171" s="13">
        <f t="shared" si="176"/>
        <v>4.2513245787534721E-12</v>
      </c>
      <c r="DR171" s="20">
        <f t="shared" si="177"/>
        <v>7.9696537706996534E-12</v>
      </c>
      <c r="DS171" s="59">
        <f t="shared" si="125"/>
        <v>293.33333333334127</v>
      </c>
      <c r="DT171" s="59">
        <f ca="1">AVERAGE(OFFSET($DS$3,0,0,'Données projet'!$E$14+1,1))-AVERAGE(OFFSET($H$3,0,0,'Données projet'!$E$14+1,1))</f>
        <v>735.50267870886194</v>
      </c>
      <c r="DU171" s="59">
        <f t="shared" si="152"/>
        <v>525.80345400853275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74.483679094926927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74.483679094926927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5.083333333333333</v>
      </c>
      <c r="EJ171" s="12">
        <f>IF('Données projet'!$A$192&gt;35,EJ170+EI171-ER170,IF(A171&lt;'Données projet'!$A$192,$EG$205^A171,IF(A171='Données projet'!$A$192,'Données projet'!$B$192,EJ170+EI171-ER170)))</f>
        <v>274.25000000000063</v>
      </c>
      <c r="EK171" s="17">
        <f>EJ171*VLOOKUP('Données projet'!$B$15,Paramètres!$A$1:$I$89,3,0)*VLOOKUP('Données projet'!$B$15,Paramètres!$A$1:$I$89,5,0)</f>
        <v>175.4103000000004</v>
      </c>
      <c r="EL171" s="13">
        <f t="shared" si="179"/>
        <v>44.299532550196709</v>
      </c>
      <c r="EM171" s="20">
        <f t="shared" si="180"/>
        <v>382.66129169159331</v>
      </c>
      <c r="EN171" s="59">
        <f t="shared" si="128"/>
        <v>675.99462502492656</v>
      </c>
      <c r="EO171" s="59">
        <f ca="1">AVERAGE(OFFSET($EN$3,0,0,'Données projet'!$E$15+1,1))-AVERAGE(OFFSET($H$3,0,0,'Données projet'!$E$15+1,1))</f>
        <v>274.14900959323484</v>
      </c>
      <c r="EP171" s="59">
        <f t="shared" si="154"/>
        <v>130.44590390921582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27.641333947552205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27.641333947552205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-2.2737367544323206E-13</v>
      </c>
      <c r="FF171" s="17">
        <f>FE171*VLOOKUP('Données projet'!$B$16,Paramètres!$A$1:$I$89,3,0)*VLOOKUP('Données projet'!$B$16,Paramètres!$A$1:$I$89,5,0)</f>
        <v>-1.3596945791505279E-13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405.42845699663462</v>
      </c>
      <c r="FK171" s="59">
        <f t="shared" si="156"/>
        <v>292.26503163353146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41.513548146679156</v>
      </c>
      <c r="FR171" s="21">
        <f>EXP(-LN(2)/25)*FR170+(1-EXP(-LN(2)/25))/(LN(2)/25)*Calculateur!FM171*Calculateur!FO171*VLOOKUP('Données projet'!$B$16,Paramètres!$A$1:$I$89,3,0)*0.475*44/12</f>
        <v>9.8869793005325537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51.400527447211708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-2.2737367544323206E-13</v>
      </c>
      <c r="GA171" s="17">
        <f>FZ171*VLOOKUP('Données projet'!$B$17,Paramètres!$A$1:$I$89,3,0)*VLOOKUP('Données projet'!$B$17,Paramètres!$A$1:$I$89,5,0)</f>
        <v>-1.3596945791505279E-13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405.42845699663462</v>
      </c>
      <c r="GF171" s="59">
        <f t="shared" si="158"/>
        <v>292.26503163353146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41.513548146679156</v>
      </c>
      <c r="GM171" s="21">
        <f>EXP(-LN(2)/25)*GM170+(1-EXP(-LN(2)/25))/(LN(2)/25)*Calculateur!GH171*Calculateur!GJ171*VLOOKUP('Données projet'!$B$17,Paramètres!$A$1:$I$89,3,0)*0.475*44/12</f>
        <v>9.8869793005325537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51.400527447211708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-5.3205440053716299E-14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198.26255998041</v>
      </c>
      <c r="T172" s="59">
        <f t="shared" si="142"/>
        <v>238.62101708181166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12.676721269438744</v>
      </c>
      <c r="AA172" s="21">
        <f>EXP(-LN(2)/25)*AA171+(1-EXP(-LN(2)/25))/(LN(2)/25)*Calculateur!V172*Calculateur!X172*VLOOKUP('Données projet'!$B$9,Paramètres!$A$1:$I$89,3,0)*0.475*44/12</f>
        <v>3.032233754839964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15.708955024278708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3.4106051316484809E-13</v>
      </c>
      <c r="AJ172" s="13">
        <f>AI172*VLOOKUP('Données projet'!$B$10,Paramètres!$A$1:$I$89,3,0)*VLOOKUP('Données projet'!$B$10,Paramètres!$A$1:$I$89,5,0)</f>
        <v>1.9065282685915009E-13</v>
      </c>
      <c r="AK172" s="13">
        <f t="shared" si="164"/>
        <v>2.6568987209435707E-12</v>
      </c>
      <c r="AL172" s="20">
        <f t="shared" si="165"/>
        <v>4.959485612423072E-12</v>
      </c>
      <c r="AM172" s="59">
        <f t="shared" si="113"/>
        <v>293.33333333333826</v>
      </c>
      <c r="AN172" s="59">
        <f ca="1">AVERAGE(OFFSET($AM$3,0,0,'Données projet'!$E$10+1,1))-AVERAGE(OFFSET($H$3,0,0,'Données projet'!$E$10+1,1))</f>
        <v>347.02720636703873</v>
      </c>
      <c r="AO172" s="59">
        <f t="shared" si="144"/>
        <v>394.03759949558702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27.671933944009968</v>
      </c>
      <c r="AV172" s="21">
        <f>EXP(-LN(2)/25)*AV171+(1-EXP(-LN(2)/25))/(LN(2)/25)*Calculateur!AQ172*Calculateur!AS172*VLOOKUP('Données projet'!$B$10,Paramètres!$A$1:$I$89,3,0)*0.475*44/12</f>
        <v>6.4536433461106704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34.125577290120638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-3.4106051316484809E-13</v>
      </c>
      <c r="BE172" s="13">
        <f>BD172*VLOOKUP('Données projet'!$B$11,Paramètres!$A$1:$I$89,3,0)*VLOOKUP('Données projet'!$B$11,Paramètres!$A$1:$I$89,5,0)</f>
        <v>-2.0395418687257919E-13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378.75660696651238</v>
      </c>
      <c r="BJ172" s="59">
        <f t="shared" si="146"/>
        <v>371.70674704563288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27.373747926248271</v>
      </c>
      <c r="BQ172" s="21">
        <f>EXP(-LN(2)/25)*BQ171+(1-EXP(-LN(2)/25))/(LN(2)/25)*Calculateur!BL172*Calculateur!BN172*VLOOKUP('Données projet'!$B$11,Paramètres!$A$1:$I$89,3,0)*0.475*44/12</f>
        <v>6.2355551141914694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33.609303040439741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5.083333333333333</v>
      </c>
      <c r="BY172" s="12">
        <f>IF('Données projet'!$A$114&gt;35,BY171+BX172-CG171,IF(A172&lt;'Données projet'!$A$114,$BV$205^A172,IF(A172='Données projet'!$A$114,'Données projet'!$B$114,BY171+BX172-CG171)))</f>
        <v>279.33333333333394</v>
      </c>
      <c r="BZ172" s="13">
        <f>BY172*VLOOKUP('Données projet'!$B$12,Paramètres!$A$1:$I$89,3,0)*VLOOKUP('Données projet'!$B$12,Paramètres!$A$1:$I$89,5,0)</f>
        <v>283.2440000000006</v>
      </c>
      <c r="CA172" s="13">
        <f t="shared" si="170"/>
        <v>67.652099057101978</v>
      </c>
      <c r="CB172" s="20">
        <f t="shared" si="171"/>
        <v>611.14403919112021</v>
      </c>
      <c r="CC172" s="59">
        <f t="shared" si="119"/>
        <v>904.47737252445359</v>
      </c>
      <c r="CD172" s="59">
        <f ca="1">AVERAGE(OFFSET($CC$3,0,0,'Données projet'!$E$12+1,1))-AVERAGE(OFFSET($H$3,0,0,'Données projet'!$E$12+1,1))</f>
        <v>410.75375635525211</v>
      </c>
      <c r="CE172" s="59">
        <f t="shared" si="148"/>
        <v>183.55513001437367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42.962311613300706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42.962311613300706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6.083333333333333</v>
      </c>
      <c r="CT172" s="12">
        <f>IF('Données projet'!$A$140&gt;35,CT171+CS172-DB171,IF(A172&lt;'Données projet'!$A$140,$CQ$205^A172,IF(A172='Données projet'!$A$140,'Données projet'!$B$140,CT171+CS172-DB171)))</f>
        <v>386.83333333333314</v>
      </c>
      <c r="CU172" s="17">
        <f>CT172*VLOOKUP('Données projet'!$B$13,Paramètres!$A$1:$I$89,3,0)*VLOOKUP('Données projet'!$B$13,Paramètres!$A$1:$I$89,5,0)</f>
        <v>350.00679999999983</v>
      </c>
      <c r="CV172" s="13">
        <f t="shared" si="173"/>
        <v>81.563911427093188</v>
      </c>
      <c r="CW172" s="20">
        <f t="shared" si="174"/>
        <v>751.652322402187</v>
      </c>
      <c r="CX172" s="59">
        <f t="shared" si="122"/>
        <v>1044.9856557355204</v>
      </c>
      <c r="CY172" s="59">
        <f ca="1">AVERAGE(OFFSET($CX$3,0,0,'Données projet'!$E$13+1,1))-AVERAGE(OFFSET($H$3,0,0,'Données projet'!$E$13+1,1))</f>
        <v>436.12708882925142</v>
      </c>
      <c r="CZ172" s="59">
        <f t="shared" si="150"/>
        <v>217.65884352525285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43.193107284012292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43.193107284012292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3.4106051316484809E-13</v>
      </c>
      <c r="DP172" s="17">
        <f>DO172*VLOOKUP('Données projet'!$B$14,Paramètres!$A$1:$I$89,3,0)*VLOOKUP('Données projet'!$B$14,Paramètres!$A$1:$I$89,5,0)</f>
        <v>3.2455318432766944E-13</v>
      </c>
      <c r="DQ172" s="13">
        <f t="shared" si="176"/>
        <v>4.2513245787534721E-12</v>
      </c>
      <c r="DR172" s="20">
        <f t="shared" si="177"/>
        <v>7.9696537706996534E-12</v>
      </c>
      <c r="DS172" s="59">
        <f t="shared" si="125"/>
        <v>293.33333333334127</v>
      </c>
      <c r="DT172" s="59">
        <f ca="1">AVERAGE(OFFSET($DS$3,0,0,'Données projet'!$E$14+1,1))-AVERAGE(OFFSET($H$3,0,0,'Données projet'!$E$14+1,1))</f>
        <v>735.50267870886194</v>
      </c>
      <c r="DU172" s="59">
        <f t="shared" si="152"/>
        <v>525.80345400853275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73.023099578433758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73.023099578433758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5.083333333333333</v>
      </c>
      <c r="EJ172" s="12">
        <f>IF('Données projet'!$A$192&gt;35,EJ171+EI172-ER171,IF(A172&lt;'Données projet'!$A$192,$EG$205^A172,IF(A172='Données projet'!$A$192,'Données projet'!$B$192,EJ171+EI172-ER171)))</f>
        <v>279.33333333333394</v>
      </c>
      <c r="EK172" s="17">
        <f>EJ172*VLOOKUP('Données projet'!$B$15,Paramètres!$A$1:$I$89,3,0)*VLOOKUP('Données projet'!$B$15,Paramètres!$A$1:$I$89,5,0)</f>
        <v>178.66160000000039</v>
      </c>
      <c r="EL172" s="13">
        <f t="shared" si="179"/>
        <v>45.024287607671184</v>
      </c>
      <c r="EM172" s="20">
        <f t="shared" si="180"/>
        <v>389.58625425002805</v>
      </c>
      <c r="EN172" s="59">
        <f t="shared" si="128"/>
        <v>682.91958758336136</v>
      </c>
      <c r="EO172" s="59">
        <f ca="1">AVERAGE(OFFSET($EN$3,0,0,'Données projet'!$E$15+1,1))-AVERAGE(OFFSET($H$3,0,0,'Données projet'!$E$15+1,1))</f>
        <v>274.14900959323484</v>
      </c>
      <c r="EP172" s="59">
        <f t="shared" si="154"/>
        <v>130.44590390921582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27.099304248389672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27.099304248389672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-2.2737367544323206E-13</v>
      </c>
      <c r="FF172" s="17">
        <f>FE172*VLOOKUP('Données projet'!$B$16,Paramètres!$A$1:$I$89,3,0)*VLOOKUP('Données projet'!$B$16,Paramètres!$A$1:$I$89,5,0)</f>
        <v>-1.3596945791505279E-13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405.42845699663462</v>
      </c>
      <c r="FK172" s="59">
        <f t="shared" si="156"/>
        <v>292.26503163353146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40.699492788286932</v>
      </c>
      <c r="FR172" s="21">
        <f>EXP(-LN(2)/25)*FR171+(1-EXP(-LN(2)/25))/(LN(2)/25)*Calculateur!FM172*Calculateur!FO172*VLOOKUP('Données projet'!$B$16,Paramètres!$A$1:$I$89,3,0)*0.475*44/12</f>
        <v>9.6166193316258468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50.316112119912781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-2.2737367544323206E-13</v>
      </c>
      <c r="GA172" s="17">
        <f>FZ172*VLOOKUP('Données projet'!$B$17,Paramètres!$A$1:$I$89,3,0)*VLOOKUP('Données projet'!$B$17,Paramètres!$A$1:$I$89,5,0)</f>
        <v>-1.3596945791505279E-13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405.42845699663462</v>
      </c>
      <c r="GF172" s="59">
        <f t="shared" si="158"/>
        <v>292.26503163353146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40.699492788286932</v>
      </c>
      <c r="GM172" s="21">
        <f>EXP(-LN(2)/25)*GM171+(1-EXP(-LN(2)/25))/(LN(2)/25)*Calculateur!GH172*Calculateur!GJ172*VLOOKUP('Données projet'!$B$17,Paramètres!$A$1:$I$89,3,0)*0.475*44/12</f>
        <v>9.6166193316258468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50.316112119912781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-5.3205440053716299E-14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198.26255998041</v>
      </c>
      <c r="T173" s="59">
        <f t="shared" si="142"/>
        <v>238.62101708181166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12.42813849738155</v>
      </c>
      <c r="AA173" s="21">
        <f>EXP(-LN(2)/25)*AA172+(1-EXP(-LN(2)/25))/(LN(2)/25)*Calculateur!V173*Calculateur!X173*VLOOKUP('Données projet'!$B$9,Paramètres!$A$1:$I$89,3,0)*0.475*44/12</f>
        <v>2.9493171633556221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15.377455660737173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3.4106051316484809E-13</v>
      </c>
      <c r="AJ173" s="13">
        <f>AI173*VLOOKUP('Données projet'!$B$10,Paramètres!$A$1:$I$89,3,0)*VLOOKUP('Données projet'!$B$10,Paramètres!$A$1:$I$89,5,0)</f>
        <v>1.9065282685915009E-13</v>
      </c>
      <c r="AK173" s="13">
        <f t="shared" si="164"/>
        <v>2.6568987209435707E-12</v>
      </c>
      <c r="AL173" s="20">
        <f t="shared" si="165"/>
        <v>4.959485612423072E-12</v>
      </c>
      <c r="AM173" s="59">
        <f t="shared" si="113"/>
        <v>293.33333333333826</v>
      </c>
      <c r="AN173" s="59">
        <f ca="1">AVERAGE(OFFSET($AM$3,0,0,'Données projet'!$E$10+1,1))-AVERAGE(OFFSET($H$3,0,0,'Données projet'!$E$10+1,1))</f>
        <v>347.02720636703873</v>
      </c>
      <c r="AO173" s="59">
        <f t="shared" si="144"/>
        <v>394.03759949558702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27.129304197581053</v>
      </c>
      <c r="AV173" s="21">
        <f>EXP(-LN(2)/25)*AV172+(1-EXP(-LN(2)/25))/(LN(2)/25)*Calculateur!AQ173*Calculateur!AS173*VLOOKUP('Données projet'!$B$10,Paramètres!$A$1:$I$89,3,0)*0.475*44/12</f>
        <v>6.2771681294289206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33.406472327009972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-3.4106051316484809E-13</v>
      </c>
      <c r="BE173" s="13">
        <f>BD173*VLOOKUP('Données projet'!$B$11,Paramètres!$A$1:$I$89,3,0)*VLOOKUP('Données projet'!$B$11,Paramètres!$A$1:$I$89,5,0)</f>
        <v>-2.0395418687257919E-13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378.75660696651238</v>
      </c>
      <c r="BJ173" s="59">
        <f t="shared" si="146"/>
        <v>371.70674704563288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26.836965425752151</v>
      </c>
      <c r="BQ173" s="21">
        <f>EXP(-LN(2)/25)*BQ172+(1-EXP(-LN(2)/25))/(LN(2)/25)*Calculateur!BL173*Calculateur!BN173*VLOOKUP('Données projet'!$B$11,Paramètres!$A$1:$I$89,3,0)*0.475*44/12</f>
        <v>6.0650435316803115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32.902008957432464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5.083333333333333</v>
      </c>
      <c r="BY173" s="12">
        <f>IF('Données projet'!$A$114&gt;35,BY172+BX173-CG172,IF(A173&lt;'Données projet'!$A$114,$BV$205^A173,IF(A173='Données projet'!$A$114,'Données projet'!$B$114,BY172+BX173-CG172)))</f>
        <v>284.41666666666725</v>
      </c>
      <c r="BZ173" s="13">
        <f>BY173*VLOOKUP('Données projet'!$B$12,Paramètres!$A$1:$I$89,3,0)*VLOOKUP('Données projet'!$B$12,Paramètres!$A$1:$I$89,5,0)</f>
        <v>288.39850000000064</v>
      </c>
      <c r="CA173" s="13">
        <f t="shared" si="170"/>
        <v>68.738789079053092</v>
      </c>
      <c r="CB173" s="20">
        <f t="shared" si="171"/>
        <v>622.0141118126852</v>
      </c>
      <c r="CC173" s="59">
        <f t="shared" si="119"/>
        <v>915.34744514601857</v>
      </c>
      <c r="CD173" s="59">
        <f ca="1">AVERAGE(OFFSET($CC$3,0,0,'Données projet'!$E$12+1,1))-AVERAGE(OFFSET($H$3,0,0,'Données projet'!$E$12+1,1))</f>
        <v>410.75375635525211</v>
      </c>
      <c r="CE173" s="59">
        <f t="shared" si="148"/>
        <v>183.55513001437367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42.119846886986494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42.119846886986494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6.083333333333333</v>
      </c>
      <c r="CT173" s="12">
        <f>IF('Données projet'!$A$140&gt;35,CT172+CS173-DB172,IF(A173&lt;'Données projet'!$A$140,$CQ$205^A173,IF(A173='Données projet'!$A$140,'Données projet'!$B$140,CT172+CS173-DB172)))</f>
        <v>392.91666666666646</v>
      </c>
      <c r="CU173" s="17">
        <f>CT173*VLOOKUP('Données projet'!$B$13,Paramètres!$A$1:$I$89,3,0)*VLOOKUP('Données projet'!$B$13,Paramètres!$A$1:$I$89,5,0)</f>
        <v>355.5109999999998</v>
      </c>
      <c r="CV173" s="13">
        <f t="shared" si="173"/>
        <v>82.69624950985326</v>
      </c>
      <c r="CW173" s="20">
        <f t="shared" si="174"/>
        <v>763.21095956299405</v>
      </c>
      <c r="CX173" s="59">
        <f t="shared" si="122"/>
        <v>1056.5442928963273</v>
      </c>
      <c r="CY173" s="59">
        <f ca="1">AVERAGE(OFFSET($CX$3,0,0,'Données projet'!$E$13+1,1))-AVERAGE(OFFSET($H$3,0,0,'Données projet'!$E$13+1,1))</f>
        <v>436.12708882925142</v>
      </c>
      <c r="CZ173" s="59">
        <f t="shared" si="150"/>
        <v>217.65884352525285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42.346116795366882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42.346116795366882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3.4106051316484809E-13</v>
      </c>
      <c r="DP173" s="17">
        <f>DO173*VLOOKUP('Données projet'!$B$14,Paramètres!$A$1:$I$89,3,0)*VLOOKUP('Données projet'!$B$14,Paramètres!$A$1:$I$89,5,0)</f>
        <v>3.2455318432766944E-13</v>
      </c>
      <c r="DQ173" s="13">
        <f t="shared" si="176"/>
        <v>4.2513245787534721E-12</v>
      </c>
      <c r="DR173" s="20">
        <f t="shared" si="177"/>
        <v>7.9696537706996534E-12</v>
      </c>
      <c r="DS173" s="59">
        <f t="shared" si="125"/>
        <v>293.33333333334127</v>
      </c>
      <c r="DT173" s="59">
        <f ca="1">AVERAGE(OFFSET($DS$3,0,0,'Données projet'!$E$14+1,1))-AVERAGE(OFFSET($H$3,0,0,'Données projet'!$E$14+1,1))</f>
        <v>735.50267870886194</v>
      </c>
      <c r="DU173" s="59">
        <f t="shared" si="152"/>
        <v>525.80345400853275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71.591161135393492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71.591161135393492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5.083333333333333</v>
      </c>
      <c r="EJ173" s="12">
        <f>IF('Données projet'!$A$192&gt;35,EJ172+EI173-ER172,IF(A173&lt;'Données projet'!$A$192,$EG$205^A173,IF(A173='Données projet'!$A$192,'Données projet'!$B$192,EJ172+EI173-ER172)))</f>
        <v>284.41666666666725</v>
      </c>
      <c r="EK173" s="17">
        <f>EJ173*VLOOKUP('Données projet'!$B$15,Paramètres!$A$1:$I$89,3,0)*VLOOKUP('Données projet'!$B$15,Paramètres!$A$1:$I$89,5,0)</f>
        <v>181.91290000000038</v>
      </c>
      <c r="EL173" s="13">
        <f t="shared" si="179"/>
        <v>45.747508982478941</v>
      </c>
      <c r="EM173" s="20">
        <f t="shared" si="180"/>
        <v>396.50854564448474</v>
      </c>
      <c r="EN173" s="59">
        <f t="shared" si="128"/>
        <v>689.84187897781806</v>
      </c>
      <c r="EO173" s="59">
        <f ca="1">AVERAGE(OFFSET($EN$3,0,0,'Données projet'!$E$15+1,1))-AVERAGE(OFFSET($H$3,0,0,'Données projet'!$E$15+1,1))</f>
        <v>274.14900959323484</v>
      </c>
      <c r="EP173" s="59">
        <f t="shared" si="154"/>
        <v>130.44590390921582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26.567903421022244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26.567903421022244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-2.2737367544323206E-13</v>
      </c>
      <c r="FF173" s="17">
        <f>FE173*VLOOKUP('Données projet'!$B$16,Paramètres!$A$1:$I$89,3,0)*VLOOKUP('Données projet'!$B$16,Paramètres!$A$1:$I$89,5,0)</f>
        <v>-1.3596945791505279E-13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405.42845699663462</v>
      </c>
      <c r="FK173" s="59">
        <f t="shared" si="156"/>
        <v>292.26503163353146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39.901400558948033</v>
      </c>
      <c r="FR173" s="21">
        <f>EXP(-LN(2)/25)*FR172+(1-EXP(-LN(2)/25))/(LN(2)/25)*Calculateur!FM173*Calculateur!FO173*VLOOKUP('Données projet'!$B$16,Paramètres!$A$1:$I$89,3,0)*0.475*44/12</f>
        <v>9.3536523702865058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49.255052929234537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-2.2737367544323206E-13</v>
      </c>
      <c r="GA173" s="17">
        <f>FZ173*VLOOKUP('Données projet'!$B$17,Paramètres!$A$1:$I$89,3,0)*VLOOKUP('Données projet'!$B$17,Paramètres!$A$1:$I$89,5,0)</f>
        <v>-1.3596945791505279E-13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405.42845699663462</v>
      </c>
      <c r="GF173" s="59">
        <f t="shared" si="158"/>
        <v>292.26503163353146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39.901400558948033</v>
      </c>
      <c r="GM173" s="21">
        <f>EXP(-LN(2)/25)*GM172+(1-EXP(-LN(2)/25))/(LN(2)/25)*Calculateur!GH173*Calculateur!GJ173*VLOOKUP('Données projet'!$B$17,Paramètres!$A$1:$I$89,3,0)*0.475*44/12</f>
        <v>9.3536523702865058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49.255052929234537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-5.3205440053716299E-14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198.26255998041</v>
      </c>
      <c r="T174" s="59">
        <f t="shared" si="142"/>
        <v>238.62101708181166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12.184430281863877</v>
      </c>
      <c r="AA174" s="21">
        <f>EXP(-LN(2)/25)*AA173+(1-EXP(-LN(2)/25))/(LN(2)/25)*Calculateur!V174*Calculateur!X174*VLOOKUP('Données projet'!$B$9,Paramètres!$A$1:$I$89,3,0)*0.475*44/12</f>
        <v>2.8686679304258136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15.05309821228969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3.4106051316484809E-13</v>
      </c>
      <c r="AJ174" s="13">
        <f>AI174*VLOOKUP('Données projet'!$B$10,Paramètres!$A$1:$I$89,3,0)*VLOOKUP('Données projet'!$B$10,Paramètres!$A$1:$I$89,5,0)</f>
        <v>1.9065282685915009E-13</v>
      </c>
      <c r="AK174" s="13">
        <f t="shared" si="164"/>
        <v>2.6568987209435707E-12</v>
      </c>
      <c r="AL174" s="20">
        <f t="shared" si="165"/>
        <v>4.959485612423072E-12</v>
      </c>
      <c r="AM174" s="59">
        <f t="shared" si="113"/>
        <v>293.33333333333826</v>
      </c>
      <c r="AN174" s="59">
        <f ca="1">AVERAGE(OFFSET($AM$3,0,0,'Données projet'!$E$10+1,1))-AVERAGE(OFFSET($H$3,0,0,'Données projet'!$E$10+1,1))</f>
        <v>347.02720636703873</v>
      </c>
      <c r="AO174" s="59">
        <f t="shared" si="144"/>
        <v>394.03759949558702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26.597315089508143</v>
      </c>
      <c r="AV174" s="21">
        <f>EXP(-LN(2)/25)*AV173+(1-EXP(-LN(2)/25))/(LN(2)/25)*Calculateur!AQ174*Calculateur!AS174*VLOOKUP('Données projet'!$B$10,Paramètres!$A$1:$I$89,3,0)*0.475*44/12</f>
        <v>6.1055186368277612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32.702833726335903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-3.4106051316484809E-13</v>
      </c>
      <c r="BE174" s="13">
        <f>BD174*VLOOKUP('Données projet'!$B$11,Paramètres!$A$1:$I$89,3,0)*VLOOKUP('Données projet'!$B$11,Paramètres!$A$1:$I$89,5,0)</f>
        <v>-2.0395418687257919E-13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378.75660696651238</v>
      </c>
      <c r="BJ174" s="59">
        <f t="shared" si="146"/>
        <v>371.70674704563288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26.310708902685764</v>
      </c>
      <c r="BQ174" s="21">
        <f>EXP(-LN(2)/25)*BQ173+(1-EXP(-LN(2)/25))/(LN(2)/25)*Calculateur!BL174*Calculateur!BN174*VLOOKUP('Données projet'!$B$11,Paramètres!$A$1:$I$89,3,0)*0.475*44/12</f>
        <v>5.8991945973597355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32.209903500045499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5.083333333333333</v>
      </c>
      <c r="BY174" s="12">
        <f>IF('Données projet'!$A$114&gt;35,BY173+BX174-CG173,IF(A174&lt;'Données projet'!$A$114,$BV$205^A174,IF(A174='Données projet'!$A$114,'Données projet'!$B$114,BY173+BX174-CG173)))</f>
        <v>289.50000000000057</v>
      </c>
      <c r="BZ174" s="13">
        <f>BY174*VLOOKUP('Données projet'!$B$12,Paramètres!$A$1:$I$89,3,0)*VLOOKUP('Données projet'!$B$12,Paramètres!$A$1:$I$89,5,0)</f>
        <v>293.55300000000062</v>
      </c>
      <c r="CA174" s="13">
        <f t="shared" si="170"/>
        <v>69.823220575617839</v>
      </c>
      <c r="CB174" s="20">
        <f t="shared" si="171"/>
        <v>632.88025083586865</v>
      </c>
      <c r="CC174" s="59">
        <f t="shared" si="119"/>
        <v>926.21358416920202</v>
      </c>
      <c r="CD174" s="59">
        <f ca="1">AVERAGE(OFFSET($CC$3,0,0,'Données projet'!$E$12+1,1))-AVERAGE(OFFSET($H$3,0,0,'Données projet'!$E$12+1,1))</f>
        <v>410.75375635525211</v>
      </c>
      <c r="CE174" s="59">
        <f t="shared" si="148"/>
        <v>183.55513001437367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41.293902380102558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41.293902380102558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>
        <f>VLOOKUP(A174,'Données projet'!$A$139:$I$159,2,0)</f>
        <v>399</v>
      </c>
      <c r="CR174" s="12">
        <f>VLOOKUP(A174,'Données projet'!$A$139:$I$159,9,0)</f>
        <v>6.083333333333333</v>
      </c>
      <c r="CS174" s="12">
        <f t="array" ref="CS174">INDEX(CR:CR,MIN(IF(ISNUMBER(CR174:CR370),ROW(CR174:CR370),"")))</f>
        <v>6.083333333333333</v>
      </c>
      <c r="CT174" s="12">
        <f>IF('Données projet'!$A$140&gt;35,CT173+CS174-DB173,IF(A174&lt;'Données projet'!$A$140,$CQ$205^A174,IF(A174='Données projet'!$A$140,'Données projet'!$B$140,CT173+CS174-DB173)))</f>
        <v>398.99999999999977</v>
      </c>
      <c r="CU174" s="17">
        <f>CT174*VLOOKUP('Données projet'!$B$13,Paramètres!$A$1:$I$89,3,0)*VLOOKUP('Données projet'!$B$13,Paramètres!$A$1:$I$89,5,0)</f>
        <v>361.01519999999977</v>
      </c>
      <c r="CV174" s="13">
        <f t="shared" si="173"/>
        <v>83.826548686038024</v>
      </c>
      <c r="CW174" s="20">
        <f t="shared" si="174"/>
        <v>774.76604562818238</v>
      </c>
      <c r="CX174" s="59">
        <f t="shared" si="122"/>
        <v>1068.0993789615156</v>
      </c>
      <c r="CY174" s="59">
        <f ca="1">AVERAGE(OFFSET($CX$3,0,0,'Données projet'!$E$13+1,1))-AVERAGE(OFFSET($H$3,0,0,'Données projet'!$E$13+1,1))</f>
        <v>436.12708882925142</v>
      </c>
      <c r="CZ174" s="59">
        <f t="shared" si="150"/>
        <v>217.65884352525285</v>
      </c>
      <c r="DA174" s="15">
        <f>IF(ISNA(VLOOKUP(A174,'Données projet'!$A$139:$I$159,3,0)),0,VLOOKUP(A174,'Données projet'!$A$139:$I$159,3,0))</f>
        <v>14</v>
      </c>
      <c r="DB174" s="15">
        <f>IF(ISNA(VLOOKUP(A174,'Données projet'!$A$139:$I$159,4,0)),0,VLOOKUP(A174,'Données projet'!$A$139:$I$159,4,0))</f>
        <v>399</v>
      </c>
      <c r="DC174" s="16">
        <f>IF(ISNA(VLOOKUP(A174,'Données projet'!$A$139:$I$159,5,0)),0%,VLOOKUP(A174,'Données projet'!$A$139:$I$159,5,0)*VLOOKUP('Données projet'!$B$13,Paramètres!$A$1:$I$89,7,0))</f>
        <v>0.25800000000000001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144.48137069517088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144.48137069517088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3.4106051316484809E-13</v>
      </c>
      <c r="DP174" s="17">
        <f>DO174*VLOOKUP('Données projet'!$B$14,Paramètres!$A$1:$I$89,3,0)*VLOOKUP('Données projet'!$B$14,Paramètres!$A$1:$I$89,5,0)</f>
        <v>3.2455318432766944E-13</v>
      </c>
      <c r="DQ174" s="13">
        <f t="shared" si="176"/>
        <v>4.2513245787534721E-12</v>
      </c>
      <c r="DR174" s="20">
        <f t="shared" si="177"/>
        <v>7.9696537706996534E-12</v>
      </c>
      <c r="DS174" s="59">
        <f t="shared" si="125"/>
        <v>293.33333333334127</v>
      </c>
      <c r="DT174" s="59">
        <f ca="1">AVERAGE(OFFSET($DS$3,0,0,'Données projet'!$E$14+1,1))-AVERAGE(OFFSET($H$3,0,0,'Données projet'!$E$14+1,1))</f>
        <v>735.50267870886194</v>
      </c>
      <c r="DU174" s="59">
        <f t="shared" si="152"/>
        <v>525.80345400853275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70.187302131825035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70.187302131825035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5.083333333333333</v>
      </c>
      <c r="EJ174" s="12">
        <f>IF('Données projet'!$A$192&gt;35,EJ173+EI174-ER173,IF(A174&lt;'Données projet'!$A$192,$EG$205^A174,IF(A174='Données projet'!$A$192,'Données projet'!$B$192,EJ173+EI174-ER173)))</f>
        <v>289.50000000000057</v>
      </c>
      <c r="EK174" s="17">
        <f>EJ174*VLOOKUP('Données projet'!$B$15,Paramètres!$A$1:$I$89,3,0)*VLOOKUP('Données projet'!$B$15,Paramètres!$A$1:$I$89,5,0)</f>
        <v>185.16420000000036</v>
      </c>
      <c r="EL174" s="13">
        <f t="shared" si="179"/>
        <v>46.46922724802662</v>
      </c>
      <c r="EM174" s="20">
        <f t="shared" si="180"/>
        <v>403.42821912364701</v>
      </c>
      <c r="EN174" s="59">
        <f t="shared" si="128"/>
        <v>696.76155245698033</v>
      </c>
      <c r="EO174" s="59">
        <f ca="1">AVERAGE(OFFSET($EN$3,0,0,'Données projet'!$E$15+1,1))-AVERAGE(OFFSET($H$3,0,0,'Données projet'!$E$15+1,1))</f>
        <v>274.14900959323484</v>
      </c>
      <c r="EP174" s="59">
        <f t="shared" si="154"/>
        <v>130.44590390921582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26.04692303975699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26.04692303975699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-2.2737367544323206E-13</v>
      </c>
      <c r="FF174" s="17">
        <f>FE174*VLOOKUP('Données projet'!$B$16,Paramètres!$A$1:$I$89,3,0)*VLOOKUP('Données projet'!$B$16,Paramètres!$A$1:$I$89,5,0)</f>
        <v>-1.3596945791505279E-13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405.42845699663462</v>
      </c>
      <c r="FK174" s="59">
        <f t="shared" si="156"/>
        <v>292.26503163353146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39.11895843143828</v>
      </c>
      <c r="FR174" s="21">
        <f>EXP(-LN(2)/25)*FR173+(1-EXP(-LN(2)/25))/(LN(2)/25)*Calculateur!FM174*Calculateur!FO174*VLOOKUP('Données projet'!$B$16,Paramètres!$A$1:$I$89,3,0)*0.475*44/12</f>
        <v>9.097876254333821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48.216834685772099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-2.2737367544323206E-13</v>
      </c>
      <c r="GA174" s="17">
        <f>FZ174*VLOOKUP('Données projet'!$B$17,Paramètres!$A$1:$I$89,3,0)*VLOOKUP('Données projet'!$B$17,Paramètres!$A$1:$I$89,5,0)</f>
        <v>-1.3596945791505279E-13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405.42845699663462</v>
      </c>
      <c r="GF174" s="59">
        <f t="shared" si="158"/>
        <v>292.26503163353146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39.11895843143828</v>
      </c>
      <c r="GM174" s="21">
        <f>EXP(-LN(2)/25)*GM173+(1-EXP(-LN(2)/25))/(LN(2)/25)*Calculateur!GH174*Calculateur!GJ174*VLOOKUP('Données projet'!$B$17,Paramètres!$A$1:$I$89,3,0)*0.475*44/12</f>
        <v>9.097876254333821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48.216834685772099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-5.3205440053716299E-14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198.26255998041</v>
      </c>
      <c r="T175" s="59">
        <f t="shared" si="142"/>
        <v>238.62101708181166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11.945501035805172</v>
      </c>
      <c r="AA175" s="21">
        <f>EXP(-LN(2)/25)*AA174+(1-EXP(-LN(2)/25))/(LN(2)/25)*Calculateur!V175*Calculateur!X175*VLOOKUP('Données projet'!$B$9,Paramètres!$A$1:$I$89,3,0)*0.475*44/12</f>
        <v>2.7902240550116297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14.735725090816802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3.4106051316484809E-13</v>
      </c>
      <c r="AJ175" s="13">
        <f>AI175*VLOOKUP('Données projet'!$B$10,Paramètres!$A$1:$I$89,3,0)*VLOOKUP('Données projet'!$B$10,Paramètres!$A$1:$I$89,5,0)</f>
        <v>1.9065282685915009E-13</v>
      </c>
      <c r="AK175" s="13">
        <f t="shared" si="164"/>
        <v>2.6568987209435707E-12</v>
      </c>
      <c r="AL175" s="20">
        <f t="shared" si="165"/>
        <v>4.959485612423072E-12</v>
      </c>
      <c r="AM175" s="59">
        <f t="shared" si="113"/>
        <v>293.33333333333826</v>
      </c>
      <c r="AN175" s="59">
        <f ca="1">AVERAGE(OFFSET($AM$3,0,0,'Données projet'!$E$10+1,1))-AVERAGE(OFFSET($H$3,0,0,'Données projet'!$E$10+1,1))</f>
        <v>347.02720636703873</v>
      </c>
      <c r="AO175" s="59">
        <f t="shared" si="144"/>
        <v>394.03759949558702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26.075757963363227</v>
      </c>
      <c r="AV175" s="21">
        <f>EXP(-LN(2)/25)*AV174+(1-EXP(-LN(2)/25))/(LN(2)/25)*Calculateur!AQ175*Calculateur!AS175*VLOOKUP('Données projet'!$B$10,Paramètres!$A$1:$I$89,3,0)*0.475*44/12</f>
        <v>5.9385629086284357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32.014320871991664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-3.4106051316484809E-13</v>
      </c>
      <c r="BE175" s="13">
        <f>BD175*VLOOKUP('Données projet'!$B$11,Paramètres!$A$1:$I$89,3,0)*VLOOKUP('Données projet'!$B$11,Paramètres!$A$1:$I$89,5,0)</f>
        <v>-2.0395418687257919E-13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378.75660696651238</v>
      </c>
      <c r="BJ175" s="59">
        <f t="shared" si="146"/>
        <v>371.70674704563288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25.794771949051924</v>
      </c>
      <c r="BQ175" s="21">
        <f>EXP(-LN(2)/25)*BQ174+(1-EXP(-LN(2)/25))/(LN(2)/25)*Calculateur!BL175*Calculateur!BN175*VLOOKUP('Données projet'!$B$11,Paramètres!$A$1:$I$89,3,0)*0.475*44/12</f>
        <v>5.7378808108697728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31.532652759921696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5.083333333333333</v>
      </c>
      <c r="BY175" s="12">
        <f>IF('Données projet'!$A$114&gt;35,BY174+BX175-CG174,IF(A175&lt;'Données projet'!$A$114,$BV$205^A175,IF(A175='Données projet'!$A$114,'Données projet'!$B$114,BY174+BX175-CG174)))</f>
        <v>294.58333333333388</v>
      </c>
      <c r="BZ175" s="13">
        <f>BY175*VLOOKUP('Données projet'!$B$12,Paramètres!$A$1:$I$89,3,0)*VLOOKUP('Données projet'!$B$12,Paramètres!$A$1:$I$89,5,0)</f>
        <v>298.70750000000055</v>
      </c>
      <c r="CA175" s="13">
        <f t="shared" si="170"/>
        <v>70.905437779763432</v>
      </c>
      <c r="CB175" s="20">
        <f t="shared" si="171"/>
        <v>643.74253329975556</v>
      </c>
      <c r="CC175" s="59">
        <f t="shared" si="119"/>
        <v>937.07586663308894</v>
      </c>
      <c r="CD175" s="59">
        <f ca="1">AVERAGE(OFFSET($CC$3,0,0,'Données projet'!$E$12+1,1))-AVERAGE(OFFSET($H$3,0,0,'Données projet'!$E$12+1,1))</f>
        <v>410.75375635525211</v>
      </c>
      <c r="CE175" s="59">
        <f t="shared" si="148"/>
        <v>183.55513001437367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40.484154141222213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40.484154141222213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-2.2737367544323206E-13</v>
      </c>
      <c r="CU175" s="17">
        <f>CT175*VLOOKUP('Données projet'!$B$13,Paramètres!$A$1:$I$89,3,0)*VLOOKUP('Données projet'!$B$13,Paramètres!$A$1:$I$89,5,0)</f>
        <v>-2.0572770154103635E-13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436.12708882925142</v>
      </c>
      <c r="CZ175" s="59">
        <f t="shared" si="150"/>
        <v>217.65884352525285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141.6481791407731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141.6481791407731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3.4106051316484809E-13</v>
      </c>
      <c r="DP175" s="17">
        <f>DO175*VLOOKUP('Données projet'!$B$14,Paramètres!$A$1:$I$89,3,0)*VLOOKUP('Données projet'!$B$14,Paramètres!$A$1:$I$89,5,0)</f>
        <v>3.2455318432766944E-13</v>
      </c>
      <c r="DQ175" s="13">
        <f t="shared" si="176"/>
        <v>4.2513245787534721E-12</v>
      </c>
      <c r="DR175" s="20">
        <f t="shared" si="177"/>
        <v>7.9696537706996534E-12</v>
      </c>
      <c r="DS175" s="59">
        <f t="shared" si="125"/>
        <v>293.33333333334127</v>
      </c>
      <c r="DT175" s="59">
        <f ca="1">AVERAGE(OFFSET($DS$3,0,0,'Données projet'!$E$14+1,1))-AVERAGE(OFFSET($H$3,0,0,'Données projet'!$E$14+1,1))</f>
        <v>735.50267870886194</v>
      </c>
      <c r="DU175" s="59">
        <f t="shared" si="152"/>
        <v>525.80345400853275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68.810971947047108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68.810971947047108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5.083333333333333</v>
      </c>
      <c r="EJ175" s="12">
        <f>IF('Données projet'!$A$192&gt;35,EJ174+EI175-ER174,IF(A175&lt;'Données projet'!$A$192,$EG$205^A175,IF(A175='Données projet'!$A$192,'Données projet'!$B$192,EJ174+EI175-ER174)))</f>
        <v>294.58333333333388</v>
      </c>
      <c r="EK175" s="17">
        <f>EJ175*VLOOKUP('Données projet'!$B$15,Paramètres!$A$1:$I$89,3,0)*VLOOKUP('Données projet'!$B$15,Paramètres!$A$1:$I$89,5,0)</f>
        <v>188.41550000000035</v>
      </c>
      <c r="EL175" s="13">
        <f t="shared" si="179"/>
        <v>47.189471842540875</v>
      </c>
      <c r="EM175" s="20">
        <f t="shared" si="180"/>
        <v>410.34532595909263</v>
      </c>
      <c r="EN175" s="59">
        <f t="shared" si="128"/>
        <v>703.67865929242589</v>
      </c>
      <c r="EO175" s="59">
        <f ca="1">AVERAGE(OFFSET($EN$3,0,0,'Données projet'!$E$15+1,1))-AVERAGE(OFFSET($H$3,0,0,'Données projet'!$E$15+1,1))</f>
        <v>274.14900959323484</v>
      </c>
      <c r="EP175" s="59">
        <f t="shared" si="154"/>
        <v>130.44590390921582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25.536158766001694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25.536158766001694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-2.2737367544323206E-13</v>
      </c>
      <c r="FF175" s="17">
        <f>FE175*VLOOKUP('Données projet'!$B$16,Paramètres!$A$1:$I$89,3,0)*VLOOKUP('Données projet'!$B$16,Paramètres!$A$1:$I$89,5,0)</f>
        <v>-1.3596945791505279E-13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405.42845699663462</v>
      </c>
      <c r="FK175" s="59">
        <f t="shared" si="156"/>
        <v>292.26503163353146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38.351859516806421</v>
      </c>
      <c r="FR175" s="21">
        <f>EXP(-LN(2)/25)*FR174+(1-EXP(-LN(2)/25))/(LN(2)/25)*Calculateur!FM175*Calculateur!FO175*VLOOKUP('Données projet'!$B$16,Paramètres!$A$1:$I$89,3,0)*0.475*44/12</f>
        <v>8.8490943497225434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47.200953866528963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-2.2737367544323206E-13</v>
      </c>
      <c r="GA175" s="17">
        <f>FZ175*VLOOKUP('Données projet'!$B$17,Paramètres!$A$1:$I$89,3,0)*VLOOKUP('Données projet'!$B$17,Paramètres!$A$1:$I$89,5,0)</f>
        <v>-1.3596945791505279E-13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405.42845699663462</v>
      </c>
      <c r="GF175" s="59">
        <f t="shared" si="158"/>
        <v>292.26503163353146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38.351859516806421</v>
      </c>
      <c r="GM175" s="21">
        <f>EXP(-LN(2)/25)*GM174+(1-EXP(-LN(2)/25))/(LN(2)/25)*Calculateur!GH175*Calculateur!GJ175*VLOOKUP('Données projet'!$B$17,Paramètres!$A$1:$I$89,3,0)*0.475*44/12</f>
        <v>8.8490943497225434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47.200953866528963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-5.3205440053716299E-14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198.26255998041</v>
      </c>
      <c r="T176" s="59">
        <f t="shared" si="142"/>
        <v>238.62101708181166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11.711257046529228</v>
      </c>
      <c r="AA176" s="21">
        <f>EXP(-LN(2)/25)*AA175+(1-EXP(-LN(2)/25))/(LN(2)/25)*Calculateur!V176*Calculateur!X176*VLOOKUP('Données projet'!$B$9,Paramètres!$A$1:$I$89,3,0)*0.475*44/12</f>
        <v>2.7139252314958306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14.425182278025058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3.4106051316484809E-13</v>
      </c>
      <c r="AJ176" s="13">
        <f>AI176*VLOOKUP('Données projet'!$B$10,Paramètres!$A$1:$I$89,3,0)*VLOOKUP('Données projet'!$B$10,Paramètres!$A$1:$I$89,5,0)</f>
        <v>1.9065282685915009E-13</v>
      </c>
      <c r="AK176" s="13">
        <f t="shared" si="164"/>
        <v>2.6568987209435707E-12</v>
      </c>
      <c r="AL176" s="20">
        <f t="shared" si="165"/>
        <v>4.959485612423072E-12</v>
      </c>
      <c r="AM176" s="59">
        <f t="shared" si="113"/>
        <v>293.33333333333826</v>
      </c>
      <c r="AN176" s="59">
        <f ca="1">AVERAGE(OFFSET($AM$3,0,0,'Données projet'!$E$10+1,1))-AVERAGE(OFFSET($H$3,0,0,'Données projet'!$E$10+1,1))</f>
        <v>347.02720636703873</v>
      </c>
      <c r="AO176" s="59">
        <f t="shared" si="144"/>
        <v>394.03759949558702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25.564428254343579</v>
      </c>
      <c r="AV176" s="21">
        <f>EXP(-LN(2)/25)*AV175+(1-EXP(-LN(2)/25))/(LN(2)/25)*Calculateur!AQ176*Calculateur!AS176*VLOOKUP('Données projet'!$B$10,Paramètres!$A$1:$I$89,3,0)*0.475*44/12</f>
        <v>5.7761725935965407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31.34060084794012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-3.4106051316484809E-13</v>
      </c>
      <c r="BE176" s="13">
        <f>BD176*VLOOKUP('Données projet'!$B$11,Paramètres!$A$1:$I$89,3,0)*VLOOKUP('Données projet'!$B$11,Paramètres!$A$1:$I$89,5,0)</f>
        <v>-2.0395418687257919E-13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378.75660696651238</v>
      </c>
      <c r="BJ176" s="59">
        <f t="shared" si="146"/>
        <v>371.70674704563288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25.288952204388373</v>
      </c>
      <c r="BQ176" s="21">
        <f>EXP(-LN(2)/25)*BQ175+(1-EXP(-LN(2)/25))/(LN(2)/25)*Calculateur!BL176*Calculateur!BN176*VLOOKUP('Données projet'!$B$11,Paramètres!$A$1:$I$89,3,0)*0.475*44/12</f>
        <v>5.5809781583545011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30.869930362742874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5.083333333333333</v>
      </c>
      <c r="BY176" s="12">
        <f>IF('Données projet'!$A$114&gt;35,BY175+BX176-CG175,IF(A176&lt;'Données projet'!$A$114,$BV$205^A176,IF(A176='Données projet'!$A$114,'Données projet'!$B$114,BY175+BX176-CG175)))</f>
        <v>299.6666666666672</v>
      </c>
      <c r="BZ176" s="13">
        <f>BY176*VLOOKUP('Données projet'!$B$12,Paramètres!$A$1:$I$89,3,0)*VLOOKUP('Données projet'!$B$12,Paramètres!$A$1:$I$89,5,0)</f>
        <v>303.86200000000053</v>
      </c>
      <c r="CA176" s="13">
        <f t="shared" si="170"/>
        <v>71.985483310423177</v>
      </c>
      <c r="CB176" s="20">
        <f t="shared" si="171"/>
        <v>654.60103343232129</v>
      </c>
      <c r="CC176" s="59">
        <f t="shared" si="119"/>
        <v>947.93436676565466</v>
      </c>
      <c r="CD176" s="59">
        <f ca="1">AVERAGE(OFFSET($CC$3,0,0,'Données projet'!$E$12+1,1))-AVERAGE(OFFSET($H$3,0,0,'Données projet'!$E$12+1,1))</f>
        <v>410.75375635525211</v>
      </c>
      <c r="CE176" s="59">
        <f t="shared" si="148"/>
        <v>183.55513001437367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39.690284571408654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39.690284571408654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-2.2737367544323206E-13</v>
      </c>
      <c r="CU176" s="17">
        <f>CT176*VLOOKUP('Données projet'!$B$13,Paramètres!$A$1:$I$89,3,0)*VLOOKUP('Données projet'!$B$13,Paramètres!$A$1:$I$89,5,0)</f>
        <v>-2.0572770154103635E-13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436.12708882925142</v>
      </c>
      <c r="CZ176" s="59">
        <f t="shared" si="150"/>
        <v>217.65884352525285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138.87054474468084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138.87054474468084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3.4106051316484809E-13</v>
      </c>
      <c r="DP176" s="17">
        <f>DO176*VLOOKUP('Données projet'!$B$14,Paramètres!$A$1:$I$89,3,0)*VLOOKUP('Données projet'!$B$14,Paramètres!$A$1:$I$89,5,0)</f>
        <v>3.2455318432766944E-13</v>
      </c>
      <c r="DQ176" s="13">
        <f t="shared" si="176"/>
        <v>4.2513245787534721E-12</v>
      </c>
      <c r="DR176" s="20">
        <f t="shared" si="177"/>
        <v>7.9696537706996534E-12</v>
      </c>
      <c r="DS176" s="59">
        <f t="shared" si="125"/>
        <v>293.33333333334127</v>
      </c>
      <c r="DT176" s="59">
        <f ca="1">AVERAGE(OFFSET($DS$3,0,0,'Données projet'!$E$14+1,1))-AVERAGE(OFFSET($H$3,0,0,'Données projet'!$E$14+1,1))</f>
        <v>735.50267870886194</v>
      </c>
      <c r="DU176" s="59">
        <f t="shared" si="152"/>
        <v>525.80345400853275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67.461630757714161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67.461630757714161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5.083333333333333</v>
      </c>
      <c r="EJ176" s="12">
        <f>IF('Données projet'!$A$192&gt;35,EJ175+EI176-ER175,IF(A176&lt;'Données projet'!$A$192,$EG$205^A176,IF(A176='Données projet'!$A$192,'Données projet'!$B$192,EJ175+EI176-ER175)))</f>
        <v>299.6666666666672</v>
      </c>
      <c r="EK176" s="17">
        <f>EJ176*VLOOKUP('Données projet'!$B$15,Paramètres!$A$1:$I$89,3,0)*VLOOKUP('Données projet'!$B$15,Paramètres!$A$1:$I$89,5,0)</f>
        <v>191.66680000000034</v>
      </c>
      <c r="EL176" s="13">
        <f t="shared" si="179"/>
        <v>47.908271130065664</v>
      </c>
      <c r="EM176" s="20">
        <f t="shared" si="180"/>
        <v>417.25991555153161</v>
      </c>
      <c r="EN176" s="59">
        <f t="shared" si="128"/>
        <v>710.59324888486492</v>
      </c>
      <c r="EO176" s="59">
        <f ca="1">AVERAGE(OFFSET($EN$3,0,0,'Données projet'!$E$15+1,1))-AVERAGE(OFFSET($H$3,0,0,'Données projet'!$E$15+1,1))</f>
        <v>274.14900959323484</v>
      </c>
      <c r="EP176" s="59">
        <f t="shared" si="154"/>
        <v>130.44590390921582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25.035410268119293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25.035410268119293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-2.2737367544323206E-13</v>
      </c>
      <c r="FF176" s="17">
        <f>FE176*VLOOKUP('Données projet'!$B$16,Paramètres!$A$1:$I$89,3,0)*VLOOKUP('Données projet'!$B$16,Paramètres!$A$1:$I$89,5,0)</f>
        <v>-1.3596945791505279E-13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405.42845699663462</v>
      </c>
      <c r="FK176" s="59">
        <f t="shared" si="156"/>
        <v>292.26503163353146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37.599802944006349</v>
      </c>
      <c r="FR176" s="21">
        <f>EXP(-LN(2)/25)*FR175+(1-EXP(-LN(2)/25))/(LN(2)/25)*Calculateur!FM176*Calculateur!FO176*VLOOKUP('Données projet'!$B$16,Paramètres!$A$1:$I$89,3,0)*0.475*44/12</f>
        <v>8.6071153993757328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46.206918343382085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-2.2737367544323206E-13</v>
      </c>
      <c r="GA176" s="17">
        <f>FZ176*VLOOKUP('Données projet'!$B$17,Paramètres!$A$1:$I$89,3,0)*VLOOKUP('Données projet'!$B$17,Paramètres!$A$1:$I$89,5,0)</f>
        <v>-1.3596945791505279E-13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405.42845699663462</v>
      </c>
      <c r="GF176" s="59">
        <f t="shared" si="158"/>
        <v>292.26503163353146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37.599802944006349</v>
      </c>
      <c r="GM176" s="21">
        <f>EXP(-LN(2)/25)*GM175+(1-EXP(-LN(2)/25))/(LN(2)/25)*Calculateur!GH176*Calculateur!GJ176*VLOOKUP('Données projet'!$B$17,Paramètres!$A$1:$I$89,3,0)*0.475*44/12</f>
        <v>8.6071153993757328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46.206918343382085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-5.3205440053716299E-14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198.26255998041</v>
      </c>
      <c r="T177" s="59">
        <f t="shared" si="142"/>
        <v>238.62101708181166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11.48160643900826</v>
      </c>
      <c r="AA177" s="21">
        <f>EXP(-LN(2)/25)*AA176+(1-EXP(-LN(2)/25))/(LN(2)/25)*Calculateur!V177*Calculateur!X177*VLOOKUP('Données projet'!$B$9,Paramètres!$A$1:$I$89,3,0)*0.475*44/12</f>
        <v>2.6397128033214519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14.121319242329712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3.4106051316484809E-13</v>
      </c>
      <c r="AJ177" s="13">
        <f>AI177*VLOOKUP('Données projet'!$B$10,Paramètres!$A$1:$I$89,3,0)*VLOOKUP('Données projet'!$B$10,Paramètres!$A$1:$I$89,5,0)</f>
        <v>1.9065282685915009E-13</v>
      </c>
      <c r="AK177" s="13">
        <f t="shared" si="164"/>
        <v>2.6568987209435707E-12</v>
      </c>
      <c r="AL177" s="20">
        <f t="shared" si="165"/>
        <v>4.959485612423072E-12</v>
      </c>
      <c r="AM177" s="59">
        <f t="shared" si="113"/>
        <v>293.33333333333826</v>
      </c>
      <c r="AN177" s="59">
        <f ca="1">AVERAGE(OFFSET($AM$3,0,0,'Données projet'!$E$10+1,1))-AVERAGE(OFFSET($H$3,0,0,'Données projet'!$E$10+1,1))</f>
        <v>347.02720636703873</v>
      </c>
      <c r="AO177" s="59">
        <f t="shared" si="144"/>
        <v>394.03759949558702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25.063125409037479</v>
      </c>
      <c r="AV177" s="21">
        <f>EXP(-LN(2)/25)*AV176+(1-EXP(-LN(2)/25))/(LN(2)/25)*Calculateur!AQ177*Calculateur!AS177*VLOOKUP('Données projet'!$B$10,Paramètres!$A$1:$I$89,3,0)*0.475*44/12</f>
        <v>5.6182228502689284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30.681348259306407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-3.4106051316484809E-13</v>
      </c>
      <c r="BE177" s="13">
        <f>BD177*VLOOKUP('Données projet'!$B$11,Paramètres!$A$1:$I$89,3,0)*VLOOKUP('Données projet'!$B$11,Paramètres!$A$1:$I$89,5,0)</f>
        <v>-2.0395418687257919E-13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378.75660696651238</v>
      </c>
      <c r="BJ177" s="59">
        <f t="shared" si="146"/>
        <v>371.70674704563288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24.793051276398096</v>
      </c>
      <c r="BQ177" s="21">
        <f>EXP(-LN(2)/25)*BQ176+(1-EXP(-LN(2)/25))/(LN(2)/25)*Calculateur!BL177*Calculateur!BN177*VLOOKUP('Données projet'!$B$11,Paramètres!$A$1:$I$89,3,0)*0.475*44/12</f>
        <v>5.4283660171234116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30.221417293521508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5.083333333333333</v>
      </c>
      <c r="BY177" s="12">
        <f>IF('Données projet'!$A$114&gt;35,BY176+BX177-CG176,IF(A177&lt;'Données projet'!$A$114,$BV$205^A177,IF(A177='Données projet'!$A$114,'Données projet'!$B$114,BY176+BX177-CG176)))</f>
        <v>304.75000000000051</v>
      </c>
      <c r="BZ177" s="13">
        <f>BY177*VLOOKUP('Données projet'!$B$12,Paramètres!$A$1:$I$89,3,0)*VLOOKUP('Données projet'!$B$12,Paramètres!$A$1:$I$89,5,0)</f>
        <v>309.01650000000058</v>
      </c>
      <c r="CA177" s="13">
        <f t="shared" si="170"/>
        <v>73.063398257753462</v>
      </c>
      <c r="CB177" s="20">
        <f t="shared" si="171"/>
        <v>665.45582279892153</v>
      </c>
      <c r="CC177" s="59">
        <f t="shared" si="119"/>
        <v>958.7891561322549</v>
      </c>
      <c r="CD177" s="59">
        <f ca="1">AVERAGE(OFFSET($CC$3,0,0,'Données projet'!$E$12+1,1))-AVERAGE(OFFSET($H$3,0,0,'Données projet'!$E$12+1,1))</f>
        <v>410.75375635525211</v>
      </c>
      <c r="CE177" s="59">
        <f t="shared" si="148"/>
        <v>183.55513001437367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38.91198229964651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38.91198229964651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-2.2737367544323206E-13</v>
      </c>
      <c r="CU177" s="17">
        <f>CT177*VLOOKUP('Données projet'!$B$13,Paramètres!$A$1:$I$89,3,0)*VLOOKUP('Données projet'!$B$13,Paramètres!$A$1:$I$89,5,0)</f>
        <v>-2.0572770154103635E-13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436.12708882925142</v>
      </c>
      <c r="CZ177" s="59">
        <f t="shared" si="150"/>
        <v>217.65884352525285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136.14737806490626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136.14737806490626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3.4106051316484809E-13</v>
      </c>
      <c r="DP177" s="17">
        <f>DO177*VLOOKUP('Données projet'!$B$14,Paramètres!$A$1:$I$89,3,0)*VLOOKUP('Données projet'!$B$14,Paramètres!$A$1:$I$89,5,0)</f>
        <v>3.2455318432766944E-13</v>
      </c>
      <c r="DQ177" s="13">
        <f t="shared" si="176"/>
        <v>4.2513245787534721E-12</v>
      </c>
      <c r="DR177" s="20">
        <f t="shared" si="177"/>
        <v>7.9696537706996534E-12</v>
      </c>
      <c r="DS177" s="59">
        <f t="shared" si="125"/>
        <v>293.33333333334127</v>
      </c>
      <c r="DT177" s="59">
        <f ca="1">AVERAGE(OFFSET($DS$3,0,0,'Données projet'!$E$14+1,1))-AVERAGE(OFFSET($H$3,0,0,'Données projet'!$E$14+1,1))</f>
        <v>735.50267870886194</v>
      </c>
      <c r="DU177" s="59">
        <f t="shared" si="152"/>
        <v>525.80345400853275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66.138749326087165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66.138749326087165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5.083333333333333</v>
      </c>
      <c r="EJ177" s="12">
        <f>IF('Données projet'!$A$192&gt;35,EJ176+EI177-ER176,IF(A177&lt;'Données projet'!$A$192,$EG$205^A177,IF(A177='Données projet'!$A$192,'Données projet'!$B$192,EJ176+EI177-ER176)))</f>
        <v>304.75000000000051</v>
      </c>
      <c r="EK177" s="17">
        <f>EJ177*VLOOKUP('Données projet'!$B$15,Paramètres!$A$1:$I$89,3,0)*VLOOKUP('Données projet'!$B$15,Paramètres!$A$1:$I$89,5,0)</f>
        <v>194.91810000000032</v>
      </c>
      <c r="EL177" s="13">
        <f t="shared" si="179"/>
        <v>48.625652457202982</v>
      </c>
      <c r="EM177" s="20">
        <f t="shared" si="180"/>
        <v>424.17203552962906</v>
      </c>
      <c r="EN177" s="59">
        <f t="shared" si="128"/>
        <v>717.50536886296231</v>
      </c>
      <c r="EO177" s="59">
        <f ca="1">AVERAGE(OFFSET($EN$3,0,0,'Données projet'!$E$15+1,1))-AVERAGE(OFFSET($H$3,0,0,'Données projet'!$E$15+1,1))</f>
        <v>274.14900959323484</v>
      </c>
      <c r="EP177" s="59">
        <f t="shared" si="154"/>
        <v>130.44590390921582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24.54448114285394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24.54448114285394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-2.2737367544323206E-13</v>
      </c>
      <c r="FF177" s="17">
        <f>FE177*VLOOKUP('Données projet'!$B$16,Paramètres!$A$1:$I$89,3,0)*VLOOKUP('Données projet'!$B$16,Paramètres!$A$1:$I$89,5,0)</f>
        <v>-1.3596945791505279E-13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405.42845699663462</v>
      </c>
      <c r="FK177" s="59">
        <f t="shared" si="156"/>
        <v>292.26503163353146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36.862493741889672</v>
      </c>
      <c r="FR177" s="21">
        <f>EXP(-LN(2)/25)*FR176+(1-EXP(-LN(2)/25))/(LN(2)/25)*Calculateur!FM177*Calculateur!FO177*VLOOKUP('Données projet'!$B$16,Paramètres!$A$1:$I$89,3,0)*0.475*44/12</f>
        <v>8.3717533761512755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45.234247118040948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-2.2737367544323206E-13</v>
      </c>
      <c r="GA177" s="17">
        <f>FZ177*VLOOKUP('Données projet'!$B$17,Paramètres!$A$1:$I$89,3,0)*VLOOKUP('Données projet'!$B$17,Paramètres!$A$1:$I$89,5,0)</f>
        <v>-1.3596945791505279E-13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405.42845699663462</v>
      </c>
      <c r="GF177" s="59">
        <f t="shared" si="158"/>
        <v>292.26503163353146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36.862493741889672</v>
      </c>
      <c r="GM177" s="21">
        <f>EXP(-LN(2)/25)*GM176+(1-EXP(-LN(2)/25))/(LN(2)/25)*Calculateur!GH177*Calculateur!GJ177*VLOOKUP('Données projet'!$B$17,Paramètres!$A$1:$I$89,3,0)*0.475*44/12</f>
        <v>8.3717533761512755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45.234247118040948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-5.3205440053716299E-14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198.26255998041</v>
      </c>
      <c r="T178" s="59">
        <f t="shared" si="142"/>
        <v>238.62101708181166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11.256459139827738</v>
      </c>
      <c r="AA178" s="21">
        <f>EXP(-LN(2)/25)*AA177+(1-EXP(-LN(2)/25))/(LN(2)/25)*Calculateur!V178*Calculateur!X178*VLOOKUP('Données projet'!$B$9,Paramètres!$A$1:$I$89,3,0)*0.475*44/12</f>
        <v>2.5675297178981635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13.823988857725901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3.4106051316484809E-13</v>
      </c>
      <c r="AJ178" s="13">
        <f>AI178*VLOOKUP('Données projet'!$B$10,Paramètres!$A$1:$I$89,3,0)*VLOOKUP('Données projet'!$B$10,Paramètres!$A$1:$I$89,5,0)</f>
        <v>1.9065282685915009E-13</v>
      </c>
      <c r="AK178" s="13">
        <f t="shared" si="164"/>
        <v>2.6568987209435707E-12</v>
      </c>
      <c r="AL178" s="20">
        <f t="shared" si="165"/>
        <v>4.959485612423072E-12</v>
      </c>
      <c r="AM178" s="59">
        <f t="shared" si="113"/>
        <v>293.33333333333826</v>
      </c>
      <c r="AN178" s="59">
        <f ca="1">AVERAGE(OFFSET($AM$3,0,0,'Données projet'!$E$10+1,1))-AVERAGE(OFFSET($H$3,0,0,'Données projet'!$E$10+1,1))</f>
        <v>347.02720636703873</v>
      </c>
      <c r="AO178" s="59">
        <f t="shared" si="144"/>
        <v>394.03759949558702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24.571652806763289</v>
      </c>
      <c r="AV178" s="21">
        <f>EXP(-LN(2)/25)*AV177+(1-EXP(-LN(2)/25))/(LN(2)/25)*Calculateur!AQ178*Calculateur!AS178*VLOOKUP('Données projet'!$B$10,Paramètres!$A$1:$I$89,3,0)*0.475*44/12</f>
        <v>5.4645922509788258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30.036245057742114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-3.4106051316484809E-13</v>
      </c>
      <c r="BE178" s="13">
        <f>BD178*VLOOKUP('Données projet'!$B$11,Paramètres!$A$1:$I$89,3,0)*VLOOKUP('Données projet'!$B$11,Paramètres!$A$1:$I$89,5,0)</f>
        <v>-2.0395418687257919E-13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378.75660696651238</v>
      </c>
      <c r="BJ178" s="59">
        <f t="shared" si="146"/>
        <v>371.70674704563288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24.306874663136007</v>
      </c>
      <c r="BQ178" s="21">
        <f>EXP(-LN(2)/25)*BQ177+(1-EXP(-LN(2)/25))/(LN(2)/25)*Calculateur!BL178*Calculateur!BN178*VLOOKUP('Données projet'!$B$11,Paramètres!$A$1:$I$89,3,0)*0.475*44/12</f>
        <v>5.2799270629198096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29.586801726055818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5.083333333333333</v>
      </c>
      <c r="BY178" s="12">
        <f>IF('Données projet'!$A$114&gt;35,BY177+BX178-CG177,IF(A178&lt;'Données projet'!$A$114,$BV$205^A178,IF(A178='Données projet'!$A$114,'Données projet'!$B$114,BY177+BX178-CG177)))</f>
        <v>309.83333333333383</v>
      </c>
      <c r="BZ178" s="13">
        <f>BY178*VLOOKUP('Données projet'!$B$12,Paramètres!$A$1:$I$89,3,0)*VLOOKUP('Données projet'!$B$12,Paramètres!$A$1:$I$89,5,0)</f>
        <v>314.1710000000005</v>
      </c>
      <c r="CA178" s="13">
        <f t="shared" si="170"/>
        <v>74.13922226254148</v>
      </c>
      <c r="CB178" s="20">
        <f t="shared" si="171"/>
        <v>676.30697044059389</v>
      </c>
      <c r="CC178" s="59">
        <f t="shared" si="119"/>
        <v>969.64030377392714</v>
      </c>
      <c r="CD178" s="59">
        <f ca="1">AVERAGE(OFFSET($CC$3,0,0,'Données projet'!$E$12+1,1))-AVERAGE(OFFSET($H$3,0,0,'Données projet'!$E$12+1,1))</f>
        <v>410.75375635525211</v>
      </c>
      <c r="CE178" s="59">
        <f t="shared" si="148"/>
        <v>183.55513001437367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38.148942060716109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38.148942060716109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-2.2737367544323206E-13</v>
      </c>
      <c r="CU178" s="17">
        <f>CT178*VLOOKUP('Données projet'!$B$13,Paramètres!$A$1:$I$89,3,0)*VLOOKUP('Données projet'!$B$13,Paramètres!$A$1:$I$89,5,0)</f>
        <v>-2.0572770154103635E-13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436.12708882925142</v>
      </c>
      <c r="CZ178" s="59">
        <f t="shared" si="150"/>
        <v>217.65884352525285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133.47761102275439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133.47761102275439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3.4106051316484809E-13</v>
      </c>
      <c r="DP178" s="17">
        <f>DO178*VLOOKUP('Données projet'!$B$14,Paramètres!$A$1:$I$89,3,0)*VLOOKUP('Données projet'!$B$14,Paramètres!$A$1:$I$89,5,0)</f>
        <v>3.2455318432766944E-13</v>
      </c>
      <c r="DQ178" s="13">
        <f t="shared" si="176"/>
        <v>4.2513245787534721E-12</v>
      </c>
      <c r="DR178" s="20">
        <f t="shared" si="177"/>
        <v>7.9696537706996534E-12</v>
      </c>
      <c r="DS178" s="59">
        <f t="shared" si="125"/>
        <v>293.33333333334127</v>
      </c>
      <c r="DT178" s="59">
        <f ca="1">AVERAGE(OFFSET($DS$3,0,0,'Données projet'!$E$14+1,1))-AVERAGE(OFFSET($H$3,0,0,'Données projet'!$E$14+1,1))</f>
        <v>735.50267870886194</v>
      </c>
      <c r="DU178" s="59">
        <f t="shared" si="152"/>
        <v>525.80345400853275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64.841808792456376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64.841808792456376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5.083333333333333</v>
      </c>
      <c r="EJ178" s="12">
        <f>IF('Données projet'!$A$192&gt;35,EJ177+EI178-ER177,IF(A178&lt;'Données projet'!$A$192,$EG$205^A178,IF(A178='Données projet'!$A$192,'Données projet'!$B$192,EJ177+EI178-ER177)))</f>
        <v>309.83333333333383</v>
      </c>
      <c r="EK178" s="17">
        <f>EJ178*VLOOKUP('Données projet'!$B$15,Paramètres!$A$1:$I$89,3,0)*VLOOKUP('Données projet'!$B$15,Paramètres!$A$1:$I$89,5,0)</f>
        <v>198.16940000000031</v>
      </c>
      <c r="EL178" s="13">
        <f t="shared" si="179"/>
        <v>49.341642205960483</v>
      </c>
      <c r="EM178" s="20">
        <f t="shared" si="180"/>
        <v>431.08173184204833</v>
      </c>
      <c r="EN178" s="59">
        <f t="shared" si="128"/>
        <v>724.41506517538164</v>
      </c>
      <c r="EO178" s="59">
        <f ca="1">AVERAGE(OFFSET($EN$3,0,0,'Données projet'!$E$15+1,1))-AVERAGE(OFFSET($H$3,0,0,'Données projet'!$E$15+1,1))</f>
        <v>274.14900959323484</v>
      </c>
      <c r="EP178" s="59">
        <f t="shared" si="154"/>
        <v>130.44590390921582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24.063178838297841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24.063178838297841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-2.2737367544323206E-13</v>
      </c>
      <c r="FF178" s="17">
        <f>FE178*VLOOKUP('Données projet'!$B$16,Paramètres!$A$1:$I$89,3,0)*VLOOKUP('Données projet'!$B$16,Paramètres!$A$1:$I$89,5,0)</f>
        <v>-1.3596945791505279E-13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405.42845699663462</v>
      </c>
      <c r="FK178" s="59">
        <f t="shared" si="156"/>
        <v>292.26503163353146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36.139642723512296</v>
      </c>
      <c r="FR178" s="21">
        <f>EXP(-LN(2)/25)*FR177+(1-EXP(-LN(2)/25))/(LN(2)/25)*Calculateur!FM178*Calculateur!FO178*VLOOKUP('Données projet'!$B$16,Paramètres!$A$1:$I$89,3,0)*0.475*44/12</f>
        <v>8.1428273398290418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44.282470063341336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-2.2737367544323206E-13</v>
      </c>
      <c r="GA178" s="17">
        <f>FZ178*VLOOKUP('Données projet'!$B$17,Paramètres!$A$1:$I$89,3,0)*VLOOKUP('Données projet'!$B$17,Paramètres!$A$1:$I$89,5,0)</f>
        <v>-1.3596945791505279E-13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405.42845699663462</v>
      </c>
      <c r="GF178" s="59">
        <f t="shared" si="158"/>
        <v>292.26503163353146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36.139642723512296</v>
      </c>
      <c r="GM178" s="21">
        <f>EXP(-LN(2)/25)*GM177+(1-EXP(-LN(2)/25))/(LN(2)/25)*Calculateur!GH178*Calculateur!GJ178*VLOOKUP('Données projet'!$B$17,Paramètres!$A$1:$I$89,3,0)*0.475*44/12</f>
        <v>8.1428273398290418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44.282470063341336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-5.3205440053716299E-14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198.26255998041</v>
      </c>
      <c r="T179" s="59">
        <f t="shared" si="142"/>
        <v>238.62101708181166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11.035726841857853</v>
      </c>
      <c r="AA179" s="21">
        <f>EXP(-LN(2)/25)*AA178+(1-EXP(-LN(2)/25))/(LN(2)/25)*Calculateur!V179*Calculateur!X179*VLOOKUP('Données projet'!$B$9,Paramètres!$A$1:$I$89,3,0)*0.475*44/12</f>
        <v>2.4973204827417184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13.533047324599572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3.4106051316484809E-13</v>
      </c>
      <c r="AJ179" s="13">
        <f>AI179*VLOOKUP('Données projet'!$B$10,Paramètres!$A$1:$I$89,3,0)*VLOOKUP('Données projet'!$B$10,Paramètres!$A$1:$I$89,5,0)</f>
        <v>1.9065282685915009E-13</v>
      </c>
      <c r="AK179" s="13">
        <f t="shared" si="164"/>
        <v>2.6568987209435707E-12</v>
      </c>
      <c r="AL179" s="20">
        <f t="shared" si="165"/>
        <v>4.959485612423072E-12</v>
      </c>
      <c r="AM179" s="59">
        <f t="shared" si="113"/>
        <v>293.33333333333826</v>
      </c>
      <c r="AN179" s="59">
        <f ca="1">AVERAGE(OFFSET($AM$3,0,0,'Données projet'!$E$10+1,1))-AVERAGE(OFFSET($H$3,0,0,'Données projet'!$E$10+1,1))</f>
        <v>347.02720636703873</v>
      </c>
      <c r="AO179" s="59">
        <f t="shared" si="144"/>
        <v>394.03759949558702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24.089817682451006</v>
      </c>
      <c r="AV179" s="21">
        <f>EXP(-LN(2)/25)*AV178+(1-EXP(-LN(2)/25))/(LN(2)/25)*Calculateur!AQ179*Calculateur!AS179*VLOOKUP('Données projet'!$B$10,Paramètres!$A$1:$I$89,3,0)*0.475*44/12</f>
        <v>5.3151626885053931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29.404980370956398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-3.4106051316484809E-13</v>
      </c>
      <c r="BE179" s="13">
        <f>BD179*VLOOKUP('Données projet'!$B$11,Paramètres!$A$1:$I$89,3,0)*VLOOKUP('Données projet'!$B$11,Paramètres!$A$1:$I$89,5,0)</f>
        <v>-2.0395418687257919E-13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378.75660696651238</v>
      </c>
      <c r="BJ179" s="59">
        <f t="shared" si="146"/>
        <v>371.70674704563288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23.830231676721535</v>
      </c>
      <c r="BQ179" s="21">
        <f>EXP(-LN(2)/25)*BQ178+(1-EXP(-LN(2)/25))/(LN(2)/25)*Calculateur!BL179*Calculateur!BN179*VLOOKUP('Données projet'!$B$11,Paramètres!$A$1:$I$89,3,0)*0.475*44/12</f>
        <v>5.1355471797249708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28.965778856446505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5.083333333333333</v>
      </c>
      <c r="BY179" s="12">
        <f>IF('Données projet'!$A$114&gt;35,BY178+BX179-CG178,IF(A179&lt;'Données projet'!$A$114,$BV$205^A179,IF(A179='Données projet'!$A$114,'Données projet'!$B$114,BY178+BX179-CG178)))</f>
        <v>314.91666666666714</v>
      </c>
      <c r="BZ179" s="13">
        <f>BY179*VLOOKUP('Données projet'!$B$12,Paramètres!$A$1:$I$89,3,0)*VLOOKUP('Données projet'!$B$12,Paramètres!$A$1:$I$89,5,0)</f>
        <v>319.32550000000049</v>
      </c>
      <c r="CA179" s="13">
        <f t="shared" si="170"/>
        <v>75.212993590253305</v>
      </c>
      <c r="CB179" s="20">
        <f t="shared" si="171"/>
        <v>687.1545430030252</v>
      </c>
      <c r="CC179" s="59">
        <f t="shared" si="119"/>
        <v>980.48787633635857</v>
      </c>
      <c r="CD179" s="59">
        <f ca="1">AVERAGE(OFFSET($CC$3,0,0,'Données projet'!$E$12+1,1))-AVERAGE(OFFSET($H$3,0,0,'Données projet'!$E$12+1,1))</f>
        <v>410.75375635525211</v>
      </c>
      <c r="CE179" s="59">
        <f t="shared" si="148"/>
        <v>183.55513001437367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37.400864575462542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37.400864575462542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-2.2737367544323206E-13</v>
      </c>
      <c r="CU179" s="17">
        <f>CT179*VLOOKUP('Données projet'!$B$13,Paramètres!$A$1:$I$89,3,0)*VLOOKUP('Données projet'!$B$13,Paramètres!$A$1:$I$89,5,0)</f>
        <v>-2.0572770154103635E-13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436.12708882925142</v>
      </c>
      <c r="CZ179" s="59">
        <f t="shared" si="150"/>
        <v>217.65884352525285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130.860196483902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130.860196483902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3.4106051316484809E-13</v>
      </c>
      <c r="DP179" s="17">
        <f>DO179*VLOOKUP('Données projet'!$B$14,Paramètres!$A$1:$I$89,3,0)*VLOOKUP('Données projet'!$B$14,Paramètres!$A$1:$I$89,5,0)</f>
        <v>3.2455318432766944E-13</v>
      </c>
      <c r="DQ179" s="13">
        <f t="shared" si="176"/>
        <v>4.2513245787534721E-12</v>
      </c>
      <c r="DR179" s="20">
        <f t="shared" si="177"/>
        <v>7.9696537706996534E-12</v>
      </c>
      <c r="DS179" s="59">
        <f t="shared" si="125"/>
        <v>293.33333333334127</v>
      </c>
      <c r="DT179" s="59">
        <f ca="1">AVERAGE(OFFSET($DS$3,0,0,'Données projet'!$E$14+1,1))-AVERAGE(OFFSET($H$3,0,0,'Données projet'!$E$14+1,1))</f>
        <v>735.50267870886194</v>
      </c>
      <c r="DU179" s="59">
        <f t="shared" si="152"/>
        <v>525.80345400853275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63.570300471634475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63.570300471634475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5.083333333333333</v>
      </c>
      <c r="EJ179" s="12">
        <f>IF('Données projet'!$A$192&gt;35,EJ178+EI179-ER178,IF(A179&lt;'Données projet'!$A$192,$EG$205^A179,IF(A179='Données projet'!$A$192,'Données projet'!$B$192,EJ178+EI179-ER178)))</f>
        <v>314.91666666666714</v>
      </c>
      <c r="EK179" s="17">
        <f>EJ179*VLOOKUP('Données projet'!$B$15,Paramètres!$A$1:$I$89,3,0)*VLOOKUP('Données projet'!$B$15,Paramètres!$A$1:$I$89,5,0)</f>
        <v>201.42070000000029</v>
      </c>
      <c r="EL179" s="13">
        <f t="shared" si="179"/>
        <v>50.05626584303284</v>
      </c>
      <c r="EM179" s="20">
        <f t="shared" si="180"/>
        <v>437.98904884328266</v>
      </c>
      <c r="EN179" s="59">
        <f t="shared" si="128"/>
        <v>731.32238217661597</v>
      </c>
      <c r="EO179" s="59">
        <f ca="1">AVERAGE(OFFSET($EN$3,0,0,'Données projet'!$E$15+1,1))-AVERAGE(OFFSET($H$3,0,0,'Données projet'!$E$15+1,1))</f>
        <v>274.14900959323484</v>
      </c>
      <c r="EP179" s="59">
        <f t="shared" si="154"/>
        <v>130.44590390921582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23.591314578368671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23.591314578368671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-2.2737367544323206E-13</v>
      </c>
      <c r="FF179" s="17">
        <f>FE179*VLOOKUP('Données projet'!$B$16,Paramètres!$A$1:$I$89,3,0)*VLOOKUP('Données projet'!$B$16,Paramètres!$A$1:$I$89,5,0)</f>
        <v>-1.3596945791505279E-13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405.42845699663462</v>
      </c>
      <c r="FK179" s="59">
        <f t="shared" si="156"/>
        <v>292.26503163353146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35.430966372709712</v>
      </c>
      <c r="FR179" s="21">
        <f>EXP(-LN(2)/25)*FR178+(1-EXP(-LN(2)/25))/(LN(2)/25)*Calculateur!FM179*Calculateur!FO179*VLOOKUP('Données projet'!$B$16,Paramètres!$A$1:$I$89,3,0)*0.475*44/12</f>
        <v>7.9201612980087379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43.351127670718448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-2.2737367544323206E-13</v>
      </c>
      <c r="GA179" s="17">
        <f>FZ179*VLOOKUP('Données projet'!$B$17,Paramètres!$A$1:$I$89,3,0)*VLOOKUP('Données projet'!$B$17,Paramètres!$A$1:$I$89,5,0)</f>
        <v>-1.3596945791505279E-13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405.42845699663462</v>
      </c>
      <c r="GF179" s="59">
        <f t="shared" si="158"/>
        <v>292.26503163353146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35.430966372709712</v>
      </c>
      <c r="GM179" s="21">
        <f>EXP(-LN(2)/25)*GM178+(1-EXP(-LN(2)/25))/(LN(2)/25)*Calculateur!GH179*Calculateur!GJ179*VLOOKUP('Données projet'!$B$17,Paramètres!$A$1:$I$89,3,0)*0.475*44/12</f>
        <v>7.9201612980087379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43.351127670718448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-5.3205440053716299E-14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198.26255998041</v>
      </c>
      <c r="T180" s="59">
        <f t="shared" si="142"/>
        <v>238.62101708181166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10.819322969617751</v>
      </c>
      <c r="AA180" s="21">
        <f>EXP(-LN(2)/25)*AA179+(1-EXP(-LN(2)/25))/(LN(2)/25)*Calculateur!V180*Calculateur!X180*VLOOKUP('Données projet'!$B$9,Paramètres!$A$1:$I$89,3,0)*0.475*44/12</f>
        <v>2.4290311228127694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13.248354092430521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3.4106051316484809E-13</v>
      </c>
      <c r="AJ180" s="13">
        <f>AI180*VLOOKUP('Données projet'!$B$10,Paramètres!$A$1:$I$89,3,0)*VLOOKUP('Données projet'!$B$10,Paramètres!$A$1:$I$89,5,0)</f>
        <v>1.9065282685915009E-13</v>
      </c>
      <c r="AK180" s="13">
        <f t="shared" si="164"/>
        <v>2.6568987209435707E-12</v>
      </c>
      <c r="AL180" s="20">
        <f t="shared" si="165"/>
        <v>4.959485612423072E-12</v>
      </c>
      <c r="AM180" s="59">
        <f t="shared" si="113"/>
        <v>293.33333333333826</v>
      </c>
      <c r="AN180" s="59">
        <f ca="1">AVERAGE(OFFSET($AM$3,0,0,'Données projet'!$E$10+1,1))-AVERAGE(OFFSET($H$3,0,0,'Données projet'!$E$10+1,1))</f>
        <v>347.02720636703873</v>
      </c>
      <c r="AO180" s="59">
        <f t="shared" si="144"/>
        <v>394.03759949558702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23.617431051036082</v>
      </c>
      <c r="AV180" s="21">
        <f>EXP(-LN(2)/25)*AV179+(1-EXP(-LN(2)/25))/(LN(2)/25)*Calculateur!AQ180*Calculateur!AS180*VLOOKUP('Données projet'!$B$10,Paramètres!$A$1:$I$89,3,0)*0.475*44/12</f>
        <v>5.1698192852759552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28.787250336312038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-3.4106051316484809E-13</v>
      </c>
      <c r="BE180" s="13">
        <f>BD180*VLOOKUP('Données projet'!$B$11,Paramètres!$A$1:$I$89,3,0)*VLOOKUP('Données projet'!$B$11,Paramètres!$A$1:$I$89,5,0)</f>
        <v>-2.0395418687257919E-13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378.75660696651238</v>
      </c>
      <c r="BJ180" s="59">
        <f t="shared" si="146"/>
        <v>371.70674704563288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23.362935368547134</v>
      </c>
      <c r="BQ180" s="21">
        <f>EXP(-LN(2)/25)*BQ179+(1-EXP(-LN(2)/25))/(LN(2)/25)*Calculateur!BL180*Calculateur!BN180*VLOOKUP('Données projet'!$B$11,Paramètres!$A$1:$I$89,3,0)*0.475*44/12</f>
        <v>4.9951153720287031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28.358050740575838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>
        <f>VLOOKUP(A180,'Données projet'!$A$113:$I$133,2,0)</f>
        <v>320</v>
      </c>
      <c r="BW180" s="12">
        <f>VLOOKUP(A180,'Données projet'!$A$113:$I$133,9,0)</f>
        <v>5.083333333333333</v>
      </c>
      <c r="BX180" s="12">
        <f t="array" ref="BX180">INDEX(BW:BW,MIN(IF(ISNUMBER(BW180:BW376),ROW(BW180:BW376),"")))</f>
        <v>5.083333333333333</v>
      </c>
      <c r="BY180" s="12">
        <f>IF('Données projet'!$A$114&gt;35,BY179+BX180-CG179,IF(A180&lt;'Données projet'!$A$114,$BV$205^A180,IF(A180='Données projet'!$A$114,'Données projet'!$B$114,BY179+BX180-CG179)))</f>
        <v>320.00000000000045</v>
      </c>
      <c r="BZ180" s="13">
        <f>BY180*VLOOKUP('Données projet'!$B$12,Paramètres!$A$1:$I$89,3,0)*VLOOKUP('Données projet'!$B$12,Paramètres!$A$1:$I$89,5,0)</f>
        <v>324.48000000000047</v>
      </c>
      <c r="CA180" s="13">
        <f t="shared" si="170"/>
        <v>76.284749200165649</v>
      </c>
      <c r="CB180" s="20">
        <f t="shared" si="171"/>
        <v>697.99860485695592</v>
      </c>
      <c r="CC180" s="59">
        <f t="shared" si="119"/>
        <v>991.33193819028929</v>
      </c>
      <c r="CD180" s="59">
        <f ca="1">AVERAGE(OFFSET($CC$3,0,0,'Données projet'!$E$12+1,1))-AVERAGE(OFFSET($H$3,0,0,'Données projet'!$E$12+1,1))</f>
        <v>410.75375635525211</v>
      </c>
      <c r="CE180" s="59">
        <f t="shared" si="148"/>
        <v>183.55513001437367</v>
      </c>
      <c r="CF180" s="15">
        <f>IF(ISNA(VLOOKUP(A180,'Données projet'!$A$113:$I$133,3,0)),0,VLOOKUP(A180,'Données projet'!$A$113:$I$133,3,0))</f>
        <v>13</v>
      </c>
      <c r="CG180" s="15">
        <f>IF(ISNA(VLOOKUP(A180,'Données projet'!$A$113:$I$133,4,0)),0,VLOOKUP(A180,'Données projet'!$A$113:$I$133,4,0))</f>
        <v>39</v>
      </c>
      <c r="CH180" s="16">
        <f>IF(ISNA(VLOOKUP(A180,'Données projet'!$A$113:$I$133,5,0)),0%,VLOOKUP(A180,'Données projet'!$A$113:$I$133,5,0)*VLOOKUP('Données projet'!$B$12,Paramètres!$A$1:$I$89,7,0))</f>
        <v>0.25800000000000001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47.946424793697183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47.946424793697183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-2.2737367544323206E-13</v>
      </c>
      <c r="CU180" s="17">
        <f>CT180*VLOOKUP('Données projet'!$B$13,Paramètres!$A$1:$I$89,3,0)*VLOOKUP('Données projet'!$B$13,Paramètres!$A$1:$I$89,5,0)</f>
        <v>-2.0572770154103635E-13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436.12708882925142</v>
      </c>
      <c r="CZ180" s="59">
        <f t="shared" si="150"/>
        <v>217.65884352525285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128.29410784769129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128.29410784769129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3.4106051316484809E-13</v>
      </c>
      <c r="DP180" s="17">
        <f>DO180*VLOOKUP('Données projet'!$B$14,Paramètres!$A$1:$I$89,3,0)*VLOOKUP('Données projet'!$B$14,Paramètres!$A$1:$I$89,5,0)</f>
        <v>3.2455318432766944E-13</v>
      </c>
      <c r="DQ180" s="13">
        <f t="shared" si="176"/>
        <v>4.2513245787534721E-12</v>
      </c>
      <c r="DR180" s="20">
        <f t="shared" si="177"/>
        <v>7.9696537706996534E-12</v>
      </c>
      <c r="DS180" s="59">
        <f t="shared" si="125"/>
        <v>293.33333333334127</v>
      </c>
      <c r="DT180" s="59">
        <f ca="1">AVERAGE(OFFSET($DS$3,0,0,'Données projet'!$E$14+1,1))-AVERAGE(OFFSET($H$3,0,0,'Données projet'!$E$14+1,1))</f>
        <v>735.50267870886194</v>
      </c>
      <c r="DU180" s="59">
        <f t="shared" si="152"/>
        <v>525.80345400853275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62.323725653440391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62.323725653440391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>
        <f>VLOOKUP(A180,'Données projet'!$A$191:$I$211,2,0)</f>
        <v>320</v>
      </c>
      <c r="EH180" s="12">
        <f>VLOOKUP(A180,'Données projet'!$A$191:$I$211,9,0)</f>
        <v>5.083333333333333</v>
      </c>
      <c r="EI180" s="12">
        <f t="array" ref="EI180">INDEX(EH:EH,MIN(IF(ISNUMBER(EH180:EH376),ROW(EH180:EH376),"")))</f>
        <v>5.083333333333333</v>
      </c>
      <c r="EJ180" s="12">
        <f>IF('Données projet'!$A$192&gt;35,EJ179+EI180-ER179,IF(A180&lt;'Données projet'!$A$192,$EG$205^A180,IF(A180='Données projet'!$A$192,'Données projet'!$B$192,EJ179+EI180-ER179)))</f>
        <v>320.00000000000045</v>
      </c>
      <c r="EK180" s="17">
        <f>EJ180*VLOOKUP('Données projet'!$B$15,Paramètres!$A$1:$I$89,3,0)*VLOOKUP('Données projet'!$B$15,Paramètres!$A$1:$I$89,5,0)</f>
        <v>204.67200000000031</v>
      </c>
      <c r="EL180" s="13">
        <f t="shared" si="179"/>
        <v>50.769547965810752</v>
      </c>
      <c r="EM180" s="20">
        <f t="shared" si="180"/>
        <v>444.89402937378753</v>
      </c>
      <c r="EN180" s="59">
        <f t="shared" si="128"/>
        <v>738.22736270712085</v>
      </c>
      <c r="EO180" s="59">
        <f ca="1">AVERAGE(OFFSET($EN$3,0,0,'Données projet'!$E$15+1,1))-AVERAGE(OFFSET($H$3,0,0,'Données projet'!$E$15+1,1))</f>
        <v>274.14900959323484</v>
      </c>
      <c r="EP180" s="59">
        <f t="shared" si="154"/>
        <v>130.44590390921582</v>
      </c>
      <c r="EQ180" s="15">
        <f>IF(ISNA(VLOOKUP(A180,'Données projet'!$A$191:$I$211,3,0)),0,VLOOKUP(A180,'Données projet'!$A$191:$I$211,3,0))</f>
        <v>13</v>
      </c>
      <c r="ER180" s="15">
        <f>IF(ISNA(VLOOKUP(A180,'Données projet'!$A$191:$I$211,4,0)),0,VLOOKUP(A180,'Données projet'!$A$191:$I$211,4,0))</f>
        <v>39</v>
      </c>
      <c r="ES180" s="16">
        <f>IF(ISNA(VLOOKUP(A180,'Données projet'!$A$191:$I$211,5,0)),0%,VLOOKUP(A180,'Données projet'!$A$191:$I$211,5,0)*VLOOKUP('Données projet'!$B$15,Paramètres!$A$1:$I$89,7,0))</f>
        <v>0.25800000000000001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30.243129485255135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30.243129485255135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-2.2737367544323206E-13</v>
      </c>
      <c r="FF180" s="17">
        <f>FE180*VLOOKUP('Données projet'!$B$16,Paramètres!$A$1:$I$89,3,0)*VLOOKUP('Données projet'!$B$16,Paramètres!$A$1:$I$89,5,0)</f>
        <v>-1.3596945791505279E-13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405.42845699663462</v>
      </c>
      <c r="FK180" s="59">
        <f t="shared" si="156"/>
        <v>292.26503163353146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34.736186732896478</v>
      </c>
      <c r="FR180" s="21">
        <f>EXP(-LN(2)/25)*FR179+(1-EXP(-LN(2)/25))/(LN(2)/25)*Calculateur!FM180*Calculateur!FO180*VLOOKUP('Données projet'!$B$16,Paramètres!$A$1:$I$89,3,0)*0.475*44/12</f>
        <v>7.703584070811508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42.439770803707987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-2.2737367544323206E-13</v>
      </c>
      <c r="GA180" s="17">
        <f>FZ180*VLOOKUP('Données projet'!$B$17,Paramètres!$A$1:$I$89,3,0)*VLOOKUP('Données projet'!$B$17,Paramètres!$A$1:$I$89,5,0)</f>
        <v>-1.3596945791505279E-13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405.42845699663462</v>
      </c>
      <c r="GF180" s="59">
        <f t="shared" si="158"/>
        <v>292.26503163353146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34.736186732896478</v>
      </c>
      <c r="GM180" s="21">
        <f>EXP(-LN(2)/25)*GM179+(1-EXP(-LN(2)/25))/(LN(2)/25)*Calculateur!GH180*Calculateur!GJ180*VLOOKUP('Données projet'!$B$17,Paramètres!$A$1:$I$89,3,0)*0.475*44/12</f>
        <v>7.703584070811508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42.439770803707987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-5.3205440053716299E-14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198.26255998041</v>
      </c>
      <c r="T181" s="59">
        <f t="shared" si="142"/>
        <v>238.62101708181166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10.607162645318947</v>
      </c>
      <c r="AA181" s="21">
        <f>EXP(-LN(2)/25)*AA180+(1-EXP(-LN(2)/25))/(LN(2)/25)*Calculateur!V181*Calculateur!X181*VLOOKUP('Données projet'!$B$9,Paramètres!$A$1:$I$89,3,0)*0.475*44/12</f>
        <v>2.362609139022259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12.969771784341207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3.4106051316484809E-13</v>
      </c>
      <c r="AJ181" s="13">
        <f>AI181*VLOOKUP('Données projet'!$B$10,Paramètres!$A$1:$I$89,3,0)*VLOOKUP('Données projet'!$B$10,Paramètres!$A$1:$I$89,5,0)</f>
        <v>1.9065282685915009E-13</v>
      </c>
      <c r="AK181" s="13">
        <f t="shared" si="164"/>
        <v>2.6568987209435707E-12</v>
      </c>
      <c r="AL181" s="20">
        <f t="shared" si="165"/>
        <v>4.959485612423072E-12</v>
      </c>
      <c r="AM181" s="59">
        <f t="shared" si="113"/>
        <v>293.33333333333826</v>
      </c>
      <c r="AN181" s="59">
        <f ca="1">AVERAGE(OFFSET($AM$3,0,0,'Données projet'!$E$10+1,1))-AVERAGE(OFFSET($H$3,0,0,'Données projet'!$E$10+1,1))</f>
        <v>347.02720636703873</v>
      </c>
      <c r="AO181" s="59">
        <f t="shared" si="144"/>
        <v>394.03759949558702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23.154307633335808</v>
      </c>
      <c r="AV181" s="21">
        <f>EXP(-LN(2)/25)*AV180+(1-EXP(-LN(2)/25))/(LN(2)/25)*Calculateur!AQ181*Calculateur!AS181*VLOOKUP('Données projet'!$B$10,Paramètres!$A$1:$I$89,3,0)*0.475*44/12</f>
        <v>5.0284503050511038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28.182757938386914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-3.4106051316484809E-13</v>
      </c>
      <c r="BE181" s="13">
        <f>BD181*VLOOKUP('Données projet'!$B$11,Paramètres!$A$1:$I$89,3,0)*VLOOKUP('Données projet'!$B$11,Paramètres!$A$1:$I$89,5,0)</f>
        <v>-2.0395418687257919E-13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378.75660696651238</v>
      </c>
      <c r="BJ181" s="59">
        <f t="shared" si="146"/>
        <v>371.70674704563288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22.90480245595343</v>
      </c>
      <c r="BQ181" s="21">
        <f>EXP(-LN(2)/25)*BQ180+(1-EXP(-LN(2)/25))/(LN(2)/25)*Calculateur!BL181*Calculateur!BN181*VLOOKUP('Données projet'!$B$11,Paramètres!$A$1:$I$89,3,0)*0.475*44/12</f>
        <v>4.8585236794988775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27.763326135452306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5.2666666666666666</v>
      </c>
      <c r="BY181" s="12">
        <f>IF('Données projet'!$A$114&gt;35,BY180+BX181-CG180,IF(A181&lt;'Données projet'!$A$114,$BV$205^A181,IF(A181='Données projet'!$A$114,'Données projet'!$B$114,BY180+BX181-CG180)))</f>
        <v>286.26666666666711</v>
      </c>
      <c r="BZ181" s="13">
        <f>BY181*VLOOKUP('Données projet'!$B$12,Paramètres!$A$1:$I$89,3,0)*VLOOKUP('Données projet'!$B$12,Paramètres!$A$1:$I$89,5,0)</f>
        <v>290.27440000000047</v>
      </c>
      <c r="CA181" s="13">
        <f t="shared" si="170"/>
        <v>69.133710078848466</v>
      </c>
      <c r="CB181" s="20">
        <f t="shared" si="171"/>
        <v>625.9691250539953</v>
      </c>
      <c r="CC181" s="59">
        <f t="shared" si="119"/>
        <v>919.30245838732867</v>
      </c>
      <c r="CD181" s="59">
        <f ca="1">AVERAGE(OFFSET($CC$3,0,0,'Données projet'!$E$12+1,1))-AVERAGE(OFFSET($H$3,0,0,'Données projet'!$E$12+1,1))</f>
        <v>410.75375635525211</v>
      </c>
      <c r="CE181" s="59">
        <f t="shared" si="148"/>
        <v>183.55513001437367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47.006224647924256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47.006224647924256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-2.2737367544323206E-13</v>
      </c>
      <c r="CU181" s="17">
        <f>CT181*VLOOKUP('Données projet'!$B$13,Paramètres!$A$1:$I$89,3,0)*VLOOKUP('Données projet'!$B$13,Paramètres!$A$1:$I$89,5,0)</f>
        <v>-2.0572770154103635E-13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436.12708882925142</v>
      </c>
      <c r="CZ181" s="59">
        <f t="shared" si="150"/>
        <v>217.65884352525285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125.77833864447715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125.77833864447715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3.4106051316484809E-13</v>
      </c>
      <c r="DP181" s="17">
        <f>DO181*VLOOKUP('Données projet'!$B$14,Paramètres!$A$1:$I$89,3,0)*VLOOKUP('Données projet'!$B$14,Paramètres!$A$1:$I$89,5,0)</f>
        <v>3.2455318432766944E-13</v>
      </c>
      <c r="DQ181" s="13">
        <f t="shared" si="176"/>
        <v>4.2513245787534721E-12</v>
      </c>
      <c r="DR181" s="20">
        <f t="shared" si="177"/>
        <v>7.9696537706996534E-12</v>
      </c>
      <c r="DS181" s="59">
        <f t="shared" si="125"/>
        <v>293.33333333334127</v>
      </c>
      <c r="DT181" s="59">
        <f ca="1">AVERAGE(OFFSET($DS$3,0,0,'Données projet'!$E$14+1,1))-AVERAGE(OFFSET($H$3,0,0,'Données projet'!$E$14+1,1))</f>
        <v>735.50267870886194</v>
      </c>
      <c r="DU181" s="59">
        <f t="shared" si="152"/>
        <v>525.80345400853275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61.10159540709553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61.10159540709553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5.2666666666666666</v>
      </c>
      <c r="EJ181" s="12">
        <f>IF('Données projet'!$A$192&gt;35,EJ180+EI181-ER180,IF(A181&lt;'Données projet'!$A$192,$EG$205^A181,IF(A181='Données projet'!$A$192,'Données projet'!$B$192,EJ180+EI181-ER180)))</f>
        <v>286.26666666666711</v>
      </c>
      <c r="EK181" s="17">
        <f>EJ181*VLOOKUP('Données projet'!$B$15,Paramètres!$A$1:$I$89,3,0)*VLOOKUP('Données projet'!$B$15,Paramètres!$A$1:$I$89,5,0)</f>
        <v>183.09616000000025</v>
      </c>
      <c r="EL181" s="13">
        <f t="shared" si="179"/>
        <v>46.010339506955248</v>
      </c>
      <c r="EM181" s="20">
        <f t="shared" si="180"/>
        <v>399.02715330794746</v>
      </c>
      <c r="EN181" s="59">
        <f t="shared" si="128"/>
        <v>692.36048664128077</v>
      </c>
      <c r="EO181" s="59">
        <f ca="1">AVERAGE(OFFSET($EN$3,0,0,'Données projet'!$E$15+1,1))-AVERAGE(OFFSET($H$3,0,0,'Données projet'!$E$15+1,1))</f>
        <v>274.14900959323484</v>
      </c>
      <c r="EP181" s="59">
        <f t="shared" si="154"/>
        <v>130.44590390921582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29.650080162536828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29.650080162536828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-2.2737367544323206E-13</v>
      </c>
      <c r="FF181" s="17">
        <f>FE181*VLOOKUP('Données projet'!$B$16,Paramètres!$A$1:$I$89,3,0)*VLOOKUP('Données projet'!$B$16,Paramètres!$A$1:$I$89,5,0)</f>
        <v>-1.3596945791505279E-13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405.42845699663462</v>
      </c>
      <c r="FK181" s="59">
        <f t="shared" si="156"/>
        <v>292.26503163353146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34.055031298046245</v>
      </c>
      <c r="FR181" s="21">
        <f>EXP(-LN(2)/25)*FR180+(1-EXP(-LN(2)/25))/(LN(2)/25)*Calculateur!FM181*Calculateur!FO181*VLOOKUP('Données projet'!$B$16,Paramètres!$A$1:$I$89,3,0)*0.475*44/12</f>
        <v>7.4929291592812879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41.547960457327534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-2.2737367544323206E-13</v>
      </c>
      <c r="GA181" s="17">
        <f>FZ181*VLOOKUP('Données projet'!$B$17,Paramètres!$A$1:$I$89,3,0)*VLOOKUP('Données projet'!$B$17,Paramètres!$A$1:$I$89,5,0)</f>
        <v>-1.3596945791505279E-13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405.42845699663462</v>
      </c>
      <c r="GF181" s="59">
        <f t="shared" si="158"/>
        <v>292.26503163353146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34.055031298046245</v>
      </c>
      <c r="GM181" s="21">
        <f>EXP(-LN(2)/25)*GM180+(1-EXP(-LN(2)/25))/(LN(2)/25)*Calculateur!GH181*Calculateur!GJ181*VLOOKUP('Données projet'!$B$17,Paramètres!$A$1:$I$89,3,0)*0.475*44/12</f>
        <v>7.4929291592812879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41.547960457327534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-5.3205440053716299E-14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198.26255998041</v>
      </c>
      <c r="T182" s="59">
        <f t="shared" si="142"/>
        <v>238.62101708181166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10.399162655574624</v>
      </c>
      <c r="AA182" s="21">
        <f>EXP(-LN(2)/25)*AA181+(1-EXP(-LN(2)/25))/(LN(2)/25)*Calculateur!V182*Calculateur!X182*VLOOKUP('Données projet'!$B$9,Paramètres!$A$1:$I$89,3,0)*0.475*44/12</f>
        <v>2.2980034678714807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12.697166123446106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3.4106051316484809E-13</v>
      </c>
      <c r="AJ182" s="13">
        <f>AI182*VLOOKUP('Données projet'!$B$10,Paramètres!$A$1:$I$89,3,0)*VLOOKUP('Données projet'!$B$10,Paramètres!$A$1:$I$89,5,0)</f>
        <v>1.9065282685915009E-13</v>
      </c>
      <c r="AK182" s="13">
        <f t="shared" si="164"/>
        <v>2.6568987209435707E-12</v>
      </c>
      <c r="AL182" s="20">
        <f t="shared" si="165"/>
        <v>4.959485612423072E-12</v>
      </c>
      <c r="AM182" s="59">
        <f t="shared" si="113"/>
        <v>293.33333333333826</v>
      </c>
      <c r="AN182" s="59">
        <f ca="1">AVERAGE(OFFSET($AM$3,0,0,'Données projet'!$E$10+1,1))-AVERAGE(OFFSET($H$3,0,0,'Données projet'!$E$10+1,1))</f>
        <v>347.02720636703873</v>
      </c>
      <c r="AO182" s="59">
        <f t="shared" si="144"/>
        <v>394.03759949558702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22.700265783379244</v>
      </c>
      <c r="AV182" s="21">
        <f>EXP(-LN(2)/25)*AV181+(1-EXP(-LN(2)/25))/(LN(2)/25)*Calculateur!AQ182*Calculateur!AS182*VLOOKUP('Données projet'!$B$10,Paramètres!$A$1:$I$89,3,0)*0.475*44/12</f>
        <v>4.8909470670247721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27.591212850404016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-3.4106051316484809E-13</v>
      </c>
      <c r="BE182" s="13">
        <f>BD182*VLOOKUP('Données projet'!$B$11,Paramètres!$A$1:$I$89,3,0)*VLOOKUP('Données projet'!$B$11,Paramètres!$A$1:$I$89,5,0)</f>
        <v>-2.0395418687257919E-13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378.75660696651238</v>
      </c>
      <c r="BJ182" s="59">
        <f t="shared" si="146"/>
        <v>371.70674704563288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22.455653250342205</v>
      </c>
      <c r="BQ182" s="21">
        <f>EXP(-LN(2)/25)*BQ181+(1-EXP(-LN(2)/25))/(LN(2)/25)*Calculateur!BL182*Calculateur!BN182*VLOOKUP('Données projet'!$B$11,Paramètres!$A$1:$I$89,3,0)*0.475*44/12</f>
        <v>4.7256670939843248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27.181320344326529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5.2666666666666666</v>
      </c>
      <c r="BY182" s="12">
        <f>IF('Données projet'!$A$114&gt;35,BY181+BX182-CG181,IF(A182&lt;'Données projet'!$A$114,$BV$205^A182,IF(A182='Données projet'!$A$114,'Données projet'!$B$114,BY181+BX182-CG181)))</f>
        <v>291.53333333333376</v>
      </c>
      <c r="BZ182" s="13">
        <f>BY182*VLOOKUP('Données projet'!$B$12,Paramètres!$A$1:$I$89,3,0)*VLOOKUP('Données projet'!$B$12,Paramètres!$A$1:$I$89,5,0)</f>
        <v>295.61480000000046</v>
      </c>
      <c r="CA182" s="13">
        <f t="shared" si="170"/>
        <v>70.256370750496899</v>
      </c>
      <c r="CB182" s="20">
        <f t="shared" si="171"/>
        <v>637.22562239044953</v>
      </c>
      <c r="CC182" s="59">
        <f t="shared" si="119"/>
        <v>930.5589557237829</v>
      </c>
      <c r="CD182" s="59">
        <f ca="1">AVERAGE(OFFSET($CC$3,0,0,'Données projet'!$E$12+1,1))-AVERAGE(OFFSET($H$3,0,0,'Données projet'!$E$12+1,1))</f>
        <v>410.75375635525211</v>
      </c>
      <c r="CE182" s="59">
        <f t="shared" si="148"/>
        <v>183.55513001437367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46.084461253544475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46.084461253544475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-2.2737367544323206E-13</v>
      </c>
      <c r="CU182" s="17">
        <f>CT182*VLOOKUP('Données projet'!$B$13,Paramètres!$A$1:$I$89,3,0)*VLOOKUP('Données projet'!$B$13,Paramètres!$A$1:$I$89,5,0)</f>
        <v>-2.0572770154103635E-13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436.12708882925142</v>
      </c>
      <c r="CZ182" s="59">
        <f t="shared" si="150"/>
        <v>217.65884352525285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123.31190214087033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123.31190214087033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3.4106051316484809E-13</v>
      </c>
      <c r="DP182" s="17">
        <f>DO182*VLOOKUP('Données projet'!$B$14,Paramètres!$A$1:$I$89,3,0)*VLOOKUP('Données projet'!$B$14,Paramètres!$A$1:$I$89,5,0)</f>
        <v>3.2455318432766944E-13</v>
      </c>
      <c r="DQ182" s="13">
        <f t="shared" si="176"/>
        <v>4.2513245787534721E-12</v>
      </c>
      <c r="DR182" s="20">
        <f t="shared" si="177"/>
        <v>7.9696537706996534E-12</v>
      </c>
      <c r="DS182" s="59">
        <f t="shared" si="125"/>
        <v>293.33333333334127</v>
      </c>
      <c r="DT182" s="59">
        <f ca="1">AVERAGE(OFFSET($DS$3,0,0,'Données projet'!$E$14+1,1))-AVERAGE(OFFSET($H$3,0,0,'Données projet'!$E$14+1,1))</f>
        <v>735.50267870886194</v>
      </c>
      <c r="DU182" s="59">
        <f t="shared" si="152"/>
        <v>525.80345400853275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59.90343038945565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59.90343038945565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5.2666666666666666</v>
      </c>
      <c r="EJ182" s="12">
        <f>IF('Données projet'!$A$192&gt;35,EJ181+EI182-ER181,IF(A182&lt;'Données projet'!$A$192,$EG$205^A182,IF(A182='Données projet'!$A$192,'Données projet'!$B$192,EJ181+EI182-ER181)))</f>
        <v>291.53333333333376</v>
      </c>
      <c r="EK182" s="17">
        <f>EJ182*VLOOKUP('Données projet'!$B$15,Paramètres!$A$1:$I$89,3,0)*VLOOKUP('Données projet'!$B$15,Paramètres!$A$1:$I$89,5,0)</f>
        <v>186.46472000000028</v>
      </c>
      <c r="EL182" s="13">
        <f t="shared" si="179"/>
        <v>46.757500314537232</v>
      </c>
      <c r="EM182" s="20">
        <f t="shared" si="180"/>
        <v>406.1953670478195</v>
      </c>
      <c r="EN182" s="59">
        <f t="shared" si="128"/>
        <v>699.52870038115282</v>
      </c>
      <c r="EO182" s="59">
        <f ca="1">AVERAGE(OFFSET($EN$3,0,0,'Données projet'!$E$15+1,1))-AVERAGE(OFFSET($H$3,0,0,'Données projet'!$E$15+1,1))</f>
        <v>274.14900959323484</v>
      </c>
      <c r="EP182" s="59">
        <f t="shared" si="154"/>
        <v>130.44590390921582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29.068660175312658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29.068660175312658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-2.2737367544323206E-13</v>
      </c>
      <c r="FF182" s="17">
        <f>FE182*VLOOKUP('Données projet'!$B$16,Paramètres!$A$1:$I$89,3,0)*VLOOKUP('Données projet'!$B$16,Paramètres!$A$1:$I$89,5,0)</f>
        <v>-1.3596945791505279E-13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405.42845699663462</v>
      </c>
      <c r="FK182" s="59">
        <f t="shared" si="156"/>
        <v>292.26503163353146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33.387232905809633</v>
      </c>
      <c r="FR182" s="21">
        <f>EXP(-LN(2)/25)*FR181+(1-EXP(-LN(2)/25))/(LN(2)/25)*Calculateur!FM182*Calculateur!FO182*VLOOKUP('Données projet'!$B$16,Paramètres!$A$1:$I$89,3,0)*0.475*44/12</f>
        <v>7.2880346173847217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40.675267523194357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-2.2737367544323206E-13</v>
      </c>
      <c r="GA182" s="17">
        <f>FZ182*VLOOKUP('Données projet'!$B$17,Paramètres!$A$1:$I$89,3,0)*VLOOKUP('Données projet'!$B$17,Paramètres!$A$1:$I$89,5,0)</f>
        <v>-1.3596945791505279E-13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405.42845699663462</v>
      </c>
      <c r="GF182" s="59">
        <f t="shared" si="158"/>
        <v>292.26503163353146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33.387232905809633</v>
      </c>
      <c r="GM182" s="21">
        <f>EXP(-LN(2)/25)*GM181+(1-EXP(-LN(2)/25))/(LN(2)/25)*Calculateur!GH182*Calculateur!GJ182*VLOOKUP('Données projet'!$B$17,Paramètres!$A$1:$I$89,3,0)*0.475*44/12</f>
        <v>7.2880346173847217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40.675267523194357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-5.3205440053716299E-14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198.26255998041</v>
      </c>
      <c r="T183" s="59">
        <f t="shared" si="142"/>
        <v>238.62101708181166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10.19524141876172</v>
      </c>
      <c r="AA183" s="21">
        <f>EXP(-LN(2)/25)*AA182+(1-EXP(-LN(2)/25))/(LN(2)/25)*Calculateur!V183*Calculateur!X183*VLOOKUP('Données projet'!$B$9,Paramètres!$A$1:$I$89,3,0)*0.475*44/12</f>
        <v>2.235164442195785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12.430405860957505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3.4106051316484809E-13</v>
      </c>
      <c r="AJ183" s="13">
        <f>AI183*VLOOKUP('Données projet'!$B$10,Paramètres!$A$1:$I$89,3,0)*VLOOKUP('Données projet'!$B$10,Paramètres!$A$1:$I$89,5,0)</f>
        <v>1.9065282685915009E-13</v>
      </c>
      <c r="AK183" s="13">
        <f t="shared" si="164"/>
        <v>2.6568987209435707E-12</v>
      </c>
      <c r="AL183" s="20">
        <f t="shared" si="165"/>
        <v>4.959485612423072E-12</v>
      </c>
      <c r="AM183" s="59">
        <f t="shared" si="113"/>
        <v>293.33333333333826</v>
      </c>
      <c r="AN183" s="59">
        <f ca="1">AVERAGE(OFFSET($AM$3,0,0,'Données projet'!$E$10+1,1))-AVERAGE(OFFSET($H$3,0,0,'Données projet'!$E$10+1,1))</f>
        <v>347.02720636703873</v>
      </c>
      <c r="AO183" s="59">
        <f t="shared" si="144"/>
        <v>394.03759949558702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22.255127417162146</v>
      </c>
      <c r="AV183" s="21">
        <f>EXP(-LN(2)/25)*AV182+(1-EXP(-LN(2)/25))/(LN(2)/25)*Calculateur!AQ183*Calculateur!AS183*VLOOKUP('Données projet'!$B$10,Paramètres!$A$1:$I$89,3,0)*0.475*44/12</f>
        <v>4.7572038622732515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27.012331279435397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-3.4106051316484809E-13</v>
      </c>
      <c r="BE183" s="13">
        <f>BD183*VLOOKUP('Données projet'!$B$11,Paramètres!$A$1:$I$89,3,0)*VLOOKUP('Données projet'!$B$11,Paramètres!$A$1:$I$89,5,0)</f>
        <v>-2.0395418687257919E-13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378.75660696651238</v>
      </c>
      <c r="BJ183" s="59">
        <f t="shared" si="146"/>
        <v>371.70674704563288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22.015311586699053</v>
      </c>
      <c r="BQ183" s="21">
        <f>EXP(-LN(2)/25)*BQ182+(1-EXP(-LN(2)/25))/(LN(2)/25)*Calculateur!BL183*Calculateur!BN183*VLOOKUP('Données projet'!$B$11,Paramètres!$A$1:$I$89,3,0)*0.475*44/12</f>
        <v>4.5964434787872914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26.611755065486342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5.2666666666666666</v>
      </c>
      <c r="BY183" s="12">
        <f>IF('Données projet'!$A$114&gt;35,BY182+BX183-CG182,IF(A183&lt;'Données projet'!$A$114,$BV$205^A183,IF(A183='Données projet'!$A$114,'Données projet'!$B$114,BY182+BX183-CG182)))</f>
        <v>296.80000000000041</v>
      </c>
      <c r="BZ183" s="13">
        <f>BY183*VLOOKUP('Données projet'!$B$12,Paramètres!$A$1:$I$89,3,0)*VLOOKUP('Données projet'!$B$12,Paramètres!$A$1:$I$89,5,0)</f>
        <v>300.95520000000045</v>
      </c>
      <c r="CA183" s="13">
        <f t="shared" si="170"/>
        <v>71.376673021759856</v>
      </c>
      <c r="CB183" s="20">
        <f t="shared" si="171"/>
        <v>648.47801217956589</v>
      </c>
      <c r="CC183" s="59">
        <f t="shared" si="119"/>
        <v>941.81134551289915</v>
      </c>
      <c r="CD183" s="59">
        <f ca="1">AVERAGE(OFFSET($CC$3,0,0,'Données projet'!$E$12+1,1))-AVERAGE(OFFSET($H$3,0,0,'Données projet'!$E$12+1,1))</f>
        <v>410.75375635525211</v>
      </c>
      <c r="CE183" s="59">
        <f t="shared" si="148"/>
        <v>183.55513001437367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45.180773077108327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45.180773077108327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-2.2737367544323206E-13</v>
      </c>
      <c r="CU183" s="17">
        <f>CT183*VLOOKUP('Données projet'!$B$13,Paramètres!$A$1:$I$89,3,0)*VLOOKUP('Données projet'!$B$13,Paramètres!$A$1:$I$89,5,0)</f>
        <v>-2.0572770154103635E-13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436.12708882925142</v>
      </c>
      <c r="CZ183" s="59">
        <f t="shared" si="150"/>
        <v>217.65884352525285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120.89383095272152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120.89383095272152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3.4106051316484809E-13</v>
      </c>
      <c r="DP183" s="17">
        <f>DO183*VLOOKUP('Données projet'!$B$14,Paramètres!$A$1:$I$89,3,0)*VLOOKUP('Données projet'!$B$14,Paramètres!$A$1:$I$89,5,0)</f>
        <v>3.2455318432766944E-13</v>
      </c>
      <c r="DQ183" s="13">
        <f t="shared" si="176"/>
        <v>4.2513245787534721E-12</v>
      </c>
      <c r="DR183" s="20">
        <f t="shared" si="177"/>
        <v>7.9696537706996534E-12</v>
      </c>
      <c r="DS183" s="59">
        <f t="shared" si="125"/>
        <v>293.33333333334127</v>
      </c>
      <c r="DT183" s="59">
        <f ca="1">AVERAGE(OFFSET($DS$3,0,0,'Données projet'!$E$14+1,1))-AVERAGE(OFFSET($H$3,0,0,'Données projet'!$E$14+1,1))</f>
        <v>735.50267870886194</v>
      </c>
      <c r="DU183" s="59">
        <f t="shared" si="152"/>
        <v>525.80345400853275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58.728760657003185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58.728760657003185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5.2666666666666666</v>
      </c>
      <c r="EJ183" s="12">
        <f>IF('Données projet'!$A$192&gt;35,EJ182+EI183-ER182,IF(A183&lt;'Données projet'!$A$192,$EG$205^A183,IF(A183='Données projet'!$A$192,'Données projet'!$B$192,EJ182+EI183-ER182)))</f>
        <v>296.80000000000041</v>
      </c>
      <c r="EK183" s="17">
        <f>EJ183*VLOOKUP('Données projet'!$B$15,Paramètres!$A$1:$I$89,3,0)*VLOOKUP('Données projet'!$B$15,Paramètres!$A$1:$I$89,5,0)</f>
        <v>189.83328000000026</v>
      </c>
      <c r="EL183" s="13">
        <f t="shared" si="179"/>
        <v>47.503091543366551</v>
      </c>
      <c r="EM183" s="20">
        <f t="shared" si="180"/>
        <v>413.36084710469714</v>
      </c>
      <c r="EN183" s="59">
        <f t="shared" si="128"/>
        <v>706.69418043803046</v>
      </c>
      <c r="EO183" s="59">
        <f ca="1">AVERAGE(OFFSET($EN$3,0,0,'Données projet'!$E$15+1,1))-AVERAGE(OFFSET($H$3,0,0,'Données projet'!$E$15+1,1))</f>
        <v>274.14900959323484</v>
      </c>
      <c r="EP183" s="59">
        <f t="shared" si="154"/>
        <v>130.44590390921582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28.498641479406778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28.498641479406778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-2.2737367544323206E-13</v>
      </c>
      <c r="FF183" s="17">
        <f>FE183*VLOOKUP('Données projet'!$B$16,Paramètres!$A$1:$I$89,3,0)*VLOOKUP('Données projet'!$B$16,Paramètres!$A$1:$I$89,5,0)</f>
        <v>-1.3596945791505279E-13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405.42845699663462</v>
      </c>
      <c r="FK183" s="59">
        <f t="shared" si="156"/>
        <v>292.26503163353146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32.732529632727982</v>
      </c>
      <c r="FR183" s="21">
        <f>EXP(-LN(2)/25)*FR182+(1-EXP(-LN(2)/25))/(LN(2)/25)*Calculateur!FM183*Calculateur!FO183*VLOOKUP('Données projet'!$B$16,Paramètres!$A$1:$I$89,3,0)*0.475*44/12</f>
        <v>7.0887429275112526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39.821272560239237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-2.2737367544323206E-13</v>
      </c>
      <c r="GA183" s="17">
        <f>FZ183*VLOOKUP('Données projet'!$B$17,Paramètres!$A$1:$I$89,3,0)*VLOOKUP('Données projet'!$B$17,Paramètres!$A$1:$I$89,5,0)</f>
        <v>-1.3596945791505279E-13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405.42845699663462</v>
      </c>
      <c r="GF183" s="59">
        <f t="shared" si="158"/>
        <v>292.26503163353146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32.732529632727982</v>
      </c>
      <c r="GM183" s="21">
        <f>EXP(-LN(2)/25)*GM182+(1-EXP(-LN(2)/25))/(LN(2)/25)*Calculateur!GH183*Calculateur!GJ183*VLOOKUP('Données projet'!$B$17,Paramètres!$A$1:$I$89,3,0)*0.475*44/12</f>
        <v>7.0887429275112526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39.821272560239237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-5.3205440053716299E-14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198.26255998041</v>
      </c>
      <c r="T184" s="59">
        <f t="shared" si="142"/>
        <v>238.62101708181166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9.9953189530230429</v>
      </c>
      <c r="AA184" s="21">
        <f>EXP(-LN(2)/25)*AA183+(1-EXP(-LN(2)/25))/(LN(2)/25)*Calculateur!V184*Calculateur!X184*VLOOKUP('Données projet'!$B$9,Paramètres!$A$1:$I$89,3,0)*0.475*44/12</f>
        <v>2.1740437529817518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12.169362706004794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3.4106051316484809E-13</v>
      </c>
      <c r="AJ184" s="13">
        <f>AI184*VLOOKUP('Données projet'!$B$10,Paramètres!$A$1:$I$89,3,0)*VLOOKUP('Données projet'!$B$10,Paramètres!$A$1:$I$89,5,0)</f>
        <v>1.9065282685915009E-13</v>
      </c>
      <c r="AK184" s="13">
        <f t="shared" si="164"/>
        <v>2.6568987209435707E-12</v>
      </c>
      <c r="AL184" s="20">
        <f t="shared" si="165"/>
        <v>4.959485612423072E-12</v>
      </c>
      <c r="AM184" s="59">
        <f t="shared" si="113"/>
        <v>293.33333333333826</v>
      </c>
      <c r="AN184" s="59">
        <f ca="1">AVERAGE(OFFSET($AM$3,0,0,'Données projet'!$E$10+1,1))-AVERAGE(OFFSET($H$3,0,0,'Données projet'!$E$10+1,1))</f>
        <v>347.02720636703873</v>
      </c>
      <c r="AO184" s="59">
        <f t="shared" si="144"/>
        <v>394.03759949558702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21.818717942798973</v>
      </c>
      <c r="AV184" s="21">
        <f>EXP(-LN(2)/25)*AV183+(1-EXP(-LN(2)/25))/(LN(2)/25)*Calculateur!AQ184*Calculateur!AS184*VLOOKUP('Données projet'!$B$10,Paramètres!$A$1:$I$89,3,0)*0.475*44/12</f>
        <v>4.6271178724889115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26.445835815287886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-3.4106051316484809E-13</v>
      </c>
      <c r="BE184" s="13">
        <f>BD184*VLOOKUP('Données projet'!$B$11,Paramètres!$A$1:$I$89,3,0)*VLOOKUP('Données projet'!$B$11,Paramètres!$A$1:$I$89,5,0)</f>
        <v>-2.0395418687257919E-13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378.75660696651238</v>
      </c>
      <c r="BJ184" s="59">
        <f t="shared" si="146"/>
        <v>371.70674704563288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21.583604754498047</v>
      </c>
      <c r="BQ184" s="21">
        <f>EXP(-LN(2)/25)*BQ183+(1-EXP(-LN(2)/25))/(LN(2)/25)*Calculateur!BL184*Calculateur!BN184*VLOOKUP('Données projet'!$B$11,Paramètres!$A$1:$I$89,3,0)*0.475*44/12</f>
        <v>4.4707534901433954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26.054358244641442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5.2666666666666666</v>
      </c>
      <c r="BY184" s="12">
        <f>IF('Données projet'!$A$114&gt;35,BY183+BX184-CG183,IF(A184&lt;'Données projet'!$A$114,$BV$205^A184,IF(A184='Données projet'!$A$114,'Données projet'!$B$114,BY183+BX184-CG183)))</f>
        <v>302.06666666666706</v>
      </c>
      <c r="BZ184" s="13">
        <f>BY184*VLOOKUP('Données projet'!$B$12,Paramètres!$A$1:$I$89,3,0)*VLOOKUP('Données projet'!$B$12,Paramètres!$A$1:$I$89,5,0)</f>
        <v>306.29560000000043</v>
      </c>
      <c r="CA184" s="13">
        <f t="shared" si="170"/>
        <v>72.494663570054158</v>
      </c>
      <c r="CB184" s="20">
        <f t="shared" si="171"/>
        <v>659.72637571784514</v>
      </c>
      <c r="CC184" s="59">
        <f t="shared" si="119"/>
        <v>953.05970905117852</v>
      </c>
      <c r="CD184" s="59">
        <f ca="1">AVERAGE(OFFSET($CC$3,0,0,'Données projet'!$E$12+1,1))-AVERAGE(OFFSET($H$3,0,0,'Données projet'!$E$12+1,1))</f>
        <v>410.75375635525211</v>
      </c>
      <c r="CE184" s="59">
        <f t="shared" si="148"/>
        <v>183.55513001437367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44.294805674616725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44.294805674616725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-2.2737367544323206E-13</v>
      </c>
      <c r="CU184" s="17">
        <f>CT184*VLOOKUP('Données projet'!$B$13,Paramètres!$A$1:$I$89,3,0)*VLOOKUP('Données projet'!$B$13,Paramètres!$A$1:$I$89,5,0)</f>
        <v>-2.0572770154103635E-13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436.12708882925142</v>
      </c>
      <c r="CZ184" s="59">
        <f t="shared" si="150"/>
        <v>217.65884352525285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118.52317666569451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118.52317666569451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3.4106051316484809E-13</v>
      </c>
      <c r="DP184" s="17">
        <f>DO184*VLOOKUP('Données projet'!$B$14,Paramètres!$A$1:$I$89,3,0)*VLOOKUP('Données projet'!$B$14,Paramètres!$A$1:$I$89,5,0)</f>
        <v>3.2455318432766944E-13</v>
      </c>
      <c r="DQ184" s="13">
        <f t="shared" si="176"/>
        <v>4.2513245787534721E-12</v>
      </c>
      <c r="DR184" s="20">
        <f t="shared" si="177"/>
        <v>7.9696537706996534E-12</v>
      </c>
      <c r="DS184" s="59">
        <f t="shared" si="125"/>
        <v>293.33333333334127</v>
      </c>
      <c r="DT184" s="59">
        <f ca="1">AVERAGE(OFFSET($DS$3,0,0,'Données projet'!$E$14+1,1))-AVERAGE(OFFSET($H$3,0,0,'Données projet'!$E$14+1,1))</f>
        <v>735.50267870886194</v>
      </c>
      <c r="DU184" s="59">
        <f t="shared" si="152"/>
        <v>525.80345400853275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57.577125481526323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57.577125481526323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5.2666666666666666</v>
      </c>
      <c r="EJ184" s="12">
        <f>IF('Données projet'!$A$192&gt;35,EJ183+EI184-ER183,IF(A184&lt;'Données projet'!$A$192,$EG$205^A184,IF(A184='Données projet'!$A$192,'Données projet'!$B$192,EJ183+EI184-ER183)))</f>
        <v>302.06666666666706</v>
      </c>
      <c r="EK184" s="17">
        <f>EJ184*VLOOKUP('Données projet'!$B$15,Paramètres!$A$1:$I$89,3,0)*VLOOKUP('Données projet'!$B$15,Paramètres!$A$1:$I$89,5,0)</f>
        <v>193.20184000000023</v>
      </c>
      <c r="EL184" s="13">
        <f t="shared" si="179"/>
        <v>48.24714425851699</v>
      </c>
      <c r="EM184" s="20">
        <f t="shared" si="180"/>
        <v>420.52364758358414</v>
      </c>
      <c r="EN184" s="59">
        <f t="shared" si="128"/>
        <v>713.85698091691745</v>
      </c>
      <c r="EO184" s="59">
        <f ca="1">AVERAGE(OFFSET($EN$3,0,0,'Données projet'!$E$15+1,1))-AVERAGE(OFFSET($H$3,0,0,'Données projet'!$E$15+1,1))</f>
        <v>274.14900959323484</v>
      </c>
      <c r="EP184" s="59">
        <f t="shared" si="154"/>
        <v>130.44590390921582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27.939800502450538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27.939800502450538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-2.2737367544323206E-13</v>
      </c>
      <c r="FF184" s="17">
        <f>FE184*VLOOKUP('Données projet'!$B$16,Paramètres!$A$1:$I$89,3,0)*VLOOKUP('Données projet'!$B$16,Paramètres!$A$1:$I$89,5,0)</f>
        <v>-1.3596945791505279E-13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405.42845699663462</v>
      </c>
      <c r="FK184" s="59">
        <f t="shared" si="156"/>
        <v>292.26503163353146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32.090664691501892</v>
      </c>
      <c r="FR184" s="21">
        <f>EXP(-LN(2)/25)*FR183+(1-EXP(-LN(2)/25))/(LN(2)/25)*Calculateur!FM184*Calculateur!FO184*VLOOKUP('Données projet'!$B$16,Paramètres!$A$1:$I$89,3,0)*0.475*44/12</f>
        <v>6.8949008793776683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38.985565570879558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-2.2737367544323206E-13</v>
      </c>
      <c r="GA184" s="17">
        <f>FZ184*VLOOKUP('Données projet'!$B$17,Paramètres!$A$1:$I$89,3,0)*VLOOKUP('Données projet'!$B$17,Paramètres!$A$1:$I$89,5,0)</f>
        <v>-1.3596945791505279E-13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405.42845699663462</v>
      </c>
      <c r="GF184" s="59">
        <f t="shared" si="158"/>
        <v>292.26503163353146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32.090664691501892</v>
      </c>
      <c r="GM184" s="21">
        <f>EXP(-LN(2)/25)*GM183+(1-EXP(-LN(2)/25))/(LN(2)/25)*Calculateur!GH184*Calculateur!GJ184*VLOOKUP('Données projet'!$B$17,Paramètres!$A$1:$I$89,3,0)*0.475*44/12</f>
        <v>6.8949008793776683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38.985565570879558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-5.3205440053716299E-14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198.26255998041</v>
      </c>
      <c r="T185" s="59">
        <f t="shared" si="142"/>
        <v>238.62101708181166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9.799316844896838</v>
      </c>
      <c r="AA185" s="21">
        <f>EXP(-LN(2)/25)*AA184+(1-EXP(-LN(2)/25))/(LN(2)/25)*Calculateur!V185*Calculateur!X185*VLOOKUP('Données projet'!$B$9,Paramètres!$A$1:$I$89,3,0)*0.475*44/12</f>
        <v>2.1145944122284734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11.913911257125312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3.4106051316484809E-13</v>
      </c>
      <c r="AJ185" s="13">
        <f>AI185*VLOOKUP('Données projet'!$B$10,Paramètres!$A$1:$I$89,3,0)*VLOOKUP('Données projet'!$B$10,Paramètres!$A$1:$I$89,5,0)</f>
        <v>1.9065282685915009E-13</v>
      </c>
      <c r="AK185" s="13">
        <f t="shared" si="164"/>
        <v>2.6568987209435707E-12</v>
      </c>
      <c r="AL185" s="20">
        <f t="shared" si="165"/>
        <v>4.959485612423072E-12</v>
      </c>
      <c r="AM185" s="59">
        <f t="shared" si="113"/>
        <v>293.33333333333826</v>
      </c>
      <c r="AN185" s="59">
        <f ca="1">AVERAGE(OFFSET($AM$3,0,0,'Données projet'!$E$10+1,1))-AVERAGE(OFFSET($H$3,0,0,'Données projet'!$E$10+1,1))</f>
        <v>347.02720636703873</v>
      </c>
      <c r="AO185" s="59">
        <f t="shared" si="144"/>
        <v>394.03759949558702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21.390866192044562</v>
      </c>
      <c r="AV185" s="21">
        <f>EXP(-LN(2)/25)*AV184+(1-EXP(-LN(2)/25))/(LN(2)/25)*Calculateur!AQ185*Calculateur!AS185*VLOOKUP('Données projet'!$B$10,Paramètres!$A$1:$I$89,3,0)*0.475*44/12</f>
        <v>4.500589090936149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25.891455282980711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-3.4106051316484809E-13</v>
      </c>
      <c r="BE185" s="13">
        <f>BD185*VLOOKUP('Données projet'!$B$11,Paramètres!$A$1:$I$89,3,0)*VLOOKUP('Données projet'!$B$11,Paramètres!$A$1:$I$89,5,0)</f>
        <v>-2.0395418687257919E-13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378.75660696651238</v>
      </c>
      <c r="BJ185" s="59">
        <f t="shared" si="146"/>
        <v>371.70674704563288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21.160363429961336</v>
      </c>
      <c r="BQ185" s="21">
        <f>EXP(-LN(2)/25)*BQ184+(1-EXP(-LN(2)/25))/(LN(2)/25)*Calculateur!BL185*Calculateur!BN185*VLOOKUP('Données projet'!$B$11,Paramètres!$A$1:$I$89,3,0)*0.475*44/12</f>
        <v>4.3485005008487159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25.508863930810051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5.2666666666666666</v>
      </c>
      <c r="BY185" s="12">
        <f>IF('Données projet'!$A$114&gt;35,BY184+BX185-CG184,IF(A185&lt;'Données projet'!$A$114,$BV$205^A185,IF(A185='Données projet'!$A$114,'Données projet'!$B$114,BY184+BX185-CG184)))</f>
        <v>307.33333333333371</v>
      </c>
      <c r="BZ185" s="13">
        <f>BY185*VLOOKUP('Données projet'!$B$12,Paramètres!$A$1:$I$89,3,0)*VLOOKUP('Données projet'!$B$12,Paramètres!$A$1:$I$89,5,0)</f>
        <v>311.63600000000037</v>
      </c>
      <c r="CA185" s="13">
        <f t="shared" si="170"/>
        <v>73.610387351868283</v>
      </c>
      <c r="CB185" s="20">
        <f t="shared" si="171"/>
        <v>670.97079130450447</v>
      </c>
      <c r="CC185" s="59">
        <f t="shared" si="119"/>
        <v>964.30412463783773</v>
      </c>
      <c r="CD185" s="59">
        <f ca="1">AVERAGE(OFFSET($CC$3,0,0,'Données projet'!$E$12+1,1))-AVERAGE(OFFSET($H$3,0,0,'Données projet'!$E$12+1,1))</f>
        <v>410.75375635525211</v>
      </c>
      <c r="CE185" s="59">
        <f t="shared" si="148"/>
        <v>183.55513001437367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43.426211552501229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43.426211552501229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-2.2737367544323206E-13</v>
      </c>
      <c r="CU185" s="17">
        <f>CT185*VLOOKUP('Données projet'!$B$13,Paramètres!$A$1:$I$89,3,0)*VLOOKUP('Données projet'!$B$13,Paramètres!$A$1:$I$89,5,0)</f>
        <v>-2.0572770154103635E-13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436.12708882925142</v>
      </c>
      <c r="CZ185" s="59">
        <f t="shared" si="150"/>
        <v>217.65884352525285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116.19900946327976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116.19900946327976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3.4106051316484809E-13</v>
      </c>
      <c r="DP185" s="17">
        <f>DO185*VLOOKUP('Données projet'!$B$14,Paramètres!$A$1:$I$89,3,0)*VLOOKUP('Données projet'!$B$14,Paramètres!$A$1:$I$89,5,0)</f>
        <v>3.2455318432766944E-13</v>
      </c>
      <c r="DQ185" s="13">
        <f t="shared" si="176"/>
        <v>4.2513245787534721E-12</v>
      </c>
      <c r="DR185" s="20">
        <f t="shared" si="177"/>
        <v>7.9696537706996534E-12</v>
      </c>
      <c r="DS185" s="59">
        <f t="shared" si="125"/>
        <v>293.33333333334127</v>
      </c>
      <c r="DT185" s="59">
        <f ca="1">AVERAGE(OFFSET($DS$3,0,0,'Données projet'!$E$14+1,1))-AVERAGE(OFFSET($H$3,0,0,'Données projet'!$E$14+1,1))</f>
        <v>735.50267870886194</v>
      </c>
      <c r="DU185" s="59">
        <f t="shared" si="152"/>
        <v>525.80345400853275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56.448073169412467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56.448073169412467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5.2666666666666666</v>
      </c>
      <c r="EJ185" s="12">
        <f>IF('Données projet'!$A$192&gt;35,EJ184+EI185-ER184,IF(A185&lt;'Données projet'!$A$192,$EG$205^A185,IF(A185='Données projet'!$A$192,'Données projet'!$B$192,EJ184+EI185-ER184)))</f>
        <v>307.33333333333371</v>
      </c>
      <c r="EK185" s="17">
        <f>EJ185*VLOOKUP('Données projet'!$B$15,Paramètres!$A$1:$I$89,3,0)*VLOOKUP('Données projet'!$B$15,Paramètres!$A$1:$I$89,5,0)</f>
        <v>196.57040000000023</v>
      </c>
      <c r="EL185" s="13">
        <f t="shared" si="179"/>
        <v>48.989688379738041</v>
      </c>
      <c r="EM185" s="20">
        <f t="shared" si="180"/>
        <v>427.68382059471082</v>
      </c>
      <c r="EN185" s="59">
        <f t="shared" si="128"/>
        <v>721.01715392804408</v>
      </c>
      <c r="EO185" s="59">
        <f ca="1">AVERAGE(OFFSET($EN$3,0,0,'Données projet'!$E$15+1,1))-AVERAGE(OFFSET($H$3,0,0,'Données projet'!$E$15+1,1))</f>
        <v>274.14900959323484</v>
      </c>
      <c r="EP185" s="59">
        <f t="shared" si="154"/>
        <v>130.44590390921582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27.39191805619307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27.39191805619307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-2.2737367544323206E-13</v>
      </c>
      <c r="FF185" s="17">
        <f>FE185*VLOOKUP('Données projet'!$B$16,Paramètres!$A$1:$I$89,3,0)*VLOOKUP('Données projet'!$B$16,Paramètres!$A$1:$I$89,5,0)</f>
        <v>-1.3596945791505279E-13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405.42845699663462</v>
      </c>
      <c r="FK185" s="59">
        <f t="shared" si="156"/>
        <v>292.26503163353146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31.461386330274291</v>
      </c>
      <c r="FR185" s="21">
        <f>EXP(-LN(2)/25)*FR184+(1-EXP(-LN(2)/25))/(LN(2)/25)*Calculateur!FM185*Calculateur!FO185*VLOOKUP('Données projet'!$B$16,Paramètres!$A$1:$I$89,3,0)*0.475*44/12</f>
        <v>6.7063594522440075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38.167745782518296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-2.2737367544323206E-13</v>
      </c>
      <c r="GA185" s="17">
        <f>FZ185*VLOOKUP('Données projet'!$B$17,Paramètres!$A$1:$I$89,3,0)*VLOOKUP('Données projet'!$B$17,Paramètres!$A$1:$I$89,5,0)</f>
        <v>-1.3596945791505279E-13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405.42845699663462</v>
      </c>
      <c r="GF185" s="59">
        <f t="shared" si="158"/>
        <v>292.26503163353146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31.461386330274291</v>
      </c>
      <c r="GM185" s="21">
        <f>EXP(-LN(2)/25)*GM184+(1-EXP(-LN(2)/25))/(LN(2)/25)*Calculateur!GH185*Calculateur!GJ185*VLOOKUP('Données projet'!$B$17,Paramètres!$A$1:$I$89,3,0)*0.475*44/12</f>
        <v>6.7063594522440075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38.167745782518296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-5.3205440053716299E-14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198.26255998041</v>
      </c>
      <c r="T186" s="59">
        <f t="shared" si="142"/>
        <v>238.62101708181166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9.6071582185615068</v>
      </c>
      <c r="AA186" s="21">
        <f>EXP(-LN(2)/25)*AA185+(1-EXP(-LN(2)/25))/(LN(2)/25)*Calculateur!V186*Calculateur!X186*VLOOKUP('Données projet'!$B$9,Paramètres!$A$1:$I$89,3,0)*0.475*44/12</f>
        <v>2.0567707168243987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11.663928935385906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3.4106051316484809E-13</v>
      </c>
      <c r="AJ186" s="13">
        <f>AI186*VLOOKUP('Données projet'!$B$10,Paramètres!$A$1:$I$89,3,0)*VLOOKUP('Données projet'!$B$10,Paramètres!$A$1:$I$89,5,0)</f>
        <v>1.9065282685915009E-13</v>
      </c>
      <c r="AK186" s="13">
        <f t="shared" si="164"/>
        <v>2.6568987209435707E-12</v>
      </c>
      <c r="AL186" s="20">
        <f t="shared" si="165"/>
        <v>4.959485612423072E-12</v>
      </c>
      <c r="AM186" s="59">
        <f t="shared" si="113"/>
        <v>293.33333333333826</v>
      </c>
      <c r="AN186" s="59">
        <f ca="1">AVERAGE(OFFSET($AM$3,0,0,'Données projet'!$E$10+1,1))-AVERAGE(OFFSET($H$3,0,0,'Données projet'!$E$10+1,1))</f>
        <v>347.02720636703873</v>
      </c>
      <c r="AO186" s="59">
        <f t="shared" si="144"/>
        <v>394.03759949558702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20.971404353158647</v>
      </c>
      <c r="AV186" s="21">
        <f>EXP(-LN(2)/25)*AV185+(1-EXP(-LN(2)/25))/(LN(2)/25)*Calculateur!AQ186*Calculateur!AS186*VLOOKUP('Données projet'!$B$10,Paramètres!$A$1:$I$89,3,0)*0.475*44/12</f>
        <v>4.3775202455688058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25.348924598727454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-3.4106051316484809E-13</v>
      </c>
      <c r="BE186" s="13">
        <f>BD186*VLOOKUP('Données projet'!$B$11,Paramètres!$A$1:$I$89,3,0)*VLOOKUP('Données projet'!$B$11,Paramètres!$A$1:$I$89,5,0)</f>
        <v>-2.0395418687257919E-13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378.75660696651238</v>
      </c>
      <c r="BJ186" s="59">
        <f t="shared" si="146"/>
        <v>371.70674704563288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20.745421609647071</v>
      </c>
      <c r="BQ186" s="21">
        <f>EXP(-LN(2)/25)*BQ185+(1-EXP(-LN(2)/25))/(LN(2)/25)*Calculateur!BL186*Calculateur!BN186*VLOOKUP('Données projet'!$B$11,Paramètres!$A$1:$I$89,3,0)*0.475*44/12</f>
        <v>4.229590525975305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24.975012135622375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5.2666666666666666</v>
      </c>
      <c r="BY186" s="12">
        <f>IF('Données projet'!$A$114&gt;35,BY185+BX186-CG185,IF(A186&lt;'Données projet'!$A$114,$BV$205^A186,IF(A186='Données projet'!$A$114,'Données projet'!$B$114,BY185+BX186-CG185)))</f>
        <v>312.60000000000036</v>
      </c>
      <c r="BZ186" s="13">
        <f>BY186*VLOOKUP('Données projet'!$B$12,Paramètres!$A$1:$I$89,3,0)*VLOOKUP('Données projet'!$B$12,Paramètres!$A$1:$I$89,5,0)</f>
        <v>316.97640000000041</v>
      </c>
      <c r="CA186" s="13">
        <f t="shared" si="170"/>
        <v>74.723887694594069</v>
      </c>
      <c r="CB186" s="20">
        <f t="shared" si="171"/>
        <v>682.21133440141864</v>
      </c>
      <c r="CC186" s="59">
        <f t="shared" si="119"/>
        <v>975.54466773475201</v>
      </c>
      <c r="CD186" s="59">
        <f ca="1">AVERAGE(OFFSET($CC$3,0,0,'Données projet'!$E$12+1,1))-AVERAGE(OFFSET($H$3,0,0,'Données projet'!$E$12+1,1))</f>
        <v>410.75375635525211</v>
      </c>
      <c r="CE186" s="59">
        <f t="shared" si="148"/>
        <v>183.55513001437367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42.574650031330314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42.574650031330314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-2.2737367544323206E-13</v>
      </c>
      <c r="CU186" s="17">
        <f>CT186*VLOOKUP('Données projet'!$B$13,Paramètres!$A$1:$I$89,3,0)*VLOOKUP('Données projet'!$B$13,Paramètres!$A$1:$I$89,5,0)</f>
        <v>-2.0572770154103635E-13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436.12708882925142</v>
      </c>
      <c r="CZ186" s="59">
        <f t="shared" si="150"/>
        <v>217.65884352525285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113.92041776210236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113.92041776210236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3.4106051316484809E-13</v>
      </c>
      <c r="DP186" s="17">
        <f>DO186*VLOOKUP('Données projet'!$B$14,Paramètres!$A$1:$I$89,3,0)*VLOOKUP('Données projet'!$B$14,Paramètres!$A$1:$I$89,5,0)</f>
        <v>3.2455318432766944E-13</v>
      </c>
      <c r="DQ186" s="13">
        <f t="shared" si="176"/>
        <v>4.2513245787534721E-12</v>
      </c>
      <c r="DR186" s="20">
        <f t="shared" si="177"/>
        <v>7.9696537706996534E-12</v>
      </c>
      <c r="DS186" s="59">
        <f t="shared" si="125"/>
        <v>293.33333333334127</v>
      </c>
      <c r="DT186" s="59">
        <f ca="1">AVERAGE(OFFSET($DS$3,0,0,'Données projet'!$E$14+1,1))-AVERAGE(OFFSET($H$3,0,0,'Données projet'!$E$14+1,1))</f>
        <v>735.50267870886194</v>
      </c>
      <c r="DU186" s="59">
        <f t="shared" si="152"/>
        <v>525.80345400853275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55.341160884485248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55.341160884485248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5.2666666666666666</v>
      </c>
      <c r="EJ186" s="12">
        <f>IF('Données projet'!$A$192&gt;35,EJ185+EI186-ER185,IF(A186&lt;'Données projet'!$A$192,$EG$205^A186,IF(A186='Données projet'!$A$192,'Données projet'!$B$192,EJ185+EI186-ER185)))</f>
        <v>312.60000000000036</v>
      </c>
      <c r="EK186" s="17">
        <f>EJ186*VLOOKUP('Données projet'!$B$15,Paramètres!$A$1:$I$89,3,0)*VLOOKUP('Données projet'!$B$15,Paramètres!$A$1:$I$89,5,0)</f>
        <v>199.93896000000024</v>
      </c>
      <c r="EL186" s="13">
        <f t="shared" si="179"/>
        <v>49.73075274257193</v>
      </c>
      <c r="EM186" s="20">
        <f t="shared" si="180"/>
        <v>434.84141635997986</v>
      </c>
      <c r="EN186" s="59">
        <f t="shared" si="128"/>
        <v>728.17474969331317</v>
      </c>
      <c r="EO186" s="59">
        <f ca="1">AVERAGE(OFFSET($EN$3,0,0,'Données projet'!$E$15+1,1))-AVERAGE(OFFSET($H$3,0,0,'Données projet'!$E$15+1,1))</f>
        <v>274.14900959323484</v>
      </c>
      <c r="EP186" s="59">
        <f t="shared" si="154"/>
        <v>130.44590390921582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26.854779250531418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26.854779250531418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-2.2737367544323206E-13</v>
      </c>
      <c r="FF186" s="17">
        <f>FE186*VLOOKUP('Données projet'!$B$16,Paramètres!$A$1:$I$89,3,0)*VLOOKUP('Données projet'!$B$16,Paramètres!$A$1:$I$89,5,0)</f>
        <v>-1.3596945791505279E-13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405.42845699663462</v>
      </c>
      <c r="FK186" s="59">
        <f t="shared" si="156"/>
        <v>292.26503163353146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30.844447733888462</v>
      </c>
      <c r="FR186" s="21">
        <f>EXP(-LN(2)/25)*FR185+(1-EXP(-LN(2)/25))/(LN(2)/25)*Calculateur!FM186*Calculateur!FO186*VLOOKUP('Données projet'!$B$16,Paramètres!$A$1:$I$89,3,0)*0.475*44/12</f>
        <v>6.5229737003502795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37.367421434238743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-2.2737367544323206E-13</v>
      </c>
      <c r="GA186" s="17">
        <f>FZ186*VLOOKUP('Données projet'!$B$17,Paramètres!$A$1:$I$89,3,0)*VLOOKUP('Données projet'!$B$17,Paramètres!$A$1:$I$89,5,0)</f>
        <v>-1.3596945791505279E-13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405.42845699663462</v>
      </c>
      <c r="GF186" s="59">
        <f t="shared" si="158"/>
        <v>292.26503163353146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30.844447733888462</v>
      </c>
      <c r="GM186" s="21">
        <f>EXP(-LN(2)/25)*GM185+(1-EXP(-LN(2)/25))/(LN(2)/25)*Calculateur!GH186*Calculateur!GJ186*VLOOKUP('Données projet'!$B$17,Paramètres!$A$1:$I$89,3,0)*0.475*44/12</f>
        <v>6.5229737003502795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37.367421434238743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-5.3205440053716299E-14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198.26255998041</v>
      </c>
      <c r="T187" s="59">
        <f t="shared" si="142"/>
        <v>238.62101708181166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9.4187677056834236</v>
      </c>
      <c r="AA187" s="21">
        <f>EXP(-LN(2)/25)*AA186+(1-EXP(-LN(2)/25))/(LN(2)/25)*Calculateur!V187*Calculateur!X187*VLOOKUP('Données projet'!$B$9,Paramètres!$A$1:$I$89,3,0)*0.475*44/12</f>
        <v>2.0005282134119642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11.419295919095388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3.4106051316484809E-13</v>
      </c>
      <c r="AJ187" s="13">
        <f>AI187*VLOOKUP('Données projet'!$B$10,Paramètres!$A$1:$I$89,3,0)*VLOOKUP('Données projet'!$B$10,Paramètres!$A$1:$I$89,5,0)</f>
        <v>1.9065282685915009E-13</v>
      </c>
      <c r="AK187" s="13">
        <f t="shared" si="164"/>
        <v>2.6568987209435707E-12</v>
      </c>
      <c r="AL187" s="20">
        <f t="shared" si="165"/>
        <v>4.959485612423072E-12</v>
      </c>
      <c r="AM187" s="59">
        <f t="shared" si="113"/>
        <v>293.33333333333826</v>
      </c>
      <c r="AN187" s="59">
        <f ca="1">AVERAGE(OFFSET($AM$3,0,0,'Données projet'!$E$10+1,1))-AVERAGE(OFFSET($H$3,0,0,'Données projet'!$E$10+1,1))</f>
        <v>347.02720636703873</v>
      </c>
      <c r="AO187" s="59">
        <f t="shared" si="144"/>
        <v>394.03759949558702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20.560167905086825</v>
      </c>
      <c r="AV187" s="21">
        <f>EXP(-LN(2)/25)*AV186+(1-EXP(-LN(2)/25))/(LN(2)/25)*Calculateur!AQ187*Calculateur!AS187*VLOOKUP('Données projet'!$B$10,Paramètres!$A$1:$I$89,3,0)*0.475*44/12</f>
        <v>4.2578167242499418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24.817984629336767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-3.4106051316484809E-13</v>
      </c>
      <c r="BE187" s="13">
        <f>BD187*VLOOKUP('Données projet'!$B$11,Paramètres!$A$1:$I$89,3,0)*VLOOKUP('Données projet'!$B$11,Paramètres!$A$1:$I$89,5,0)</f>
        <v>-2.0395418687257919E-13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378.75660696651238</v>
      </c>
      <c r="BJ187" s="59">
        <f t="shared" si="146"/>
        <v>371.70674704563288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20.338616545339647</v>
      </c>
      <c r="BQ187" s="21">
        <f>EXP(-LN(2)/25)*BQ186+(1-EXP(-LN(2)/25))/(LN(2)/25)*Calculateur!BL187*Calculateur!BN187*VLOOKUP('Données projet'!$B$11,Paramètres!$A$1:$I$89,3,0)*0.475*44/12</f>
        <v>4.1139321506180115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24.45254869595766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5.2666666666666666</v>
      </c>
      <c r="BY187" s="12">
        <f>IF('Données projet'!$A$114&gt;35,BY186+BX187-CG186,IF(A187&lt;'Données projet'!$A$114,$BV$205^A187,IF(A187='Données projet'!$A$114,'Données projet'!$B$114,BY186+BX187-CG186)))</f>
        <v>317.86666666666702</v>
      </c>
      <c r="BZ187" s="13">
        <f>BY187*VLOOKUP('Données projet'!$B$12,Paramètres!$A$1:$I$89,3,0)*VLOOKUP('Données projet'!$B$12,Paramètres!$A$1:$I$89,5,0)</f>
        <v>322.3168000000004</v>
      </c>
      <c r="CA187" s="13">
        <f t="shared" si="170"/>
        <v>75.835206381994823</v>
      </c>
      <c r="CB187" s="20">
        <f t="shared" si="171"/>
        <v>693.44807778197492</v>
      </c>
      <c r="CC187" s="59">
        <f t="shared" si="119"/>
        <v>986.78141111530817</v>
      </c>
      <c r="CD187" s="59">
        <f ca="1">AVERAGE(OFFSET($CC$3,0,0,'Données projet'!$E$12+1,1))-AVERAGE(OFFSET($H$3,0,0,'Données projet'!$E$12+1,1))</f>
        <v>410.75375635525211</v>
      </c>
      <c r="CE187" s="59">
        <f t="shared" si="148"/>
        <v>183.55513001437367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41.739787112188324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41.739787112188324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-2.2737367544323206E-13</v>
      </c>
      <c r="CU187" s="17">
        <f>CT187*VLOOKUP('Données projet'!$B$13,Paramètres!$A$1:$I$89,3,0)*VLOOKUP('Données projet'!$B$13,Paramètres!$A$1:$I$89,5,0)</f>
        <v>-2.0572770154103635E-13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436.12708882925142</v>
      </c>
      <c r="CZ187" s="59">
        <f t="shared" si="150"/>
        <v>217.65884352525285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111.68650785438133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111.68650785438133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3.4106051316484809E-13</v>
      </c>
      <c r="DP187" s="17">
        <f>DO187*VLOOKUP('Données projet'!$B$14,Paramètres!$A$1:$I$89,3,0)*VLOOKUP('Données projet'!$B$14,Paramètres!$A$1:$I$89,5,0)</f>
        <v>3.2455318432766944E-13</v>
      </c>
      <c r="DQ187" s="13">
        <f t="shared" si="176"/>
        <v>4.2513245787534721E-12</v>
      </c>
      <c r="DR187" s="20">
        <f t="shared" si="177"/>
        <v>7.9696537706996534E-12</v>
      </c>
      <c r="DS187" s="59">
        <f t="shared" si="125"/>
        <v>293.33333333334127</v>
      </c>
      <c r="DT187" s="59">
        <f ca="1">AVERAGE(OFFSET($DS$3,0,0,'Données projet'!$E$14+1,1))-AVERAGE(OFFSET($H$3,0,0,'Données projet'!$E$14+1,1))</f>
        <v>735.50267870886194</v>
      </c>
      <c r="DU187" s="59">
        <f t="shared" si="152"/>
        <v>525.80345400853275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54.255954474315622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54.255954474315622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5.2666666666666666</v>
      </c>
      <c r="EJ187" s="12">
        <f>IF('Données projet'!$A$192&gt;35,EJ186+EI187-ER186,IF(A187&lt;'Données projet'!$A$192,$EG$205^A187,IF(A187='Données projet'!$A$192,'Données projet'!$B$192,EJ186+EI187-ER186)))</f>
        <v>317.86666666666702</v>
      </c>
      <c r="EK187" s="17">
        <f>EJ187*VLOOKUP('Données projet'!$B$15,Paramètres!$A$1:$I$89,3,0)*VLOOKUP('Données projet'!$B$15,Paramètres!$A$1:$I$89,5,0)</f>
        <v>203.30752000000024</v>
      </c>
      <c r="EL187" s="13">
        <f t="shared" si="179"/>
        <v>50.470365155234511</v>
      </c>
      <c r="EM187" s="20">
        <f t="shared" si="180"/>
        <v>441.99648331203383</v>
      </c>
      <c r="EN187" s="59">
        <f t="shared" si="128"/>
        <v>735.32981664536715</v>
      </c>
      <c r="EO187" s="59">
        <f ca="1">AVERAGE(OFFSET($EN$3,0,0,'Données projet'!$E$15+1,1))-AVERAGE(OFFSET($H$3,0,0,'Données projet'!$E$15+1,1))</f>
        <v>274.14900959323484</v>
      </c>
      <c r="EP187" s="59">
        <f t="shared" si="154"/>
        <v>130.44590390921582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26.328173409226469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26.328173409226469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-2.2737367544323206E-13</v>
      </c>
      <c r="FF187" s="17">
        <f>FE187*VLOOKUP('Données projet'!$B$16,Paramètres!$A$1:$I$89,3,0)*VLOOKUP('Données projet'!$B$16,Paramètres!$A$1:$I$89,5,0)</f>
        <v>-1.3596945791505279E-13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405.42845699663462</v>
      </c>
      <c r="FK187" s="59">
        <f t="shared" si="156"/>
        <v>292.26503163353146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30.239606927082374</v>
      </c>
      <c r="FR187" s="21">
        <f>EXP(-LN(2)/25)*FR186+(1-EXP(-LN(2)/25))/(LN(2)/25)*Calculateur!FM187*Calculateur!FO187*VLOOKUP('Données projet'!$B$16,Paramètres!$A$1:$I$89,3,0)*0.475*44/12</f>
        <v>6.3446026414859222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36.584209568568298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-2.2737367544323206E-13</v>
      </c>
      <c r="GA187" s="17">
        <f>FZ187*VLOOKUP('Données projet'!$B$17,Paramètres!$A$1:$I$89,3,0)*VLOOKUP('Données projet'!$B$17,Paramètres!$A$1:$I$89,5,0)</f>
        <v>-1.3596945791505279E-13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405.42845699663462</v>
      </c>
      <c r="GF187" s="59">
        <f t="shared" si="158"/>
        <v>292.26503163353146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30.239606927082374</v>
      </c>
      <c r="GM187" s="21">
        <f>EXP(-LN(2)/25)*GM186+(1-EXP(-LN(2)/25))/(LN(2)/25)*Calculateur!GH187*Calculateur!GJ187*VLOOKUP('Données projet'!$B$17,Paramètres!$A$1:$I$89,3,0)*0.475*44/12</f>
        <v>6.3446026414859222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36.584209568568298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-5.3205440053716299E-14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198.26255998041</v>
      </c>
      <c r="T188" s="59">
        <f t="shared" si="142"/>
        <v>238.62101708181166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9.2340714158560129</v>
      </c>
      <c r="AA188" s="21">
        <f>EXP(-LN(2)/25)*AA187+(1-EXP(-LN(2)/25))/(LN(2)/25)*Calculateur!V188*Calculateur!X188*VLOOKUP('Données projet'!$B$9,Paramètres!$A$1:$I$89,3,0)*0.475*44/12</f>
        <v>1.9458236642130076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11.17989508006902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3.4106051316484809E-13</v>
      </c>
      <c r="AJ188" s="13">
        <f>AI188*VLOOKUP('Données projet'!$B$10,Paramètres!$A$1:$I$89,3,0)*VLOOKUP('Données projet'!$B$10,Paramètres!$A$1:$I$89,5,0)</f>
        <v>1.9065282685915009E-13</v>
      </c>
      <c r="AK188" s="13">
        <f t="shared" si="164"/>
        <v>2.6568987209435707E-12</v>
      </c>
      <c r="AL188" s="20">
        <f t="shared" si="165"/>
        <v>4.959485612423072E-12</v>
      </c>
      <c r="AM188" s="59">
        <f t="shared" si="113"/>
        <v>293.33333333333826</v>
      </c>
      <c r="AN188" s="59">
        <f ca="1">AVERAGE(OFFSET($AM$3,0,0,'Données projet'!$E$10+1,1))-AVERAGE(OFFSET($H$3,0,0,'Données projet'!$E$10+1,1))</f>
        <v>347.02720636703873</v>
      </c>
      <c r="AO188" s="59">
        <f t="shared" si="144"/>
        <v>394.03759949558702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20.156995552932226</v>
      </c>
      <c r="AV188" s="21">
        <f>EXP(-LN(2)/25)*AV187+(1-EXP(-LN(2)/25))/(LN(2)/25)*Calculateur!AQ188*Calculateur!AS188*VLOOKUP('Données projet'!$B$10,Paramètres!$A$1:$I$89,3,0)*0.475*44/12</f>
        <v>4.1413865020164771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24.298382054948704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-3.4106051316484809E-13</v>
      </c>
      <c r="BE188" s="13">
        <f>BD188*VLOOKUP('Données projet'!$B$11,Paramètres!$A$1:$I$89,3,0)*VLOOKUP('Données projet'!$B$11,Paramètres!$A$1:$I$89,5,0)</f>
        <v>-2.0395418687257919E-13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378.75660696651238</v>
      </c>
      <c r="BJ188" s="59">
        <f t="shared" si="146"/>
        <v>371.70674704563288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19.939788680216704</v>
      </c>
      <c r="BQ188" s="21">
        <f>EXP(-LN(2)/25)*BQ187+(1-EXP(-LN(2)/25))/(LN(2)/25)*Calculateur!BL188*Calculateur!BN188*VLOOKUP('Données projet'!$B$11,Paramètres!$A$1:$I$89,3,0)*0.475*44/12</f>
        <v>4.0014364596170724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23.941225139833776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5.2666666666666666</v>
      </c>
      <c r="BY188" s="12">
        <f>IF('Données projet'!$A$114&gt;35,BY187+BX188-CG187,IF(A188&lt;'Données projet'!$A$114,$BV$205^A188,IF(A188='Données projet'!$A$114,'Données projet'!$B$114,BY187+BX188-CG187)))</f>
        <v>323.13333333333367</v>
      </c>
      <c r="BZ188" s="13">
        <f>BY188*VLOOKUP('Données projet'!$B$12,Paramètres!$A$1:$I$89,3,0)*VLOOKUP('Données projet'!$B$12,Paramètres!$A$1:$I$89,5,0)</f>
        <v>327.65720000000033</v>
      </c>
      <c r="CA188" s="13">
        <f t="shared" si="170"/>
        <v>76.944383733848184</v>
      </c>
      <c r="CB188" s="20">
        <f t="shared" si="171"/>
        <v>704.68109166978627</v>
      </c>
      <c r="CC188" s="59">
        <f t="shared" si="119"/>
        <v>998.01442500311964</v>
      </c>
      <c r="CD188" s="59">
        <f ca="1">AVERAGE(OFFSET($CC$3,0,0,'Données projet'!$E$12+1,1))-AVERAGE(OFFSET($H$3,0,0,'Données projet'!$E$12+1,1))</f>
        <v>410.75375635525211</v>
      </c>
      <c r="CE188" s="59">
        <f t="shared" si="148"/>
        <v>183.55513001437367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40.921295345674608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40.921295345674608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-2.2737367544323206E-13</v>
      </c>
      <c r="CU188" s="17">
        <f>CT188*VLOOKUP('Données projet'!$B$13,Paramètres!$A$1:$I$89,3,0)*VLOOKUP('Données projet'!$B$13,Paramètres!$A$1:$I$89,5,0)</f>
        <v>-2.0572770154103635E-13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436.12708882925142</v>
      </c>
      <c r="CZ188" s="59">
        <f t="shared" si="150"/>
        <v>217.65884352525285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109.49640355740021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109.49640355740021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3.4106051316484809E-13</v>
      </c>
      <c r="DP188" s="17">
        <f>DO188*VLOOKUP('Données projet'!$B$14,Paramètres!$A$1:$I$89,3,0)*VLOOKUP('Données projet'!$B$14,Paramètres!$A$1:$I$89,5,0)</f>
        <v>3.2455318432766944E-13</v>
      </c>
      <c r="DQ188" s="13">
        <f t="shared" si="176"/>
        <v>4.2513245787534721E-12</v>
      </c>
      <c r="DR188" s="20">
        <f t="shared" si="177"/>
        <v>7.9696537706996534E-12</v>
      </c>
      <c r="DS188" s="59">
        <f t="shared" si="125"/>
        <v>293.33333333334127</v>
      </c>
      <c r="DT188" s="59">
        <f ca="1">AVERAGE(OFFSET($DS$3,0,0,'Données projet'!$E$14+1,1))-AVERAGE(OFFSET($H$3,0,0,'Données projet'!$E$14+1,1))</f>
        <v>735.50267870886194</v>
      </c>
      <c r="DU188" s="59">
        <f t="shared" si="152"/>
        <v>525.80345400853275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53.192028299938876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53.192028299938876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5.2666666666666666</v>
      </c>
      <c r="EJ188" s="12">
        <f>IF('Données projet'!$A$192&gt;35,EJ187+EI188-ER187,IF(A188&lt;'Données projet'!$A$192,$EG$205^A188,IF(A188='Données projet'!$A$192,'Données projet'!$B$192,EJ187+EI188-ER187)))</f>
        <v>323.13333333333367</v>
      </c>
      <c r="EK188" s="17">
        <f>EJ188*VLOOKUP('Données projet'!$B$15,Paramètres!$A$1:$I$89,3,0)*VLOOKUP('Données projet'!$B$15,Paramètres!$A$1:$I$89,5,0)</f>
        <v>206.67608000000018</v>
      </c>
      <c r="EL188" s="13">
        <f t="shared" si="179"/>
        <v>51.20855245161993</v>
      </c>
      <c r="EM188" s="20">
        <f t="shared" si="180"/>
        <v>449.14906818657164</v>
      </c>
      <c r="EN188" s="59">
        <f t="shared" si="128"/>
        <v>742.4824015199049</v>
      </c>
      <c r="EO188" s="59">
        <f ca="1">AVERAGE(OFFSET($EN$3,0,0,'Données projet'!$E$15+1,1))-AVERAGE(OFFSET($H$3,0,0,'Données projet'!$E$15+1,1))</f>
        <v>274.14900959323484</v>
      </c>
      <c r="EP188" s="59">
        <f t="shared" si="154"/>
        <v>130.44590390921582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25.811893987271663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25.811893987271663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-2.2737367544323206E-13</v>
      </c>
      <c r="FF188" s="17">
        <f>FE188*VLOOKUP('Données projet'!$B$16,Paramètres!$A$1:$I$89,3,0)*VLOOKUP('Données projet'!$B$16,Paramètres!$A$1:$I$89,5,0)</f>
        <v>-1.3596945791505279E-13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405.42845699663462</v>
      </c>
      <c r="FK188" s="59">
        <f t="shared" si="156"/>
        <v>292.26503163353146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29.646626679581285</v>
      </c>
      <c r="FR188" s="21">
        <f>EXP(-LN(2)/25)*FR187+(1-EXP(-LN(2)/25))/(LN(2)/25)*Calculateur!FM188*Calculateur!FO188*VLOOKUP('Données projet'!$B$16,Paramètres!$A$1:$I$89,3,0)*0.475*44/12</f>
        <v>6.1711091486063374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35.817735828187622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-2.2737367544323206E-13</v>
      </c>
      <c r="GA188" s="17">
        <f>FZ188*VLOOKUP('Données projet'!$B$17,Paramètres!$A$1:$I$89,3,0)*VLOOKUP('Données projet'!$B$17,Paramètres!$A$1:$I$89,5,0)</f>
        <v>-1.3596945791505279E-13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405.42845699663462</v>
      </c>
      <c r="GF188" s="59">
        <f t="shared" si="158"/>
        <v>292.26503163353146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29.646626679581285</v>
      </c>
      <c r="GM188" s="21">
        <f>EXP(-LN(2)/25)*GM187+(1-EXP(-LN(2)/25))/(LN(2)/25)*Calculateur!GH188*Calculateur!GJ188*VLOOKUP('Données projet'!$B$17,Paramètres!$A$1:$I$89,3,0)*0.475*44/12</f>
        <v>6.1711091486063374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35.817735828187622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-5.3205440053716299E-14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198.26255998041</v>
      </c>
      <c r="T189" s="59">
        <f t="shared" si="142"/>
        <v>238.62101708181166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9.0529969076185033</v>
      </c>
      <c r="AA189" s="21">
        <f>EXP(-LN(2)/25)*AA188+(1-EXP(-LN(2)/25))/(LN(2)/25)*Calculateur!V189*Calculateur!X189*VLOOKUP('Données projet'!$B$9,Paramètres!$A$1:$I$89,3,0)*0.475*44/12</f>
        <v>1.8926150137886837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10.945611921407187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3.4106051316484809E-13</v>
      </c>
      <c r="AJ189" s="13">
        <f>AI189*VLOOKUP('Données projet'!$B$10,Paramètres!$A$1:$I$89,3,0)*VLOOKUP('Données projet'!$B$10,Paramètres!$A$1:$I$89,5,0)</f>
        <v>1.9065282685915009E-13</v>
      </c>
      <c r="AK189" s="13">
        <f t="shared" si="164"/>
        <v>2.6568987209435707E-12</v>
      </c>
      <c r="AL189" s="20">
        <f t="shared" si="165"/>
        <v>4.959485612423072E-12</v>
      </c>
      <c r="AM189" s="59">
        <f t="shared" si="113"/>
        <v>293.33333333333826</v>
      </c>
      <c r="AN189" s="59">
        <f ca="1">AVERAGE(OFFSET($AM$3,0,0,'Données projet'!$E$10+1,1))-AVERAGE(OFFSET($H$3,0,0,'Données projet'!$E$10+1,1))</f>
        <v>347.02720636703873</v>
      </c>
      <c r="AO189" s="59">
        <f t="shared" si="144"/>
        <v>394.03759949558702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19.761729164692525</v>
      </c>
      <c r="AV189" s="21">
        <f>EXP(-LN(2)/25)*AV188+(1-EXP(-LN(2)/25))/(LN(2)/25)*Calculateur!AQ189*Calculateur!AS189*VLOOKUP('Données projet'!$B$10,Paramètres!$A$1:$I$89,3,0)*0.475*44/12</f>
        <v>4.0281400703327854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23.789869235025311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-3.4106051316484809E-13</v>
      </c>
      <c r="BE189" s="13">
        <f>BD189*VLOOKUP('Données projet'!$B$11,Paramètres!$A$1:$I$89,3,0)*VLOOKUP('Données projet'!$B$11,Paramètres!$A$1:$I$89,5,0)</f>
        <v>-2.0395418687257919E-13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378.75660696651238</v>
      </c>
      <c r="BJ189" s="59">
        <f t="shared" si="146"/>
        <v>371.70674704563288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19.548781586267847</v>
      </c>
      <c r="BQ189" s="21">
        <f>EXP(-LN(2)/25)*BQ188+(1-EXP(-LN(2)/25))/(LN(2)/25)*Calculateur!BL189*Calculateur!BN189*VLOOKUP('Données projet'!$B$11,Paramètres!$A$1:$I$89,3,0)*0.475*44/12</f>
        <v>3.8920169692024453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23.440798555470291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5.2666666666666666</v>
      </c>
      <c r="BY189" s="12">
        <f>IF('Données projet'!$A$114&gt;35,BY188+BX189-CG188,IF(A189&lt;'Données projet'!$A$114,$BV$205^A189,IF(A189='Données projet'!$A$114,'Données projet'!$B$114,BY188+BX189-CG188)))</f>
        <v>328.40000000000032</v>
      </c>
      <c r="BZ189" s="13">
        <f>BY189*VLOOKUP('Données projet'!$B$12,Paramètres!$A$1:$I$89,3,0)*VLOOKUP('Données projet'!$B$12,Paramètres!$A$1:$I$89,5,0)</f>
        <v>332.99760000000032</v>
      </c>
      <c r="CA189" s="13">
        <f t="shared" si="170"/>
        <v>78.051458680249553</v>
      </c>
      <c r="CB189" s="20">
        <f t="shared" si="171"/>
        <v>715.91044386810165</v>
      </c>
      <c r="CC189" s="59">
        <f t="shared" si="119"/>
        <v>1009.243777201435</v>
      </c>
      <c r="CD189" s="59">
        <f ca="1">AVERAGE(OFFSET($CC$3,0,0,'Données projet'!$E$12+1,1))-AVERAGE(OFFSET($H$3,0,0,'Données projet'!$E$12+1,1))</f>
        <v>410.75375635525211</v>
      </c>
      <c r="CE189" s="59">
        <f t="shared" si="148"/>
        <v>183.55513001437367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40.118853703471544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40.118853703471544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-2.2737367544323206E-13</v>
      </c>
      <c r="CU189" s="17">
        <f>CT189*VLOOKUP('Données projet'!$B$13,Paramètres!$A$1:$I$89,3,0)*VLOOKUP('Données projet'!$B$13,Paramètres!$A$1:$I$89,5,0)</f>
        <v>-2.0572770154103635E-13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436.12708882925142</v>
      </c>
      <c r="CZ189" s="59">
        <f t="shared" si="150"/>
        <v>217.65884352525285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107.34924586985117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107.34924586985117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3.4106051316484809E-13</v>
      </c>
      <c r="DP189" s="17">
        <f>DO189*VLOOKUP('Données projet'!$B$14,Paramètres!$A$1:$I$89,3,0)*VLOOKUP('Données projet'!$B$14,Paramètres!$A$1:$I$89,5,0)</f>
        <v>3.2455318432766944E-13</v>
      </c>
      <c r="DQ189" s="13">
        <f t="shared" si="176"/>
        <v>4.2513245787534721E-12</v>
      </c>
      <c r="DR189" s="20">
        <f t="shared" si="177"/>
        <v>7.9696537706996534E-12</v>
      </c>
      <c r="DS189" s="59">
        <f t="shared" si="125"/>
        <v>293.33333333334127</v>
      </c>
      <c r="DT189" s="59">
        <f ca="1">AVERAGE(OFFSET($DS$3,0,0,'Données projet'!$E$14+1,1))-AVERAGE(OFFSET($H$3,0,0,'Données projet'!$E$14+1,1))</f>
        <v>735.50267870886194</v>
      </c>
      <c r="DU189" s="59">
        <f t="shared" si="152"/>
        <v>525.80345400853275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52.148965068910762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52.148965068910762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5.2666666666666666</v>
      </c>
      <c r="EJ189" s="12">
        <f>IF('Données projet'!$A$192&gt;35,EJ188+EI189-ER188,IF(A189&lt;'Données projet'!$A$192,$EG$205^A189,IF(A189='Données projet'!$A$192,'Données projet'!$B$192,EJ188+EI189-ER188)))</f>
        <v>328.40000000000032</v>
      </c>
      <c r="EK189" s="17">
        <f>EJ189*VLOOKUP('Données projet'!$B$15,Paramètres!$A$1:$I$89,3,0)*VLOOKUP('Données projet'!$B$15,Paramètres!$A$1:$I$89,5,0)</f>
        <v>210.04464000000019</v>
      </c>
      <c r="EL189" s="13">
        <f t="shared" si="179"/>
        <v>51.945340540751509</v>
      </c>
      <c r="EM189" s="20">
        <f t="shared" si="180"/>
        <v>456.29921610847578</v>
      </c>
      <c r="EN189" s="59">
        <f t="shared" si="128"/>
        <v>749.63254944180903</v>
      </c>
      <c r="EO189" s="59">
        <f ca="1">AVERAGE(OFFSET($EN$3,0,0,'Données projet'!$E$15+1,1))-AVERAGE(OFFSET($H$3,0,0,'Données projet'!$E$15+1,1))</f>
        <v>274.14900959323484</v>
      </c>
      <c r="EP189" s="59">
        <f t="shared" si="154"/>
        <v>130.44590390921582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25.305738489882035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25.305738489882035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-2.2737367544323206E-13</v>
      </c>
      <c r="FF189" s="17">
        <f>FE189*VLOOKUP('Données projet'!$B$16,Paramètres!$A$1:$I$89,3,0)*VLOOKUP('Données projet'!$B$16,Paramètres!$A$1:$I$89,5,0)</f>
        <v>-1.3596945791505279E-13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405.42845699663462</v>
      </c>
      <c r="FK189" s="59">
        <f t="shared" si="156"/>
        <v>292.26503163353146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29.065274413051455</v>
      </c>
      <c r="FR189" s="21">
        <f>EXP(-LN(2)/25)*FR188+(1-EXP(-LN(2)/25))/(LN(2)/25)*Calculateur!FM189*Calculateur!FO189*VLOOKUP('Données projet'!$B$16,Paramètres!$A$1:$I$89,3,0)*0.475*44/12</f>
        <v>6.0023598444131716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35.067634257464626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-2.2737367544323206E-13</v>
      </c>
      <c r="GA189" s="17">
        <f>FZ189*VLOOKUP('Données projet'!$B$17,Paramètres!$A$1:$I$89,3,0)*VLOOKUP('Données projet'!$B$17,Paramètres!$A$1:$I$89,5,0)</f>
        <v>-1.3596945791505279E-13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405.42845699663462</v>
      </c>
      <c r="GF189" s="59">
        <f t="shared" si="158"/>
        <v>292.26503163353146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29.065274413051455</v>
      </c>
      <c r="GM189" s="21">
        <f>EXP(-LN(2)/25)*GM188+(1-EXP(-LN(2)/25))/(LN(2)/25)*Calculateur!GH189*Calculateur!GJ189*VLOOKUP('Données projet'!$B$17,Paramètres!$A$1:$I$89,3,0)*0.475*44/12</f>
        <v>6.0023598444131716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35.067634257464626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-5.3205440053716299E-14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198.26255998041</v>
      </c>
      <c r="T190" s="59">
        <f t="shared" si="142"/>
        <v>238.62101708181166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8.8754731600429881</v>
      </c>
      <c r="AA190" s="21">
        <f>EXP(-LN(2)/25)*AA189+(1-EXP(-LN(2)/25))/(LN(2)/25)*Calculateur!V190*Calculateur!X190*VLOOKUP('Données projet'!$B$9,Paramètres!$A$1:$I$89,3,0)*0.475*44/12</f>
        <v>1.8408613567083343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10.716334516751322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3.4106051316484809E-13</v>
      </c>
      <c r="AJ190" s="13">
        <f>AI190*VLOOKUP('Données projet'!$B$10,Paramètres!$A$1:$I$89,3,0)*VLOOKUP('Données projet'!$B$10,Paramètres!$A$1:$I$89,5,0)</f>
        <v>1.9065282685915009E-13</v>
      </c>
      <c r="AK190" s="13">
        <f t="shared" si="164"/>
        <v>2.6568987209435707E-12</v>
      </c>
      <c r="AL190" s="20">
        <f t="shared" si="165"/>
        <v>4.959485612423072E-12</v>
      </c>
      <c r="AM190" s="59">
        <f t="shared" si="113"/>
        <v>293.33333333333826</v>
      </c>
      <c r="AN190" s="59">
        <f ca="1">AVERAGE(OFFSET($AM$3,0,0,'Données projet'!$E$10+1,1))-AVERAGE(OFFSET($H$3,0,0,'Données projet'!$E$10+1,1))</f>
        <v>347.02720636703873</v>
      </c>
      <c r="AO190" s="59">
        <f t="shared" si="144"/>
        <v>394.03759949558702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19.374213709237516</v>
      </c>
      <c r="AV190" s="21">
        <f>EXP(-LN(2)/25)*AV189+(1-EXP(-LN(2)/25))/(LN(2)/25)*Calculateur!AQ190*Calculateur!AS190*VLOOKUP('Données projet'!$B$10,Paramètres!$A$1:$I$89,3,0)*0.475*44/12</f>
        <v>3.9179903682788555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23.29220407751637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-3.4106051316484809E-13</v>
      </c>
      <c r="BE190" s="13">
        <f>BD190*VLOOKUP('Données projet'!$B$11,Paramètres!$A$1:$I$89,3,0)*VLOOKUP('Données projet'!$B$11,Paramètres!$A$1:$I$89,5,0)</f>
        <v>-2.0395418687257919E-13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378.75660696651238</v>
      </c>
      <c r="BJ190" s="59">
        <f t="shared" si="146"/>
        <v>371.70674704563288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19.165441902940547</v>
      </c>
      <c r="BQ190" s="21">
        <f>EXP(-LN(2)/25)*BQ189+(1-EXP(-LN(2)/25))/(LN(2)/25)*Calculateur!BL190*Calculateur!BN190*VLOOKUP('Données projet'!$B$11,Paramètres!$A$1:$I$89,3,0)*0.475*44/12</f>
        <v>3.7855895605073275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22.951031463447876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5.2666666666666666</v>
      </c>
      <c r="BY190" s="12">
        <f>IF('Données projet'!$A$114&gt;35,BY189+BX190-CG189,IF(A190&lt;'Données projet'!$A$114,$BV$205^A190,IF(A190='Données projet'!$A$114,'Données projet'!$B$114,BY189+BX190-CG189)))</f>
        <v>333.66666666666697</v>
      </c>
      <c r="BZ190" s="13">
        <f>BY190*VLOOKUP('Données projet'!$B$12,Paramètres!$A$1:$I$89,3,0)*VLOOKUP('Données projet'!$B$12,Paramètres!$A$1:$I$89,5,0)</f>
        <v>338.33800000000031</v>
      </c>
      <c r="CA190" s="13">
        <f t="shared" si="170"/>
        <v>79.156468831013697</v>
      </c>
      <c r="CB190" s="20">
        <f t="shared" si="171"/>
        <v>727.13619988068274</v>
      </c>
      <c r="CC190" s="59">
        <f t="shared" si="119"/>
        <v>1020.4695332140161</v>
      </c>
      <c r="CD190" s="59">
        <f ca="1">AVERAGE(OFFSET($CC$3,0,0,'Données projet'!$E$12+1,1))-AVERAGE(OFFSET($H$3,0,0,'Données projet'!$E$12+1,1))</f>
        <v>410.75375635525211</v>
      </c>
      <c r="CE190" s="59">
        <f t="shared" si="148"/>
        <v>183.55513001437367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39.332147452431009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39.332147452431009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-2.2737367544323206E-13</v>
      </c>
      <c r="CU190" s="17">
        <f>CT190*VLOOKUP('Données projet'!$B$13,Paramètres!$A$1:$I$89,3,0)*VLOOKUP('Données projet'!$B$13,Paramètres!$A$1:$I$89,5,0)</f>
        <v>-2.0572770154103635E-13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436.12708882925142</v>
      </c>
      <c r="CZ190" s="59">
        <f t="shared" si="150"/>
        <v>217.65884352525285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105.24419263491809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105.24419263491809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3.4106051316484809E-13</v>
      </c>
      <c r="DP190" s="17">
        <f>DO190*VLOOKUP('Données projet'!$B$14,Paramètres!$A$1:$I$89,3,0)*VLOOKUP('Données projet'!$B$14,Paramètres!$A$1:$I$89,5,0)</f>
        <v>3.2455318432766944E-13</v>
      </c>
      <c r="DQ190" s="13">
        <f t="shared" si="176"/>
        <v>4.2513245787534721E-12</v>
      </c>
      <c r="DR190" s="20">
        <f t="shared" si="177"/>
        <v>7.9696537706996534E-12</v>
      </c>
      <c r="DS190" s="59">
        <f t="shared" si="125"/>
        <v>293.33333333334127</v>
      </c>
      <c r="DT190" s="59">
        <f ca="1">AVERAGE(OFFSET($DS$3,0,0,'Données projet'!$E$14+1,1))-AVERAGE(OFFSET($H$3,0,0,'Données projet'!$E$14+1,1))</f>
        <v>735.50267870886194</v>
      </c>
      <c r="DU190" s="59">
        <f t="shared" si="152"/>
        <v>525.80345400853275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51.126355671637363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51.126355671637363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5.2666666666666666</v>
      </c>
      <c r="EJ190" s="12">
        <f>IF('Données projet'!$A$192&gt;35,EJ189+EI190-ER189,IF(A190&lt;'Données projet'!$A$192,$EG$205^A190,IF(A190='Données projet'!$A$192,'Données projet'!$B$192,EJ189+EI190-ER189)))</f>
        <v>333.66666666666697</v>
      </c>
      <c r="EK190" s="17">
        <f>EJ190*VLOOKUP('Données projet'!$B$15,Paramètres!$A$1:$I$89,3,0)*VLOOKUP('Données projet'!$B$15,Paramètres!$A$1:$I$89,5,0)</f>
        <v>213.41320000000019</v>
      </c>
      <c r="EL190" s="13">
        <f t="shared" si="179"/>
        <v>52.680754452970355</v>
      </c>
      <c r="EM190" s="20">
        <f t="shared" si="180"/>
        <v>463.44697067225701</v>
      </c>
      <c r="EN190" s="59">
        <f t="shared" si="128"/>
        <v>756.78030400559032</v>
      </c>
      <c r="EO190" s="59">
        <f ca="1">AVERAGE(OFFSET($EN$3,0,0,'Données projet'!$E$15+1,1))-AVERAGE(OFFSET($H$3,0,0,'Données projet'!$E$15+1,1))</f>
        <v>274.14900959323484</v>
      </c>
      <c r="EP190" s="59">
        <f t="shared" si="154"/>
        <v>130.44590390921582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24.809508393071852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24.809508393071852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-2.2737367544323206E-13</v>
      </c>
      <c r="FF190" s="17">
        <f>FE190*VLOOKUP('Données projet'!$B$16,Paramètres!$A$1:$I$89,3,0)*VLOOKUP('Données projet'!$B$16,Paramètres!$A$1:$I$89,5,0)</f>
        <v>-1.3596945791505279E-13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405.42845699663462</v>
      </c>
      <c r="FK190" s="59">
        <f t="shared" si="156"/>
        <v>292.26503163353146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28.495322109878405</v>
      </c>
      <c r="FR190" s="21">
        <f>EXP(-LN(2)/25)*FR189+(1-EXP(-LN(2)/25))/(LN(2)/25)*Calculateur!FM190*Calculateur!FO190*VLOOKUP('Données projet'!$B$16,Paramètres!$A$1:$I$89,3,0)*0.475*44/12</f>
        <v>5.8382249988173074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34.333547108695711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-2.2737367544323206E-13</v>
      </c>
      <c r="GA190" s="17">
        <f>FZ190*VLOOKUP('Données projet'!$B$17,Paramètres!$A$1:$I$89,3,0)*VLOOKUP('Données projet'!$B$17,Paramètres!$A$1:$I$89,5,0)</f>
        <v>-1.3596945791505279E-13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405.42845699663462</v>
      </c>
      <c r="GF190" s="59">
        <f t="shared" si="158"/>
        <v>292.26503163353146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28.495322109878405</v>
      </c>
      <c r="GM190" s="21">
        <f>EXP(-LN(2)/25)*GM189+(1-EXP(-LN(2)/25))/(LN(2)/25)*Calculateur!GH190*Calculateur!GJ190*VLOOKUP('Données projet'!$B$17,Paramètres!$A$1:$I$89,3,0)*0.475*44/12</f>
        <v>5.8382249988173074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34.333547108695711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-5.3205440053716299E-14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198.26255998041</v>
      </c>
      <c r="T191" s="59">
        <f t="shared" si="142"/>
        <v>238.62101708181166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8.7014305448786331</v>
      </c>
      <c r="AA191" s="21">
        <f>EXP(-LN(2)/25)*AA190+(1-EXP(-LN(2)/25))/(LN(2)/25)*Calculateur!V191*Calculateur!X191*VLOOKUP('Données projet'!$B$9,Paramètres!$A$1:$I$89,3,0)*0.475*44/12</f>
        <v>1.7905229061024535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10.491953450981086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3.4106051316484809E-13</v>
      </c>
      <c r="AJ191" s="13">
        <f>AI191*VLOOKUP('Données projet'!$B$10,Paramètres!$A$1:$I$89,3,0)*VLOOKUP('Données projet'!$B$10,Paramètres!$A$1:$I$89,5,0)</f>
        <v>1.9065282685915009E-13</v>
      </c>
      <c r="AK191" s="13">
        <f t="shared" si="164"/>
        <v>2.6568987209435707E-12</v>
      </c>
      <c r="AL191" s="20">
        <f t="shared" si="165"/>
        <v>4.959485612423072E-12</v>
      </c>
      <c r="AM191" s="59">
        <f t="shared" si="113"/>
        <v>293.33333333333826</v>
      </c>
      <c r="AN191" s="59">
        <f ca="1">AVERAGE(OFFSET($AM$3,0,0,'Données projet'!$E$10+1,1))-AVERAGE(OFFSET($H$3,0,0,'Données projet'!$E$10+1,1))</f>
        <v>347.02720636703873</v>
      </c>
      <c r="AO191" s="59">
        <f t="shared" si="144"/>
        <v>394.03759949558702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18.994297195502888</v>
      </c>
      <c r="AV191" s="21">
        <f>EXP(-LN(2)/25)*AV190+(1-EXP(-LN(2)/25))/(LN(2)/25)*Calculateur!AQ191*Calculateur!AS191*VLOOKUP('Données projet'!$B$10,Paramètres!$A$1:$I$89,3,0)*0.475*44/12</f>
        <v>3.8108527156201113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22.805149911122999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-3.4106051316484809E-13</v>
      </c>
      <c r="BE191" s="13">
        <f>BD191*VLOOKUP('Données projet'!$B$11,Paramètres!$A$1:$I$89,3,0)*VLOOKUP('Données projet'!$B$11,Paramètres!$A$1:$I$89,5,0)</f>
        <v>-2.0395418687257919E-13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378.75660696651238</v>
      </c>
      <c r="BJ191" s="59">
        <f t="shared" si="146"/>
        <v>371.70674704563288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18.789619276989175</v>
      </c>
      <c r="BQ191" s="21">
        <f>EXP(-LN(2)/25)*BQ190+(1-EXP(-LN(2)/25))/(LN(2)/25)*Calculateur!BL191*Calculateur!BN191*VLOOKUP('Données projet'!$B$11,Paramètres!$A$1:$I$89,3,0)*0.475*44/12</f>
        <v>3.6820724148997517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22.471691691888928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5.2666666666666666</v>
      </c>
      <c r="BY191" s="12">
        <f>IF('Données projet'!$A$114&gt;35,BY190+BX191-CG190,IF(A191&lt;'Données projet'!$A$114,$BV$205^A191,IF(A191='Données projet'!$A$114,'Données projet'!$B$114,BY190+BX191-CG190)))</f>
        <v>338.93333333333362</v>
      </c>
      <c r="BZ191" s="13">
        <f>BY191*VLOOKUP('Données projet'!$B$12,Paramètres!$A$1:$I$89,3,0)*VLOOKUP('Données projet'!$B$12,Paramètres!$A$1:$I$89,5,0)</f>
        <v>343.67840000000035</v>
      </c>
      <c r="CA191" s="13">
        <f t="shared" si="170"/>
        <v>80.259450540570498</v>
      </c>
      <c r="CB191" s="20">
        <f t="shared" si="171"/>
        <v>738.3584230248274</v>
      </c>
      <c r="CC191" s="59">
        <f t="shared" si="119"/>
        <v>1031.6917563581608</v>
      </c>
      <c r="CD191" s="59">
        <f ca="1">AVERAGE(OFFSET($CC$3,0,0,'Données projet'!$E$12+1,1))-AVERAGE(OFFSET($H$3,0,0,'Données projet'!$E$12+1,1))</f>
        <v>410.75375635525211</v>
      </c>
      <c r="CE191" s="59">
        <f t="shared" si="148"/>
        <v>183.55513001437367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38.560868031129942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38.560868031129942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-2.2737367544323206E-13</v>
      </c>
      <c r="CU191" s="17">
        <f>CT191*VLOOKUP('Données projet'!$B$13,Paramètres!$A$1:$I$89,3,0)*VLOOKUP('Données projet'!$B$13,Paramètres!$A$1:$I$89,5,0)</f>
        <v>-2.0572770154103635E-13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436.12708882925142</v>
      </c>
      <c r="CZ191" s="59">
        <f t="shared" si="150"/>
        <v>217.65884352525285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103.18041820996636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103.18041820996636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3.4106051316484809E-13</v>
      </c>
      <c r="DP191" s="17">
        <f>DO191*VLOOKUP('Données projet'!$B$14,Paramètres!$A$1:$I$89,3,0)*VLOOKUP('Données projet'!$B$14,Paramètres!$A$1:$I$89,5,0)</f>
        <v>3.2455318432766944E-13</v>
      </c>
      <c r="DQ191" s="13">
        <f t="shared" si="176"/>
        <v>4.2513245787534721E-12</v>
      </c>
      <c r="DR191" s="20">
        <f t="shared" si="177"/>
        <v>7.9696537706996534E-12</v>
      </c>
      <c r="DS191" s="59">
        <f t="shared" si="125"/>
        <v>293.33333333334127</v>
      </c>
      <c r="DT191" s="59">
        <f ca="1">AVERAGE(OFFSET($DS$3,0,0,'Données projet'!$E$14+1,1))-AVERAGE(OFFSET($H$3,0,0,'Données projet'!$E$14+1,1))</f>
        <v>735.50267870886194</v>
      </c>
      <c r="DU191" s="59">
        <f t="shared" si="152"/>
        <v>525.80345400853275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50.123799020914348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50.123799020914348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5.2666666666666666</v>
      </c>
      <c r="EJ191" s="12">
        <f>IF('Données projet'!$A$192&gt;35,EJ190+EI191-ER190,IF(A191&lt;'Données projet'!$A$192,$EG$205^A191,IF(A191='Données projet'!$A$192,'Données projet'!$B$192,EJ190+EI191-ER190)))</f>
        <v>338.93333333333362</v>
      </c>
      <c r="EK191" s="17">
        <f>EJ191*VLOOKUP('Données projet'!$B$15,Paramètres!$A$1:$I$89,3,0)*VLOOKUP('Données projet'!$B$15,Paramètres!$A$1:$I$89,5,0)</f>
        <v>216.78176000000016</v>
      </c>
      <c r="EL191" s="13">
        <f t="shared" si="179"/>
        <v>53.414818383125237</v>
      </c>
      <c r="EM191" s="20">
        <f t="shared" si="180"/>
        <v>470.59237401727665</v>
      </c>
      <c r="EN191" s="59">
        <f t="shared" si="128"/>
        <v>763.92570735060997</v>
      </c>
      <c r="EO191" s="59">
        <f ca="1">AVERAGE(OFFSET($EN$3,0,0,'Données projet'!$E$15+1,1))-AVERAGE(OFFSET($H$3,0,0,'Données projet'!$E$15+1,1))</f>
        <v>274.14900959323484</v>
      </c>
      <c r="EP191" s="59">
        <f t="shared" si="154"/>
        <v>130.44590390921582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24.323009065789641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24.323009065789641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-2.2737367544323206E-13</v>
      </c>
      <c r="FF191" s="17">
        <f>FE191*VLOOKUP('Données projet'!$B$16,Paramètres!$A$1:$I$89,3,0)*VLOOKUP('Données projet'!$B$16,Paramètres!$A$1:$I$89,5,0)</f>
        <v>-1.3596945791505279E-13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405.42845699663462</v>
      </c>
      <c r="FK191" s="59">
        <f t="shared" si="156"/>
        <v>292.26503163353146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27.936546223734002</v>
      </c>
      <c r="FR191" s="21">
        <f>EXP(-LN(2)/25)*FR190+(1-EXP(-LN(2)/25))/(LN(2)/25)*Calculateur!FM191*Calculateur!FO191*VLOOKUP('Données projet'!$B$16,Paramètres!$A$1:$I$89,3,0)*0.475*44/12</f>
        <v>5.6785784292057393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33.615124652939741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-2.2737367544323206E-13</v>
      </c>
      <c r="GA191" s="17">
        <f>FZ191*VLOOKUP('Données projet'!$B$17,Paramètres!$A$1:$I$89,3,0)*VLOOKUP('Données projet'!$B$17,Paramètres!$A$1:$I$89,5,0)</f>
        <v>-1.3596945791505279E-13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405.42845699663462</v>
      </c>
      <c r="GF191" s="59">
        <f t="shared" si="158"/>
        <v>292.26503163353146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27.936546223734002</v>
      </c>
      <c r="GM191" s="21">
        <f>EXP(-LN(2)/25)*GM190+(1-EXP(-LN(2)/25))/(LN(2)/25)*Calculateur!GH191*Calculateur!GJ191*VLOOKUP('Données projet'!$B$17,Paramètres!$A$1:$I$89,3,0)*0.475*44/12</f>
        <v>5.6785784292057393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33.615124652939741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-5.3205440053716299E-14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198.26255998041</v>
      </c>
      <c r="T192" s="59">
        <f t="shared" si="142"/>
        <v>238.62101708181166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8.5308007992421384</v>
      </c>
      <c r="AA192" s="21">
        <f>EXP(-LN(2)/25)*AA191+(1-EXP(-LN(2)/25))/(LN(2)/25)*Calculateur!V192*Calculateur!X192*VLOOKUP('Données projet'!$B$9,Paramètres!$A$1:$I$89,3,0)*0.475*44/12</f>
        <v>1.7415609630755746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10.272361762317713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3.4106051316484809E-13</v>
      </c>
      <c r="AJ192" s="13">
        <f>AI192*VLOOKUP('Données projet'!$B$10,Paramètres!$A$1:$I$89,3,0)*VLOOKUP('Données projet'!$B$10,Paramètres!$A$1:$I$89,5,0)</f>
        <v>1.9065282685915009E-13</v>
      </c>
      <c r="AK192" s="13">
        <f t="shared" si="164"/>
        <v>2.6568987209435707E-12</v>
      </c>
      <c r="AL192" s="20">
        <f t="shared" si="165"/>
        <v>4.959485612423072E-12</v>
      </c>
      <c r="AM192" s="59">
        <f t="shared" si="113"/>
        <v>293.33333333333826</v>
      </c>
      <c r="AN192" s="59">
        <f ca="1">AVERAGE(OFFSET($AM$3,0,0,'Données projet'!$E$10+1,1))-AVERAGE(OFFSET($H$3,0,0,'Données projet'!$E$10+1,1))</f>
        <v>347.02720636703873</v>
      </c>
      <c r="AO192" s="59">
        <f t="shared" si="144"/>
        <v>394.03759949558702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18.621830612876405</v>
      </c>
      <c r="AV192" s="21">
        <f>EXP(-LN(2)/25)*AV191+(1-EXP(-LN(2)/25))/(LN(2)/25)*Calculateur!AQ192*Calculateur!AS192*VLOOKUP('Données projet'!$B$10,Paramètres!$A$1:$I$89,3,0)*0.475*44/12</f>
        <v>3.7066447477074447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22.328475360583848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-3.4106051316484809E-13</v>
      </c>
      <c r="BE192" s="13">
        <f>BD192*VLOOKUP('Données projet'!$B$11,Paramètres!$A$1:$I$89,3,0)*VLOOKUP('Données projet'!$B$11,Paramètres!$A$1:$I$89,5,0)</f>
        <v>-2.0395418687257919E-13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378.75660696651238</v>
      </c>
      <c r="BJ192" s="59">
        <f t="shared" si="146"/>
        <v>371.70674704563288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18.421166303503544</v>
      </c>
      <c r="BQ192" s="21">
        <f>EXP(-LN(2)/25)*BQ191+(1-EXP(-LN(2)/25))/(LN(2)/25)*Calculateur!BL192*Calculateur!BN192*VLOOKUP('Données projet'!$B$11,Paramètres!$A$1:$I$89,3,0)*0.475*44/12</f>
        <v>3.5813859510825452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22.002552254586089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5.2666666666666666</v>
      </c>
      <c r="BY192" s="12">
        <f>IF('Données projet'!$A$114&gt;35,BY191+BX192-CG191,IF(A192&lt;'Données projet'!$A$114,$BV$205^A192,IF(A192='Données projet'!$A$114,'Données projet'!$B$114,BY191+BX192-CG191)))</f>
        <v>344.20000000000027</v>
      </c>
      <c r="BZ192" s="13">
        <f>BY192*VLOOKUP('Données projet'!$B$12,Paramètres!$A$1:$I$89,3,0)*VLOOKUP('Données projet'!$B$12,Paramètres!$A$1:$I$89,5,0)</f>
        <v>349.01880000000028</v>
      </c>
      <c r="CA192" s="13">
        <f t="shared" si="170"/>
        <v>81.360438968712089</v>
      </c>
      <c r="CB192" s="20">
        <f t="shared" si="171"/>
        <v>749.57717453717396</v>
      </c>
      <c r="CC192" s="59">
        <f t="shared" si="119"/>
        <v>1042.9105078705072</v>
      </c>
      <c r="CD192" s="59">
        <f ca="1">AVERAGE(OFFSET($CC$3,0,0,'Données projet'!$E$12+1,1))-AVERAGE(OFFSET($H$3,0,0,'Données projet'!$E$12+1,1))</f>
        <v>410.75375635525211</v>
      </c>
      <c r="CE192" s="59">
        <f t="shared" si="148"/>
        <v>183.55513001437367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37.804712928846598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37.804712928846598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-2.2737367544323206E-13</v>
      </c>
      <c r="CU192" s="17">
        <f>CT192*VLOOKUP('Données projet'!$B$13,Paramètres!$A$1:$I$89,3,0)*VLOOKUP('Données projet'!$B$13,Paramètres!$A$1:$I$89,5,0)</f>
        <v>-2.0572770154103635E-13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436.12708882925142</v>
      </c>
      <c r="CZ192" s="59">
        <f t="shared" si="150"/>
        <v>217.65884352525285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101.15711314270983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101.15711314270983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3.4106051316484809E-13</v>
      </c>
      <c r="DP192" s="17">
        <f>DO192*VLOOKUP('Données projet'!$B$14,Paramètres!$A$1:$I$89,3,0)*VLOOKUP('Données projet'!$B$14,Paramètres!$A$1:$I$89,5,0)</f>
        <v>3.2455318432766944E-13</v>
      </c>
      <c r="DQ192" s="13">
        <f t="shared" si="176"/>
        <v>4.2513245787534721E-12</v>
      </c>
      <c r="DR192" s="20">
        <f t="shared" si="177"/>
        <v>7.9696537706996534E-12</v>
      </c>
      <c r="DS192" s="59">
        <f t="shared" si="125"/>
        <v>293.33333333334127</v>
      </c>
      <c r="DT192" s="59">
        <f ca="1">AVERAGE(OFFSET($DS$3,0,0,'Données projet'!$E$14+1,1))-AVERAGE(OFFSET($H$3,0,0,'Données projet'!$E$14+1,1))</f>
        <v>735.50267870886194</v>
      </c>
      <c r="DU192" s="59">
        <f t="shared" si="152"/>
        <v>525.80345400853275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49.140901894612838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49.140901894612838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5.2666666666666666</v>
      </c>
      <c r="EJ192" s="12">
        <f>IF('Données projet'!$A$192&gt;35,EJ191+EI192-ER191,IF(A192&lt;'Données projet'!$A$192,$EG$205^A192,IF(A192='Données projet'!$A$192,'Données projet'!$B$192,EJ191+EI192-ER191)))</f>
        <v>344.20000000000027</v>
      </c>
      <c r="EK192" s="17">
        <f>EJ192*VLOOKUP('Données projet'!$B$15,Paramètres!$A$1:$I$89,3,0)*VLOOKUP('Données projet'!$B$15,Paramètres!$A$1:$I$89,5,0)</f>
        <v>220.15032000000016</v>
      </c>
      <c r="EL192" s="13">
        <f t="shared" si="179"/>
        <v>54.147555731001617</v>
      </c>
      <c r="EM192" s="20">
        <f t="shared" si="180"/>
        <v>477.73546689816152</v>
      </c>
      <c r="EN192" s="59">
        <f t="shared" si="128"/>
        <v>771.06880023149483</v>
      </c>
      <c r="EO192" s="59">
        <f ca="1">AVERAGE(OFFSET($EN$3,0,0,'Données projet'!$E$15+1,1))-AVERAGE(OFFSET($H$3,0,0,'Données projet'!$E$15+1,1))</f>
        <v>274.14900959323484</v>
      </c>
      <c r="EP192" s="59">
        <f t="shared" si="154"/>
        <v>130.44590390921582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23.846049693580145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23.846049693580145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-2.2737367544323206E-13</v>
      </c>
      <c r="FF192" s="17">
        <f>FE192*VLOOKUP('Données projet'!$B$16,Paramètres!$A$1:$I$89,3,0)*VLOOKUP('Données projet'!$B$16,Paramètres!$A$1:$I$89,5,0)</f>
        <v>-1.3596945791505279E-13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405.42845699663462</v>
      </c>
      <c r="FK192" s="59">
        <f t="shared" si="156"/>
        <v>292.26503163353146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27.388727591897254</v>
      </c>
      <c r="FR192" s="21">
        <f>EXP(-LN(2)/25)*FR191+(1-EXP(-LN(2)/25))/(LN(2)/25)*Calculateur!FM192*Calculateur!FO192*VLOOKUP('Données projet'!$B$16,Paramètres!$A$1:$I$89,3,0)*0.475*44/12</f>
        <v>5.523297403435647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32.912024995332899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-2.2737367544323206E-13</v>
      </c>
      <c r="GA192" s="17">
        <f>FZ192*VLOOKUP('Données projet'!$B$17,Paramètres!$A$1:$I$89,3,0)*VLOOKUP('Données projet'!$B$17,Paramètres!$A$1:$I$89,5,0)</f>
        <v>-1.3596945791505279E-13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405.42845699663462</v>
      </c>
      <c r="GF192" s="59">
        <f t="shared" si="158"/>
        <v>292.26503163353146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27.388727591897254</v>
      </c>
      <c r="GM192" s="21">
        <f>EXP(-LN(2)/25)*GM191+(1-EXP(-LN(2)/25))/(LN(2)/25)*Calculateur!GH192*Calculateur!GJ192*VLOOKUP('Données projet'!$B$17,Paramètres!$A$1:$I$89,3,0)*0.475*44/12</f>
        <v>5.523297403435647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32.912024995332899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-5.3205440053716299E-14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198.26255998041</v>
      </c>
      <c r="T193" s="59">
        <f t="shared" si="142"/>
        <v>238.62101708181166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8.363516998843707</v>
      </c>
      <c r="AA193" s="21">
        <f>EXP(-LN(2)/25)*AA192+(1-EXP(-LN(2)/25))/(LN(2)/25)*Calculateur!V193*Calculateur!X193*VLOOKUP('Données projet'!$B$9,Paramètres!$A$1:$I$89,3,0)*0.475*44/12</f>
        <v>1.6939378869555624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10.05745488579927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3.4106051316484809E-13</v>
      </c>
      <c r="AJ193" s="13">
        <f>AI193*VLOOKUP('Données projet'!$B$10,Paramètres!$A$1:$I$89,3,0)*VLOOKUP('Données projet'!$B$10,Paramètres!$A$1:$I$89,5,0)</f>
        <v>1.9065282685915009E-13</v>
      </c>
      <c r="AK193" s="13">
        <f t="shared" si="164"/>
        <v>2.6568987209435707E-12</v>
      </c>
      <c r="AL193" s="20">
        <f t="shared" si="165"/>
        <v>4.959485612423072E-12</v>
      </c>
      <c r="AM193" s="59">
        <f t="shared" si="113"/>
        <v>293.33333333333826</v>
      </c>
      <c r="AN193" s="59">
        <f ca="1">AVERAGE(OFFSET($AM$3,0,0,'Données projet'!$E$10+1,1))-AVERAGE(OFFSET($H$3,0,0,'Données projet'!$E$10+1,1))</f>
        <v>347.02720636703873</v>
      </c>
      <c r="AO193" s="59">
        <f t="shared" si="144"/>
        <v>394.03759949558702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18.256667872753045</v>
      </c>
      <c r="AV193" s="21">
        <f>EXP(-LN(2)/25)*AV192+(1-EXP(-LN(2)/25))/(LN(2)/25)*Calculateur!AQ193*Calculateur!AS193*VLOOKUP('Données projet'!$B$10,Paramètres!$A$1:$I$89,3,0)*0.475*44/12</f>
        <v>3.605286352157409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21.861954224910455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-3.4106051316484809E-13</v>
      </c>
      <c r="BE193" s="13">
        <f>BD193*VLOOKUP('Données projet'!$B$11,Paramètres!$A$1:$I$89,3,0)*VLOOKUP('Données projet'!$B$11,Paramètres!$A$1:$I$89,5,0)</f>
        <v>-2.0395418687257919E-13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378.75660696651238</v>
      </c>
      <c r="BJ193" s="59">
        <f t="shared" si="146"/>
        <v>371.70674704563288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18.05993846809384</v>
      </c>
      <c r="BQ193" s="21">
        <f>EXP(-LN(2)/25)*BQ192+(1-EXP(-LN(2)/25))/(LN(2)/25)*Calculateur!BL193*Calculateur!BN193*VLOOKUP('Données projet'!$B$11,Paramètres!$A$1:$I$89,3,0)*0.475*44/12</f>
        <v>3.4834527639132911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21.543391232007131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5.2666666666666666</v>
      </c>
      <c r="BY193" s="12">
        <f>IF('Données projet'!$A$114&gt;35,BY192+BX193-CG192,IF(A193&lt;'Données projet'!$A$114,$BV$205^A193,IF(A193='Données projet'!$A$114,'Données projet'!$B$114,BY192+BX193-CG192)))</f>
        <v>349.46666666666692</v>
      </c>
      <c r="BZ193" s="13">
        <f>BY193*VLOOKUP('Données projet'!$B$12,Paramètres!$A$1:$I$89,3,0)*VLOOKUP('Données projet'!$B$12,Paramètres!$A$1:$I$89,5,0)</f>
        <v>354.35920000000027</v>
      </c>
      <c r="CA193" s="13">
        <f t="shared" si="170"/>
        <v>82.459468137517575</v>
      </c>
      <c r="CB193" s="20">
        <f t="shared" si="171"/>
        <v>760.7925136728436</v>
      </c>
      <c r="CC193" s="59">
        <f t="shared" si="119"/>
        <v>1054.1258470061769</v>
      </c>
      <c r="CD193" s="59">
        <f ca="1">AVERAGE(OFFSET($CC$3,0,0,'Données projet'!$E$12+1,1))-AVERAGE(OFFSET($H$3,0,0,'Données projet'!$E$12+1,1))</f>
        <v>410.75375635525211</v>
      </c>
      <c r="CE193" s="59">
        <f t="shared" si="148"/>
        <v>183.55513001437367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37.063385566909957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37.063385566909957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-2.2737367544323206E-13</v>
      </c>
      <c r="CU193" s="17">
        <f>CT193*VLOOKUP('Données projet'!$B$13,Paramètres!$A$1:$I$89,3,0)*VLOOKUP('Données projet'!$B$13,Paramètres!$A$1:$I$89,5,0)</f>
        <v>-2.0572770154103635E-13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436.12708882925142</v>
      </c>
      <c r="CZ193" s="59">
        <f t="shared" si="150"/>
        <v>217.65884352525285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99.173483853727959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99.173483853727959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3.4106051316484809E-13</v>
      </c>
      <c r="DP193" s="17">
        <f>DO193*VLOOKUP('Données projet'!$B$14,Paramètres!$A$1:$I$89,3,0)*VLOOKUP('Données projet'!$B$14,Paramètres!$A$1:$I$89,5,0)</f>
        <v>3.2455318432766944E-13</v>
      </c>
      <c r="DQ193" s="13">
        <f t="shared" si="176"/>
        <v>4.2513245787534721E-12</v>
      </c>
      <c r="DR193" s="20">
        <f t="shared" si="177"/>
        <v>7.9696537706996534E-12</v>
      </c>
      <c r="DS193" s="59">
        <f t="shared" si="125"/>
        <v>293.33333333334127</v>
      </c>
      <c r="DT193" s="59">
        <f ca="1">AVERAGE(OFFSET($DS$3,0,0,'Données projet'!$E$14+1,1))-AVERAGE(OFFSET($H$3,0,0,'Données projet'!$E$14+1,1))</f>
        <v>735.50267870886194</v>
      </c>
      <c r="DU193" s="59">
        <f t="shared" si="152"/>
        <v>525.80345400853275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48.177278781450049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48.177278781450049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5.2666666666666666</v>
      </c>
      <c r="EJ193" s="12">
        <f>IF('Données projet'!$A$192&gt;35,EJ192+EI193-ER192,IF(A193&lt;'Données projet'!$A$192,$EG$205^A193,IF(A193='Données projet'!$A$192,'Données projet'!$B$192,EJ192+EI193-ER192)))</f>
        <v>349.46666666666692</v>
      </c>
      <c r="EK193" s="17">
        <f>EJ193*VLOOKUP('Données projet'!$B$15,Paramètres!$A$1:$I$89,3,0)*VLOOKUP('Données projet'!$B$15,Paramètres!$A$1:$I$89,5,0)</f>
        <v>223.51888000000017</v>
      </c>
      <c r="EL193" s="13">
        <f t="shared" si="179"/>
        <v>54.87898913920602</v>
      </c>
      <c r="EM193" s="20">
        <f t="shared" si="180"/>
        <v>484.87628875078411</v>
      </c>
      <c r="EN193" s="59">
        <f t="shared" si="128"/>
        <v>778.20962208411743</v>
      </c>
      <c r="EO193" s="59">
        <f ca="1">AVERAGE(OFFSET($EN$3,0,0,'Données projet'!$E$15+1,1))-AVERAGE(OFFSET($H$3,0,0,'Données projet'!$E$15+1,1))</f>
        <v>274.14900959323484</v>
      </c>
      <c r="EP193" s="59">
        <f t="shared" si="154"/>
        <v>130.44590390921582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23.378443203743185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23.378443203743185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-2.2737367544323206E-13</v>
      </c>
      <c r="FF193" s="17">
        <f>FE193*VLOOKUP('Données projet'!$B$16,Paramètres!$A$1:$I$89,3,0)*VLOOKUP('Données projet'!$B$16,Paramètres!$A$1:$I$89,5,0)</f>
        <v>-1.3596945791505279E-13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405.42845699663462</v>
      </c>
      <c r="FK193" s="59">
        <f t="shared" si="156"/>
        <v>292.26503163353146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26.85165134929445</v>
      </c>
      <c r="FR193" s="21">
        <f>EXP(-LN(2)/25)*FR192+(1-EXP(-LN(2)/25))/(LN(2)/25)*Calculateur!FM193*Calculateur!FO193*VLOOKUP('Données projet'!$B$16,Paramètres!$A$1:$I$89,3,0)*0.475*44/12</f>
        <v>5.3722625454811128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32.223913894775563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-2.2737367544323206E-13</v>
      </c>
      <c r="GA193" s="17">
        <f>FZ193*VLOOKUP('Données projet'!$B$17,Paramètres!$A$1:$I$89,3,0)*VLOOKUP('Données projet'!$B$17,Paramètres!$A$1:$I$89,5,0)</f>
        <v>-1.3596945791505279E-13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405.42845699663462</v>
      </c>
      <c r="GF193" s="59">
        <f t="shared" si="158"/>
        <v>292.26503163353146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26.85165134929445</v>
      </c>
      <c r="GM193" s="21">
        <f>EXP(-LN(2)/25)*GM192+(1-EXP(-LN(2)/25))/(LN(2)/25)*Calculateur!GH193*Calculateur!GJ193*VLOOKUP('Données projet'!$B$17,Paramètres!$A$1:$I$89,3,0)*0.475*44/12</f>
        <v>5.3722625454811128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32.223913894775563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-5.3205440053716299E-14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198.26255998041</v>
      </c>
      <c r="T194" s="59">
        <f t="shared" si="142"/>
        <v>238.62101708181166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8.1995135317380452</v>
      </c>
      <c r="AA194" s="21">
        <f>EXP(-LN(2)/25)*AA193+(1-EXP(-LN(2)/25))/(LN(2)/25)*Calculateur!V194*Calculateur!X194*VLOOKUP('Données projet'!$B$9,Paramètres!$A$1:$I$89,3,0)*0.475*44/12</f>
        <v>1.6476170663564407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9.8471305980944859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3.4106051316484809E-13</v>
      </c>
      <c r="AJ194" s="13">
        <f>AI194*VLOOKUP('Données projet'!$B$10,Paramètres!$A$1:$I$89,3,0)*VLOOKUP('Données projet'!$B$10,Paramètres!$A$1:$I$89,5,0)</f>
        <v>1.9065282685915009E-13</v>
      </c>
      <c r="AK194" s="13">
        <f t="shared" si="164"/>
        <v>2.6568987209435707E-12</v>
      </c>
      <c r="AL194" s="20">
        <f t="shared" si="165"/>
        <v>4.959485612423072E-12</v>
      </c>
      <c r="AM194" s="59">
        <f t="shared" si="113"/>
        <v>293.33333333333826</v>
      </c>
      <c r="AN194" s="59">
        <f ca="1">AVERAGE(OFFSET($AM$3,0,0,'Données projet'!$E$10+1,1))-AVERAGE(OFFSET($H$3,0,0,'Données projet'!$E$10+1,1))</f>
        <v>347.02720636703873</v>
      </c>
      <c r="AO194" s="59">
        <f t="shared" si="144"/>
        <v>394.03759949558702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17.898665751236223</v>
      </c>
      <c r="AV194" s="21">
        <f>EXP(-LN(2)/25)*AV193+(1-EXP(-LN(2)/25))/(LN(2)/25)*Calculateur!AQ194*Calculateur!AS194*VLOOKUP('Données projet'!$B$10,Paramètres!$A$1:$I$89,3,0)*0.475*44/12</f>
        <v>3.5066996072638954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21.40536535850012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-3.4106051316484809E-13</v>
      </c>
      <c r="BE194" s="13">
        <f>BD194*VLOOKUP('Données projet'!$B$11,Paramètres!$A$1:$I$89,3,0)*VLOOKUP('Données projet'!$B$11,Paramètres!$A$1:$I$89,5,0)</f>
        <v>-2.0395418687257919E-13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378.75660696651238</v>
      </c>
      <c r="BJ194" s="59">
        <f t="shared" si="146"/>
        <v>371.70674704563288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17.705794090209299</v>
      </c>
      <c r="BQ194" s="21">
        <f>EXP(-LN(2)/25)*BQ193+(1-EXP(-LN(2)/25))/(LN(2)/25)*Calculateur!BL194*Calculateur!BN194*VLOOKUP('Données projet'!$B$11,Paramètres!$A$1:$I$89,3,0)*0.475*44/12</f>
        <v>3.3881975648972626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21.09399165510656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5.2666666666666666</v>
      </c>
      <c r="BY194" s="12">
        <f>IF('Données projet'!$A$114&gt;35,BY193+BX194-CG193,IF(A194&lt;'Données projet'!$A$114,$BV$205^A194,IF(A194='Données projet'!$A$114,'Données projet'!$B$114,BY193+BX194-CG193)))</f>
        <v>354.73333333333358</v>
      </c>
      <c r="BZ194" s="13">
        <f>BY194*VLOOKUP('Données projet'!$B$12,Paramètres!$A$1:$I$89,3,0)*VLOOKUP('Données projet'!$B$12,Paramètres!$A$1:$I$89,5,0)</f>
        <v>359.69960000000026</v>
      </c>
      <c r="CA194" s="13">
        <f t="shared" si="170"/>
        <v>83.556570984747168</v>
      </c>
      <c r="CB194" s="20">
        <f t="shared" si="171"/>
        <v>772.00449779843495</v>
      </c>
      <c r="CC194" s="59">
        <f t="shared" si="119"/>
        <v>1065.3378311317683</v>
      </c>
      <c r="CD194" s="59">
        <f ca="1">AVERAGE(OFFSET($CC$3,0,0,'Données projet'!$E$12+1,1))-AVERAGE(OFFSET($H$3,0,0,'Données projet'!$E$12+1,1))</f>
        <v>410.75375635525211</v>
      </c>
      <c r="CE194" s="59">
        <f t="shared" si="148"/>
        <v>183.55513001437367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36.336595182375852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36.336595182375852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-2.2737367544323206E-13</v>
      </c>
      <c r="CU194" s="17">
        <f>CT194*VLOOKUP('Données projet'!$B$13,Paramètres!$A$1:$I$89,3,0)*VLOOKUP('Données projet'!$B$13,Paramètres!$A$1:$I$89,5,0)</f>
        <v>-2.0572770154103635E-13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436.12708882925142</v>
      </c>
      <c r="CZ194" s="59">
        <f t="shared" si="150"/>
        <v>217.65884352525285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97.228752325208632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97.228752325208632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3.4106051316484809E-13</v>
      </c>
      <c r="DP194" s="17">
        <f>DO194*VLOOKUP('Données projet'!$B$14,Paramètres!$A$1:$I$89,3,0)*VLOOKUP('Données projet'!$B$14,Paramètres!$A$1:$I$89,5,0)</f>
        <v>3.2455318432766944E-13</v>
      </c>
      <c r="DQ194" s="13">
        <f t="shared" si="176"/>
        <v>4.2513245787534721E-12</v>
      </c>
      <c r="DR194" s="20">
        <f t="shared" si="177"/>
        <v>7.9696537706996534E-12</v>
      </c>
      <c r="DS194" s="59">
        <f t="shared" si="125"/>
        <v>293.33333333334127</v>
      </c>
      <c r="DT194" s="59">
        <f ca="1">AVERAGE(OFFSET($DS$3,0,0,'Données projet'!$E$14+1,1))-AVERAGE(OFFSET($H$3,0,0,'Données projet'!$E$14+1,1))</f>
        <v>735.50267870886194</v>
      </c>
      <c r="DU194" s="59">
        <f t="shared" si="152"/>
        <v>525.80345400853275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47.232551729784319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47.232551729784319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5.2666666666666666</v>
      </c>
      <c r="EJ194" s="12">
        <f>IF('Données projet'!$A$192&gt;35,EJ193+EI194-ER193,IF(A194&lt;'Données projet'!$A$192,$EG$205^A194,IF(A194='Données projet'!$A$192,'Données projet'!$B$192,EJ193+EI194-ER193)))</f>
        <v>354.73333333333358</v>
      </c>
      <c r="EK194" s="17">
        <f>EJ194*VLOOKUP('Données projet'!$B$15,Paramètres!$A$1:$I$89,3,0)*VLOOKUP('Données projet'!$B$15,Paramètres!$A$1:$I$89,5,0)</f>
        <v>226.88744000000014</v>
      </c>
      <c r="EL194" s="13">
        <f t="shared" si="179"/>
        <v>55.609140528701865</v>
      </c>
      <c r="EM194" s="20">
        <f t="shared" si="180"/>
        <v>492.01487775415598</v>
      </c>
      <c r="EN194" s="59">
        <f t="shared" si="128"/>
        <v>785.34821108748929</v>
      </c>
      <c r="EO194" s="59">
        <f ca="1">AVERAGE(OFFSET($EN$3,0,0,'Données projet'!$E$15+1,1))-AVERAGE(OFFSET($H$3,0,0,'Données projet'!$E$15+1,1))</f>
        <v>274.14900959323484</v>
      </c>
      <c r="EP194" s="59">
        <f t="shared" si="154"/>
        <v>130.44590390921582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22.920006191960134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22.920006191960134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-2.2737367544323206E-13</v>
      </c>
      <c r="FF194" s="17">
        <f>FE194*VLOOKUP('Données projet'!$B$16,Paramètres!$A$1:$I$89,3,0)*VLOOKUP('Données projet'!$B$16,Paramètres!$A$1:$I$89,5,0)</f>
        <v>-1.3596945791505279E-13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405.42845699663462</v>
      </c>
      <c r="FK194" s="59">
        <f t="shared" si="156"/>
        <v>292.26503163353146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26.325106844224926</v>
      </c>
      <c r="FR194" s="21">
        <f>EXP(-LN(2)/25)*FR193+(1-EXP(-LN(2)/25))/(LN(2)/25)*Calculateur!FM194*Calculateur!FO194*VLOOKUP('Données projet'!$B$16,Paramètres!$A$1:$I$89,3,0)*0.475*44/12</f>
        <v>5.2253577436599228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31.55046458788485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-2.2737367544323206E-13</v>
      </c>
      <c r="GA194" s="17">
        <f>FZ194*VLOOKUP('Données projet'!$B$17,Paramètres!$A$1:$I$89,3,0)*VLOOKUP('Données projet'!$B$17,Paramètres!$A$1:$I$89,5,0)</f>
        <v>-1.3596945791505279E-13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405.42845699663462</v>
      </c>
      <c r="GF194" s="59">
        <f t="shared" si="158"/>
        <v>292.26503163353146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26.325106844224926</v>
      </c>
      <c r="GM194" s="21">
        <f>EXP(-LN(2)/25)*GM193+(1-EXP(-LN(2)/25))/(LN(2)/25)*Calculateur!GH194*Calculateur!GJ194*VLOOKUP('Données projet'!$B$17,Paramètres!$A$1:$I$89,3,0)*0.475*44/12</f>
        <v>5.2253577436599228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31.55046458788485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-5.3205440053716299E-14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198.26255998041</v>
      </c>
      <c r="T195" s="59">
        <f t="shared" si="142"/>
        <v>238.62101708181166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8.0387260725900873</v>
      </c>
      <c r="AA195" s="21">
        <f>EXP(-LN(2)/25)*AA194+(1-EXP(-LN(2)/25))/(LN(2)/25)*Calculateur!V195*Calculateur!X195*VLOOKUP('Données projet'!$B$9,Paramètres!$A$1:$I$89,3,0)*0.475*44/12</f>
        <v>1.602562891032508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9.6412889636225962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3.4106051316484809E-13</v>
      </c>
      <c r="AJ195" s="13">
        <f>AI195*VLOOKUP('Données projet'!$B$10,Paramètres!$A$1:$I$89,3,0)*VLOOKUP('Données projet'!$B$10,Paramètres!$A$1:$I$89,5,0)</f>
        <v>1.9065282685915009E-13</v>
      </c>
      <c r="AK195" s="13">
        <f t="shared" si="164"/>
        <v>2.6568987209435707E-12</v>
      </c>
      <c r="AL195" s="20">
        <f t="shared" si="165"/>
        <v>4.959485612423072E-12</v>
      </c>
      <c r="AM195" s="59">
        <f t="shared" si="113"/>
        <v>293.33333333333826</v>
      </c>
      <c r="AN195" s="59">
        <f ca="1">AVERAGE(OFFSET($AM$3,0,0,'Données projet'!$E$10+1,1))-AVERAGE(OFFSET($H$3,0,0,'Données projet'!$E$10+1,1))</f>
        <v>347.02720636703873</v>
      </c>
      <c r="AO195" s="59">
        <f t="shared" si="144"/>
        <v>394.03759949558702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17.547683832962615</v>
      </c>
      <c r="AV195" s="21">
        <f>EXP(-LN(2)/25)*AV194+(1-EXP(-LN(2)/25))/(LN(2)/25)*Calculateur!AQ195*Calculateur!AS195*VLOOKUP('Données projet'!$B$10,Paramètres!$A$1:$I$89,3,0)*0.475*44/12</f>
        <v>3.4108087220939467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20.958492555056562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-3.4106051316484809E-13</v>
      </c>
      <c r="BE195" s="13">
        <f>BD195*VLOOKUP('Données projet'!$B$11,Paramètres!$A$1:$I$89,3,0)*VLOOKUP('Données projet'!$B$11,Paramètres!$A$1:$I$89,5,0)</f>
        <v>-2.0395418687257919E-13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378.75660696651238</v>
      </c>
      <c r="BJ195" s="59">
        <f t="shared" si="146"/>
        <v>371.70674704563288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17.358594267568332</v>
      </c>
      <c r="BQ195" s="21">
        <f>EXP(-LN(2)/25)*BQ194+(1-EXP(-LN(2)/25))/(LN(2)/25)*Calculateur!BL195*Calculateur!BN195*VLOOKUP('Données projet'!$B$11,Paramètres!$A$1:$I$89,3,0)*0.475*44/12</f>
        <v>3.2955471243075807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20.654141391875914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>
        <f>VLOOKUP(A195,'Données projet'!$A$113:$I$133,2,0)</f>
        <v>360</v>
      </c>
      <c r="BW195" s="12">
        <f>VLOOKUP(A195,'Données projet'!$A$113:$I$133,9,0)</f>
        <v>5.2666666666666666</v>
      </c>
      <c r="BX195" s="12">
        <f t="array" ref="BX195">INDEX(BW:BW,MIN(IF(ISNUMBER(BW195:BW391),ROW(BW195:BW391),"")))</f>
        <v>5.2666666666666666</v>
      </c>
      <c r="BY195" s="12">
        <f>IF('Données projet'!$A$114&gt;35,BY194+BX195-CG194,IF(A195&lt;'Données projet'!$A$114,$BV$205^A195,IF(A195='Données projet'!$A$114,'Données projet'!$B$114,BY194+BX195-CG194)))</f>
        <v>360.00000000000023</v>
      </c>
      <c r="BZ195" s="13">
        <f>BY195*VLOOKUP('Données projet'!$B$12,Paramètres!$A$1:$I$89,3,0)*VLOOKUP('Données projet'!$B$12,Paramètres!$A$1:$I$89,5,0)</f>
        <v>365.04000000000025</v>
      </c>
      <c r="CA195" s="13">
        <f t="shared" si="170"/>
        <v>84.651779413976413</v>
      </c>
      <c r="CB195" s="20">
        <f t="shared" si="171"/>
        <v>783.21318247934266</v>
      </c>
      <c r="CC195" s="59">
        <f t="shared" si="119"/>
        <v>1076.546515812676</v>
      </c>
      <c r="CD195" s="59">
        <f ca="1">AVERAGE(OFFSET($CC$3,0,0,'Données projet'!$E$12+1,1))-AVERAGE(OFFSET($H$3,0,0,'Données projet'!$E$12+1,1))</f>
        <v>410.75375635525211</v>
      </c>
      <c r="CE195" s="59">
        <f t="shared" si="148"/>
        <v>183.55513001437367</v>
      </c>
      <c r="CF195" s="15">
        <f>IF(ISNA(VLOOKUP(A195,'Données projet'!$A$113:$I$133,3,0)),0,VLOOKUP(A195,'Données projet'!$A$113:$I$133,3,0))</f>
        <v>14</v>
      </c>
      <c r="CG195" s="15">
        <f>IF(ISNA(VLOOKUP(A195,'Données projet'!$A$113:$I$133,4,0)),0,VLOOKUP(A195,'Données projet'!$A$113:$I$133,4,0))</f>
        <v>360</v>
      </c>
      <c r="CH195" s="16">
        <f>IF(ISNA(VLOOKUP(A195,'Données projet'!$A$113:$I$133,5,0)),0%,VLOOKUP(A195,'Données projet'!$A$113:$I$133,5,0)*VLOOKUP('Données projet'!$B$12,Paramètres!$A$1:$I$89,7,0))</f>
        <v>0.25800000000000001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139.73761080891879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139.73761080891879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-2.2737367544323206E-13</v>
      </c>
      <c r="CU195" s="17">
        <f>CT195*VLOOKUP('Données projet'!$B$13,Paramètres!$A$1:$I$89,3,0)*VLOOKUP('Données projet'!$B$13,Paramètres!$A$1:$I$89,5,0)</f>
        <v>-2.0572770154103635E-13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436.12708882925142</v>
      </c>
      <c r="CZ195" s="59">
        <f t="shared" si="150"/>
        <v>217.65884352525285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95.322155795794458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95.322155795794458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3.4106051316484809E-13</v>
      </c>
      <c r="DP195" s="17">
        <f>DO195*VLOOKUP('Données projet'!$B$14,Paramètres!$A$1:$I$89,3,0)*VLOOKUP('Données projet'!$B$14,Paramètres!$A$1:$I$89,5,0)</f>
        <v>3.2455318432766944E-13</v>
      </c>
      <c r="DQ195" s="13">
        <f t="shared" si="176"/>
        <v>4.2513245787534721E-12</v>
      </c>
      <c r="DR195" s="20">
        <f t="shared" si="177"/>
        <v>7.9696537706996534E-12</v>
      </c>
      <c r="DS195" s="59">
        <f t="shared" si="125"/>
        <v>293.33333333334127</v>
      </c>
      <c r="DT195" s="59">
        <f ca="1">AVERAGE(OFFSET($DS$3,0,0,'Données projet'!$E$14+1,1))-AVERAGE(OFFSET($H$3,0,0,'Données projet'!$E$14+1,1))</f>
        <v>735.50267870886194</v>
      </c>
      <c r="DU195" s="59">
        <f t="shared" si="152"/>
        <v>525.80345400853275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46.306350199375153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46.306350199375153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>
        <f>VLOOKUP(A195,'Données projet'!$A$191:$I$211,2,0)</f>
        <v>360</v>
      </c>
      <c r="EH195" s="12">
        <f>VLOOKUP(A195,'Données projet'!$A$191:$I$211,9,0)</f>
        <v>5.2666666666666666</v>
      </c>
      <c r="EI195" s="12">
        <f t="array" ref="EI195">INDEX(EH:EH,MIN(IF(ISNUMBER(EH195:EH391),ROW(EH195:EH391),"")))</f>
        <v>5.2666666666666666</v>
      </c>
      <c r="EJ195" s="12">
        <f>IF('Données projet'!$A$192&gt;35,EJ194+EI195-ER194,IF(A195&lt;'Données projet'!$A$192,$EG$205^A195,IF(A195='Données projet'!$A$192,'Données projet'!$B$192,EJ194+EI195-ER194)))</f>
        <v>360.00000000000023</v>
      </c>
      <c r="EK195" s="17">
        <f>EJ195*VLOOKUP('Données projet'!$B$15,Paramètres!$A$1:$I$89,3,0)*VLOOKUP('Données projet'!$B$15,Paramètres!$A$1:$I$89,5,0)</f>
        <v>230.25600000000014</v>
      </c>
      <c r="EL195" s="13">
        <f t="shared" si="179"/>
        <v>56.338031132175168</v>
      </c>
      <c r="EM195" s="20">
        <f t="shared" si="180"/>
        <v>499.15127088853865</v>
      </c>
      <c r="EN195" s="59">
        <f t="shared" si="128"/>
        <v>792.4846042218719</v>
      </c>
      <c r="EO195" s="59">
        <f ca="1">AVERAGE(OFFSET($EN$3,0,0,'Données projet'!$E$15+1,1))-AVERAGE(OFFSET($H$3,0,0,'Données projet'!$E$15+1,1))</f>
        <v>274.14900959323484</v>
      </c>
      <c r="EP195" s="59">
        <f t="shared" si="154"/>
        <v>130.44590390921582</v>
      </c>
      <c r="EQ195" s="15">
        <f>IF(ISNA(VLOOKUP(A195,'Données projet'!$A$191:$I$211,3,0)),0,VLOOKUP(A195,'Données projet'!$A$191:$I$211,3,0))</f>
        <v>14</v>
      </c>
      <c r="ER195" s="15">
        <f>IF(ISNA(VLOOKUP(A195,'Données projet'!$A$191:$I$211,4,0)),0,VLOOKUP(A195,'Données projet'!$A$191:$I$211,4,0))</f>
        <v>360</v>
      </c>
      <c r="ES195" s="16">
        <f>IF(ISNA(VLOOKUP(A195,'Données projet'!$A$191:$I$211,5,0)),0%,VLOOKUP(A195,'Données projet'!$A$191:$I$211,5,0)*VLOOKUP('Données projet'!$B$15,Paramètres!$A$1:$I$89,7,0))</f>
        <v>0.25800000000000001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88.142185279471832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88.142185279471832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-2.2737367544323206E-13</v>
      </c>
      <c r="FF195" s="17">
        <f>FE195*VLOOKUP('Données projet'!$B$16,Paramètres!$A$1:$I$89,3,0)*VLOOKUP('Données projet'!$B$16,Paramètres!$A$1:$I$89,5,0)</f>
        <v>-1.3596945791505279E-13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405.42845699663462</v>
      </c>
      <c r="FK195" s="59">
        <f t="shared" si="156"/>
        <v>292.26503163353146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25.808887555739378</v>
      </c>
      <c r="FR195" s="21">
        <f>EXP(-LN(2)/25)*FR194+(1-EXP(-LN(2)/25))/(LN(2)/25)*Calculateur!FM195*Calculateur!FO195*VLOOKUP('Données projet'!$B$16,Paramètres!$A$1:$I$89,3,0)*0.475*44/12</f>
        <v>5.0824700613699214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30.8913576171093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-2.2737367544323206E-13</v>
      </c>
      <c r="GA195" s="17">
        <f>FZ195*VLOOKUP('Données projet'!$B$17,Paramètres!$A$1:$I$89,3,0)*VLOOKUP('Données projet'!$B$17,Paramètres!$A$1:$I$89,5,0)</f>
        <v>-1.3596945791505279E-13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405.42845699663462</v>
      </c>
      <c r="GF195" s="59">
        <f t="shared" si="158"/>
        <v>292.26503163353146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25.808887555739378</v>
      </c>
      <c r="GM195" s="21">
        <f>EXP(-LN(2)/25)*GM194+(1-EXP(-LN(2)/25))/(LN(2)/25)*Calculateur!GH195*Calculateur!GJ195*VLOOKUP('Données projet'!$B$17,Paramètres!$A$1:$I$89,3,0)*0.475*44/12</f>
        <v>5.0824700613699214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30.8913576171093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-5.3205440053716299E-14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198.26255998041</v>
      </c>
      <c r="T196" s="59">
        <f t="shared" si="142"/>
        <v>238.62101708181166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7.8810915574453553</v>
      </c>
      <c r="AA196" s="21">
        <f>EXP(-LN(2)/25)*AA195+(1-EXP(-LN(2)/25))/(LN(2)/25)*Calculateur!V196*Calculateur!X196*VLOOKUP('Données projet'!$B$9,Paramètres!$A$1:$I$89,3,0)*0.475*44/12</f>
        <v>1.5587407245021043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9.43983228194746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3.4106051316484809E-13</v>
      </c>
      <c r="AJ196" s="13">
        <f>AI196*VLOOKUP('Données projet'!$B$10,Paramètres!$A$1:$I$89,3,0)*VLOOKUP('Données projet'!$B$10,Paramètres!$A$1:$I$89,5,0)</f>
        <v>1.9065282685915009E-13</v>
      </c>
      <c r="AK196" s="13">
        <f t="shared" si="164"/>
        <v>2.6568987209435707E-12</v>
      </c>
      <c r="AL196" s="20">
        <f t="shared" si="165"/>
        <v>4.959485612423072E-12</v>
      </c>
      <c r="AM196" s="59">
        <f t="shared" ref="AM196:AM203" si="193">AL196+(AD196+AE196)*44/12</f>
        <v>293.33333333333826</v>
      </c>
      <c r="AN196" s="59">
        <f ca="1">AVERAGE(OFFSET($AM$3,0,0,'Données projet'!$E$10+1,1))-AVERAGE(OFFSET($H$3,0,0,'Données projet'!$E$10+1,1))</f>
        <v>347.02720636703873</v>
      </c>
      <c r="AO196" s="59">
        <f t="shared" si="144"/>
        <v>394.03759949558702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17.203584456028519</v>
      </c>
      <c r="AV196" s="21">
        <f>EXP(-LN(2)/25)*AV195+(1-EXP(-LN(2)/25))/(LN(2)/25)*Calculateur!AQ196*Calculateur!AS196*VLOOKUP('Données projet'!$B$10,Paramètres!$A$1:$I$89,3,0)*0.475*44/12</f>
        <v>3.3175399782216526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20.521124434250172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-3.4106051316484809E-13</v>
      </c>
      <c r="BE196" s="13">
        <f>BD196*VLOOKUP('Données projet'!$B$11,Paramètres!$A$1:$I$89,3,0)*VLOOKUP('Données projet'!$B$11,Paramètres!$A$1:$I$89,5,0)</f>
        <v>-2.0395418687257919E-13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378.75660696651238</v>
      </c>
      <c r="BJ196" s="59">
        <f t="shared" si="146"/>
        <v>371.70674704563288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17.018202821678372</v>
      </c>
      <c r="BQ196" s="21">
        <f>EXP(-LN(2)/25)*BQ195+(1-EXP(-LN(2)/25))/(LN(2)/25)*Calculateur!BL196*Calculateur!BN196*VLOOKUP('Données projet'!$B$11,Paramètres!$A$1:$I$89,3,0)*0.475*44/12</f>
        <v>3.2054302148880987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20.223633036566472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2.2737367544323206E-13</v>
      </c>
      <c r="BZ196" s="13">
        <f>BY196*VLOOKUP('Données projet'!$B$12,Paramètres!$A$1:$I$89,3,0)*VLOOKUP('Données projet'!$B$12,Paramètres!$A$1:$I$89,5,0)</f>
        <v>2.3055690689943731E-13</v>
      </c>
      <c r="CA196" s="13">
        <f t="shared" si="170"/>
        <v>3.142699285622457E-12</v>
      </c>
      <c r="CB196" s="20">
        <f t="shared" si="171"/>
        <v>5.8750878686422984E-12</v>
      </c>
      <c r="CC196" s="59">
        <f t="shared" ref="CC196:CC203" si="195">CB196+(BT196+BU196)*44/12</f>
        <v>293.33333333333917</v>
      </c>
      <c r="CD196" s="59">
        <f ca="1">AVERAGE(OFFSET($CC$3,0,0,'Données projet'!$E$12+1,1))-AVERAGE(OFFSET($H$3,0,0,'Données projet'!$E$12+1,1))</f>
        <v>410.75375635525211</v>
      </c>
      <c r="CE196" s="59">
        <f t="shared" si="148"/>
        <v>183.55513001437367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136.99744149248258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136.99744149248258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-2.2737367544323206E-13</v>
      </c>
      <c r="CU196" s="17">
        <f>CT196*VLOOKUP('Données projet'!$B$13,Paramètres!$A$1:$I$89,3,0)*VLOOKUP('Données projet'!$B$13,Paramètres!$A$1:$I$89,5,0)</f>
        <v>-2.0572770154103635E-13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436.12708882925142</v>
      </c>
      <c r="CZ196" s="59">
        <f t="shared" si="150"/>
        <v>217.65884352525285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93.452946461413035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93.452946461413035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3.4106051316484809E-13</v>
      </c>
      <c r="DP196" s="17">
        <f>DO196*VLOOKUP('Données projet'!$B$14,Paramètres!$A$1:$I$89,3,0)*VLOOKUP('Données projet'!$B$14,Paramètres!$A$1:$I$89,5,0)</f>
        <v>3.2455318432766944E-13</v>
      </c>
      <c r="DQ196" s="13">
        <f t="shared" si="176"/>
        <v>4.2513245787534721E-12</v>
      </c>
      <c r="DR196" s="20">
        <f t="shared" si="177"/>
        <v>7.9696537706996534E-12</v>
      </c>
      <c r="DS196" s="59">
        <f t="shared" ref="DS196:DS203" si="197">DR196+(DJ196+DK196)*44/12</f>
        <v>293.33333333334127</v>
      </c>
      <c r="DT196" s="59">
        <f ca="1">AVERAGE(OFFSET($DS$3,0,0,'Données projet'!$E$14+1,1))-AVERAGE(OFFSET($H$3,0,0,'Données projet'!$E$14+1,1))</f>
        <v>735.50267870886194</v>
      </c>
      <c r="DU196" s="59">
        <f t="shared" si="152"/>
        <v>525.80345400853275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45.398310916050157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45.398310916050157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2.2737367544323206E-13</v>
      </c>
      <c r="EK196" s="17">
        <f>EJ196*VLOOKUP('Données projet'!$B$15,Paramètres!$A$1:$I$89,3,0)*VLOOKUP('Données projet'!$B$15,Paramètres!$A$1:$I$89,5,0)</f>
        <v>1.4542820281349121E-13</v>
      </c>
      <c r="EL196" s="13">
        <f t="shared" si="179"/>
        <v>2.0915507201167065E-12</v>
      </c>
      <c r="EM196" s="20">
        <f t="shared" si="180"/>
        <v>3.8960716241034272E-12</v>
      </c>
      <c r="EN196" s="59">
        <f t="shared" ref="EN196:EN203" si="198">EM196+(EE196+EF196)*44/12</f>
        <v>293.33333333333724</v>
      </c>
      <c r="EO196" s="59">
        <f ca="1">AVERAGE(OFFSET($EN$3,0,0,'Données projet'!$E$15+1,1))-AVERAGE(OFFSET($H$3,0,0,'Données projet'!$E$15+1,1))</f>
        <v>274.14900959323484</v>
      </c>
      <c r="EP196" s="59">
        <f t="shared" si="154"/>
        <v>130.44590390921582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86.413770787565909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86.413770787565909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-2.2737367544323206E-13</v>
      </c>
      <c r="FF196" s="17">
        <f>FE196*VLOOKUP('Données projet'!$B$16,Paramètres!$A$1:$I$89,3,0)*VLOOKUP('Données projet'!$B$16,Paramètres!$A$1:$I$89,5,0)</f>
        <v>-1.3596945791505279E-13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405.42845699663462</v>
      </c>
      <c r="FK196" s="59">
        <f t="shared" si="156"/>
        <v>292.26503163353146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25.302791012638359</v>
      </c>
      <c r="FR196" s="21">
        <f>EXP(-LN(2)/25)*FR195+(1-EXP(-LN(2)/25))/(LN(2)/25)*Calculateur!FM196*Calculateur!FO196*VLOOKUP('Données projet'!$B$16,Paramètres!$A$1:$I$89,3,0)*0.475*44/12</f>
        <v>4.9434896502662768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30.246280662904635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-2.2737367544323206E-13</v>
      </c>
      <c r="GA196" s="17">
        <f>FZ196*VLOOKUP('Données projet'!$B$17,Paramètres!$A$1:$I$89,3,0)*VLOOKUP('Données projet'!$B$17,Paramètres!$A$1:$I$89,5,0)</f>
        <v>-1.3596945791505279E-13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405.42845699663462</v>
      </c>
      <c r="GF196" s="59">
        <f t="shared" si="158"/>
        <v>292.26503163353146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25.302791012638359</v>
      </c>
      <c r="GM196" s="21">
        <f>EXP(-LN(2)/25)*GM195+(1-EXP(-LN(2)/25))/(LN(2)/25)*Calculateur!GH196*Calculateur!GJ196*VLOOKUP('Données projet'!$B$17,Paramètres!$A$1:$I$89,3,0)*0.475*44/12</f>
        <v>4.9434896502662768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30.246280662904635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-5.3205440053716299E-14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198.26255998041</v>
      </c>
      <c r="T197" s="59">
        <f t="shared" ref="T197:T203" si="204">$T$3</f>
        <v>238.62101708181166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7.7265481589950511</v>
      </c>
      <c r="AA197" s="21">
        <f>EXP(-LN(2)/25)*AA196+(1-EXP(-LN(2)/25))/(LN(2)/25)*Calculateur!V197*Calculateur!X197*VLOOKUP('Données projet'!$B$9,Paramètres!$A$1:$I$89,3,0)*0.475*44/12</f>
        <v>1.516116877419982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9.2426650364150333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3.4106051316484809E-13</v>
      </c>
      <c r="AJ197" s="13">
        <f>AI197*VLOOKUP('Données projet'!$B$10,Paramètres!$A$1:$I$89,3,0)*VLOOKUP('Données projet'!$B$10,Paramètres!$A$1:$I$89,5,0)</f>
        <v>1.9065282685915009E-13</v>
      </c>
      <c r="AK197" s="13">
        <f t="shared" si="164"/>
        <v>2.6568987209435707E-12</v>
      </c>
      <c r="AL197" s="20">
        <f t="shared" si="165"/>
        <v>4.959485612423072E-12</v>
      </c>
      <c r="AM197" s="59">
        <f t="shared" si="193"/>
        <v>293.33333333333826</v>
      </c>
      <c r="AN197" s="59">
        <f ca="1">AVERAGE(OFFSET($AM$3,0,0,'Données projet'!$E$10+1,1))-AVERAGE(OFFSET($H$3,0,0,'Données projet'!$E$10+1,1))</f>
        <v>347.02720636703873</v>
      </c>
      <c r="AO197" s="59">
        <f t="shared" ref="AO197:AO203" si="205">$AO$3</f>
        <v>394.03759949558702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16.866232657996207</v>
      </c>
      <c r="AV197" s="21">
        <f>EXP(-LN(2)/25)*AV196+(1-EXP(-LN(2)/25))/(LN(2)/25)*Calculateur!AQ197*Calculateur!AS197*VLOOKUP('Données projet'!$B$10,Paramètres!$A$1:$I$89,3,0)*0.475*44/12</f>
        <v>3.2268216730553365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20.093054331051544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-3.4106051316484809E-13</v>
      </c>
      <c r="BE197" s="13">
        <f>BD197*VLOOKUP('Données projet'!$B$11,Paramètres!$A$1:$I$89,3,0)*VLOOKUP('Données projet'!$B$11,Paramètres!$A$1:$I$89,5,0)</f>
        <v>-2.0395418687257919E-13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378.75660696651238</v>
      </c>
      <c r="BJ197" s="59">
        <f t="shared" ref="BJ197:BJ203" si="206">$BJ$3</f>
        <v>371.70674704563288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16.684486244424033</v>
      </c>
      <c r="BQ197" s="21">
        <f>EXP(-LN(2)/25)*BQ196+(1-EXP(-LN(2)/25))/(LN(2)/25)*Calculateur!BL197*Calculateur!BN197*VLOOKUP('Données projet'!$B$11,Paramètres!$A$1:$I$89,3,0)*0.475*44/12</f>
        <v>3.1177775570957347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19.802263801519768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2.2737367544323206E-13</v>
      </c>
      <c r="BZ197" s="13">
        <f>BY197*VLOOKUP('Données projet'!$B$12,Paramètres!$A$1:$I$89,3,0)*VLOOKUP('Données projet'!$B$12,Paramètres!$A$1:$I$89,5,0)</f>
        <v>2.3055690689943731E-13</v>
      </c>
      <c r="CA197" s="13">
        <f t="shared" si="170"/>
        <v>3.142699285622457E-12</v>
      </c>
      <c r="CB197" s="20">
        <f t="shared" si="171"/>
        <v>5.8750878686422984E-12</v>
      </c>
      <c r="CC197" s="59">
        <f t="shared" si="195"/>
        <v>293.33333333333917</v>
      </c>
      <c r="CD197" s="59">
        <f ca="1">AVERAGE(OFFSET($CC$3,0,0,'Données projet'!$E$12+1,1))-AVERAGE(OFFSET($H$3,0,0,'Données projet'!$E$12+1,1))</f>
        <v>410.75375635525211</v>
      </c>
      <c r="CE197" s="59">
        <f t="shared" ref="CE197:CE203" si="207">$CE$3</f>
        <v>183.55513001437367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134.31100522500341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134.31100522500341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-2.2737367544323206E-13</v>
      </c>
      <c r="CU197" s="17">
        <f>CT197*VLOOKUP('Données projet'!$B$13,Paramètres!$A$1:$I$89,3,0)*VLOOKUP('Données projet'!$B$13,Paramètres!$A$1:$I$89,5,0)</f>
        <v>-2.0572770154103635E-13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436.12708882925142</v>
      </c>
      <c r="CZ197" s="59">
        <f t="shared" ref="CZ197:CZ203" si="208">$CZ$3</f>
        <v>217.65884352525285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91.620391181973716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91.620391181973716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3.4106051316484809E-13</v>
      </c>
      <c r="DP197" s="17">
        <f>DO197*VLOOKUP('Données projet'!$B$14,Paramètres!$A$1:$I$89,3,0)*VLOOKUP('Données projet'!$B$14,Paramètres!$A$1:$I$89,5,0)</f>
        <v>3.2455318432766944E-13</v>
      </c>
      <c r="DQ197" s="13">
        <f t="shared" si="176"/>
        <v>4.2513245787534721E-12</v>
      </c>
      <c r="DR197" s="20">
        <f t="shared" si="177"/>
        <v>7.9696537706996534E-12</v>
      </c>
      <c r="DS197" s="59">
        <f t="shared" si="197"/>
        <v>293.33333333334127</v>
      </c>
      <c r="DT197" s="59">
        <f ca="1">AVERAGE(OFFSET($DS$3,0,0,'Données projet'!$E$14+1,1))-AVERAGE(OFFSET($H$3,0,0,'Données projet'!$E$14+1,1))</f>
        <v>735.50267870886194</v>
      </c>
      <c r="DU197" s="59">
        <f t="shared" ref="DU197:DU203" si="209">$DU$3</f>
        <v>525.80345400853275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44.508077729221888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44.508077729221888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2.2737367544323206E-13</v>
      </c>
      <c r="EK197" s="17">
        <f>EJ197*VLOOKUP('Données projet'!$B$15,Paramètres!$A$1:$I$89,3,0)*VLOOKUP('Données projet'!$B$15,Paramètres!$A$1:$I$89,5,0)</f>
        <v>1.4542820281349121E-13</v>
      </c>
      <c r="EL197" s="13">
        <f t="shared" si="179"/>
        <v>2.0915507201167065E-12</v>
      </c>
      <c r="EM197" s="20">
        <f t="shared" si="180"/>
        <v>3.8960716241034272E-12</v>
      </c>
      <c r="EN197" s="59">
        <f t="shared" si="198"/>
        <v>293.33333333333724</v>
      </c>
      <c r="EO197" s="59">
        <f ca="1">AVERAGE(OFFSET($EN$3,0,0,'Données projet'!$E$15+1,1))-AVERAGE(OFFSET($H$3,0,0,'Données projet'!$E$15+1,1))</f>
        <v>274.14900959323484</v>
      </c>
      <c r="EP197" s="59">
        <f t="shared" ref="EP197:EP203" si="210">$EP$3</f>
        <v>130.44590390921582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84.719249449617521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84.719249449617521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-2.2737367544323206E-13</v>
      </c>
      <c r="FF197" s="17">
        <f>FE197*VLOOKUP('Données projet'!$B$16,Paramètres!$A$1:$I$89,3,0)*VLOOKUP('Données projet'!$B$16,Paramètres!$A$1:$I$89,5,0)</f>
        <v>-1.3596945791505279E-13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405.42845699663462</v>
      </c>
      <c r="FK197" s="59">
        <f t="shared" ref="FK197:FK203" si="211">$FK$3</f>
        <v>292.26503163353146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24.806618714059137</v>
      </c>
      <c r="FR197" s="21">
        <f>EXP(-LN(2)/25)*FR196+(1-EXP(-LN(2)/25))/(LN(2)/25)*Calculateur!FM197*Calculateur!FO197*VLOOKUP('Données projet'!$B$16,Paramètres!$A$1:$I$89,3,0)*0.475*44/12</f>
        <v>4.8083096658129234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29.614928379872062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-2.2737367544323206E-13</v>
      </c>
      <c r="GA197" s="17">
        <f>FZ197*VLOOKUP('Données projet'!$B$17,Paramètres!$A$1:$I$89,3,0)*VLOOKUP('Données projet'!$B$17,Paramètres!$A$1:$I$89,5,0)</f>
        <v>-1.3596945791505279E-13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405.42845699663462</v>
      </c>
      <c r="GF197" s="59">
        <f t="shared" ref="GF197:GF203" si="212">$GF$3</f>
        <v>292.26503163353146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24.806618714059137</v>
      </c>
      <c r="GM197" s="21">
        <f>EXP(-LN(2)/25)*GM196+(1-EXP(-LN(2)/25))/(LN(2)/25)*Calculateur!GH197*Calculateur!GJ197*VLOOKUP('Données projet'!$B$17,Paramètres!$A$1:$I$89,3,0)*0.475*44/12</f>
        <v>4.8083096658129234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29.614928379872062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-5.3205440053716299E-14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198.26255998041</v>
      </c>
      <c r="T198" s="59">
        <f t="shared" si="204"/>
        <v>238.62101708181166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7.5750352623261916</v>
      </c>
      <c r="AA198" s="21">
        <f>EXP(-LN(2)/25)*AA197+(1-EXP(-LN(2)/25))/(LN(2)/25)*Calculateur!V198*Calculateur!X198*VLOOKUP('Données projet'!$B$9,Paramètres!$A$1:$I$89,3,0)*0.475*44/12</f>
        <v>1.4746585816778111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9.0496938440040022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3.4106051316484809E-13</v>
      </c>
      <c r="AJ198" s="13">
        <f>AI198*VLOOKUP('Données projet'!$B$10,Paramètres!$A$1:$I$89,3,0)*VLOOKUP('Données projet'!$B$10,Paramètres!$A$1:$I$89,5,0)</f>
        <v>1.9065282685915009E-13</v>
      </c>
      <c r="AK198" s="13">
        <f t="shared" si="164"/>
        <v>2.6568987209435707E-12</v>
      </c>
      <c r="AL198" s="20">
        <f t="shared" si="165"/>
        <v>4.959485612423072E-12</v>
      </c>
      <c r="AM198" s="59">
        <f t="shared" si="193"/>
        <v>293.33333333333826</v>
      </c>
      <c r="AN198" s="59">
        <f ca="1">AVERAGE(OFFSET($AM$3,0,0,'Données projet'!$E$10+1,1))-AVERAGE(OFFSET($H$3,0,0,'Données projet'!$E$10+1,1))</f>
        <v>347.02720636703873</v>
      </c>
      <c r="AO198" s="59">
        <f t="shared" si="205"/>
        <v>394.03759949558702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16.535496122959028</v>
      </c>
      <c r="AV198" s="21">
        <f>EXP(-LN(2)/25)*AV197+(1-EXP(-LN(2)/25))/(LN(2)/25)*Calculateur!AQ198*Calculateur!AS198*VLOOKUP('Données projet'!$B$10,Paramètres!$A$1:$I$89,3,0)*0.475*44/12</f>
        <v>3.1385840647144616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19.674080187673489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-3.4106051316484809E-13</v>
      </c>
      <c r="BE198" s="13">
        <f>BD198*VLOOKUP('Données projet'!$B$11,Paramètres!$A$1:$I$89,3,0)*VLOOKUP('Données projet'!$B$11,Paramètres!$A$1:$I$89,5,0)</f>
        <v>-2.0395418687257919E-13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378.75660696651238</v>
      </c>
      <c r="BJ198" s="59">
        <f t="shared" si="206"/>
        <v>371.70674704563288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16.357313645702636</v>
      </c>
      <c r="BQ198" s="21">
        <f>EXP(-LN(2)/25)*BQ197+(1-EXP(-LN(2)/25))/(LN(2)/25)*Calculateur!BL198*Calculateur!BN198*VLOOKUP('Données projet'!$B$11,Paramètres!$A$1:$I$89,3,0)*0.475*44/12</f>
        <v>3.0325217658401558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19.389835411542791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2.2737367544323206E-13</v>
      </c>
      <c r="BZ198" s="13">
        <f>BY198*VLOOKUP('Données projet'!$B$12,Paramètres!$A$1:$I$89,3,0)*VLOOKUP('Données projet'!$B$12,Paramètres!$A$1:$I$89,5,0)</f>
        <v>2.3055690689943731E-13</v>
      </c>
      <c r="CA198" s="13">
        <f t="shared" si="170"/>
        <v>3.142699285622457E-12</v>
      </c>
      <c r="CB198" s="20">
        <f t="shared" si="171"/>
        <v>5.8750878686422984E-12</v>
      </c>
      <c r="CC198" s="59">
        <f t="shared" si="195"/>
        <v>293.33333333333917</v>
      </c>
      <c r="CD198" s="59">
        <f ca="1">AVERAGE(OFFSET($CC$3,0,0,'Données projet'!$E$12+1,1))-AVERAGE(OFFSET($H$3,0,0,'Données projet'!$E$12+1,1))</f>
        <v>410.75375635525211</v>
      </c>
      <c r="CE198" s="59">
        <f t="shared" si="207"/>
        <v>183.55513001437367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131.6772483341652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131.6772483341652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-2.2737367544323206E-13</v>
      </c>
      <c r="CU198" s="17">
        <f>CT198*VLOOKUP('Données projet'!$B$13,Paramètres!$A$1:$I$89,3,0)*VLOOKUP('Données projet'!$B$13,Paramètres!$A$1:$I$89,5,0)</f>
        <v>-2.0572770154103635E-13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436.12708882925142</v>
      </c>
      <c r="CZ198" s="59">
        <f t="shared" si="208"/>
        <v>217.65884352525285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89.823771193815858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89.823771193815858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3.4106051316484809E-13</v>
      </c>
      <c r="DP198" s="17">
        <f>DO198*VLOOKUP('Données projet'!$B$14,Paramètres!$A$1:$I$89,3,0)*VLOOKUP('Données projet'!$B$14,Paramètres!$A$1:$I$89,5,0)</f>
        <v>3.2455318432766944E-13</v>
      </c>
      <c r="DQ198" s="13">
        <f t="shared" si="176"/>
        <v>4.2513245787534721E-12</v>
      </c>
      <c r="DR198" s="20">
        <f t="shared" si="177"/>
        <v>7.9696537706996534E-12</v>
      </c>
      <c r="DS198" s="59">
        <f t="shared" si="197"/>
        <v>293.33333333334127</v>
      </c>
      <c r="DT198" s="59">
        <f ca="1">AVERAGE(OFFSET($DS$3,0,0,'Données projet'!$E$14+1,1))-AVERAGE(OFFSET($H$3,0,0,'Données projet'!$E$14+1,1))</f>
        <v>735.50267870886194</v>
      </c>
      <c r="DU198" s="59">
        <f t="shared" si="209"/>
        <v>525.80345400853275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43.635301472198691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43.635301472198691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2.2737367544323206E-13</v>
      </c>
      <c r="EK198" s="17">
        <f>EJ198*VLOOKUP('Données projet'!$B$15,Paramètres!$A$1:$I$89,3,0)*VLOOKUP('Données projet'!$B$15,Paramètres!$A$1:$I$89,5,0)</f>
        <v>1.4542820281349121E-13</v>
      </c>
      <c r="EL198" s="13">
        <f t="shared" si="179"/>
        <v>2.0915507201167065E-12</v>
      </c>
      <c r="EM198" s="20">
        <f t="shared" si="180"/>
        <v>3.8960716241034272E-12</v>
      </c>
      <c r="EN198" s="59">
        <f t="shared" si="198"/>
        <v>293.33333333333724</v>
      </c>
      <c r="EO198" s="59">
        <f ca="1">AVERAGE(OFFSET($EN$3,0,0,'Données projet'!$E$15+1,1))-AVERAGE(OFFSET($H$3,0,0,'Données projet'!$E$15+1,1))</f>
        <v>274.14900959323484</v>
      </c>
      <c r="EP198" s="59">
        <f t="shared" si="210"/>
        <v>130.44590390921582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83.057956641550334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83.057956641550334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-2.2737367544323206E-13</v>
      </c>
      <c r="FF198" s="17">
        <f>FE198*VLOOKUP('Données projet'!$B$16,Paramètres!$A$1:$I$89,3,0)*VLOOKUP('Données projet'!$B$16,Paramètres!$A$1:$I$89,5,0)</f>
        <v>-1.3596945791505279E-13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405.42845699663462</v>
      </c>
      <c r="FK198" s="59">
        <f t="shared" si="211"/>
        <v>292.26503163353146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24.320176051619836</v>
      </c>
      <c r="FR198" s="21">
        <f>EXP(-LN(2)/25)*FR197+(1-EXP(-LN(2)/25))/(LN(2)/25)*Calculateur!FM198*Calculateur!FO198*VLOOKUP('Données projet'!$B$16,Paramètres!$A$1:$I$89,3,0)*0.475*44/12</f>
        <v>4.6768261851432529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28.997002236763088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-2.2737367544323206E-13</v>
      </c>
      <c r="GA198" s="17">
        <f>FZ198*VLOOKUP('Données projet'!$B$17,Paramètres!$A$1:$I$89,3,0)*VLOOKUP('Données projet'!$B$17,Paramètres!$A$1:$I$89,5,0)</f>
        <v>-1.3596945791505279E-13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405.42845699663462</v>
      </c>
      <c r="GF198" s="59">
        <f t="shared" si="212"/>
        <v>292.26503163353146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24.320176051619836</v>
      </c>
      <c r="GM198" s="21">
        <f>EXP(-LN(2)/25)*GM197+(1-EXP(-LN(2)/25))/(LN(2)/25)*Calculateur!GH198*Calculateur!GJ198*VLOOKUP('Données projet'!$B$17,Paramètres!$A$1:$I$89,3,0)*0.475*44/12</f>
        <v>4.6768261851432529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28.997002236763088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-5.3205440053716299E-14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198.26255998041</v>
      </c>
      <c r="T199" s="59">
        <f t="shared" si="204"/>
        <v>238.62101708181166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7.4264934411472669</v>
      </c>
      <c r="AA199" s="21">
        <f>EXP(-LN(2)/25)*AA198+(1-EXP(-LN(2)/25))/(LN(2)/25)*Calculateur!V199*Calculateur!X199*VLOOKUP('Données projet'!$B$9,Paramètres!$A$1:$I$89,3,0)*0.475*44/12</f>
        <v>1.4343339652129068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8.8608274063601744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3.4106051316484809E-13</v>
      </c>
      <c r="AJ199" s="13">
        <f>AI199*VLOOKUP('Données projet'!$B$10,Paramètres!$A$1:$I$89,3,0)*VLOOKUP('Données projet'!$B$10,Paramètres!$A$1:$I$89,5,0)</f>
        <v>1.9065282685915009E-13</v>
      </c>
      <c r="AK199" s="13">
        <f t="shared" si="164"/>
        <v>2.6568987209435707E-12</v>
      </c>
      <c r="AL199" s="20">
        <f t="shared" si="165"/>
        <v>4.959485612423072E-12</v>
      </c>
      <c r="AM199" s="59">
        <f t="shared" si="193"/>
        <v>293.33333333333826</v>
      </c>
      <c r="AN199" s="59">
        <f ca="1">AVERAGE(OFFSET($AM$3,0,0,'Données projet'!$E$10+1,1))-AVERAGE(OFFSET($H$3,0,0,'Données projet'!$E$10+1,1))</f>
        <v>347.02720636703873</v>
      </c>
      <c r="AO199" s="59">
        <f t="shared" si="205"/>
        <v>394.03759949558702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16.21124512964456</v>
      </c>
      <c r="AV199" s="21">
        <f>EXP(-LN(2)/25)*AV198+(1-EXP(-LN(2)/25))/(LN(2)/25)*Calculateur!AQ199*Calculateur!AS199*VLOOKUP('Données projet'!$B$10,Paramètres!$A$1:$I$89,3,0)*0.475*44/12</f>
        <v>3.0527593184138819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19.264004448058444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-3.4106051316484809E-13</v>
      </c>
      <c r="BE199" s="13">
        <f>BD199*VLOOKUP('Données projet'!$B$11,Paramètres!$A$1:$I$89,3,0)*VLOOKUP('Données projet'!$B$11,Paramètres!$A$1:$I$89,5,0)</f>
        <v>-2.0395418687257919E-13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378.75660696651238</v>
      </c>
      <c r="BJ199" s="59">
        <f t="shared" si="206"/>
        <v>371.70674704563288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16.036556702086585</v>
      </c>
      <c r="BQ199" s="21">
        <f>EXP(-LN(2)/25)*BQ198+(1-EXP(-LN(2)/25))/(LN(2)/25)*Calculateur!BL199*Calculateur!BN199*VLOOKUP('Données projet'!$B$11,Paramètres!$A$1:$I$89,3,0)*0.475*44/12</f>
        <v>2.9495972986798678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18.986154000766454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2.2737367544323206E-13</v>
      </c>
      <c r="BZ199" s="13">
        <f>BY199*VLOOKUP('Données projet'!$B$12,Paramètres!$A$1:$I$89,3,0)*VLOOKUP('Données projet'!$B$12,Paramètres!$A$1:$I$89,5,0)</f>
        <v>2.3055690689943731E-13</v>
      </c>
      <c r="CA199" s="13">
        <f t="shared" si="170"/>
        <v>3.142699285622457E-12</v>
      </c>
      <c r="CB199" s="20">
        <f t="shared" si="171"/>
        <v>5.8750878686422984E-12</v>
      </c>
      <c r="CC199" s="59">
        <f t="shared" si="195"/>
        <v>293.33333333333917</v>
      </c>
      <c r="CD199" s="59">
        <f ca="1">AVERAGE(OFFSET($CC$3,0,0,'Données projet'!$E$12+1,1))-AVERAGE(OFFSET($H$3,0,0,'Données projet'!$E$12+1,1))</f>
        <v>410.75375635525211</v>
      </c>
      <c r="CE199" s="59">
        <f t="shared" si="207"/>
        <v>183.55513001437367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129.09513780952324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129.09513780952324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-2.2737367544323206E-13</v>
      </c>
      <c r="CU199" s="17">
        <f>CT199*VLOOKUP('Données projet'!$B$13,Paramètres!$A$1:$I$89,3,0)*VLOOKUP('Données projet'!$B$13,Paramètres!$A$1:$I$89,5,0)</f>
        <v>-2.0572770154103635E-13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436.12708882925142</v>
      </c>
      <c r="CZ199" s="59">
        <f t="shared" si="208"/>
        <v>217.65884352525285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88.062381827795775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88.062381827795775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3.4106051316484809E-13</v>
      </c>
      <c r="DP199" s="17">
        <f>DO199*VLOOKUP('Données projet'!$B$14,Paramètres!$A$1:$I$89,3,0)*VLOOKUP('Données projet'!$B$14,Paramètres!$A$1:$I$89,5,0)</f>
        <v>3.2455318432766944E-13</v>
      </c>
      <c r="DQ199" s="13">
        <f t="shared" si="176"/>
        <v>4.2513245787534721E-12</v>
      </c>
      <c r="DR199" s="20">
        <f t="shared" si="177"/>
        <v>7.9696537706996534E-12</v>
      </c>
      <c r="DS199" s="59">
        <f t="shared" si="197"/>
        <v>293.33333333334127</v>
      </c>
      <c r="DT199" s="59">
        <f ca="1">AVERAGE(OFFSET($DS$3,0,0,'Données projet'!$E$14+1,1))-AVERAGE(OFFSET($H$3,0,0,'Données projet'!$E$14+1,1))</f>
        <v>735.50267870886194</v>
      </c>
      <c r="DU199" s="59">
        <f t="shared" si="209"/>
        <v>525.80345400853275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42.779639825234767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42.779639825234767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2.2737367544323206E-13</v>
      </c>
      <c r="EK199" s="17">
        <f>EJ199*VLOOKUP('Données projet'!$B$15,Paramètres!$A$1:$I$89,3,0)*VLOOKUP('Données projet'!$B$15,Paramètres!$A$1:$I$89,5,0)</f>
        <v>1.4542820281349121E-13</v>
      </c>
      <c r="EL199" s="13">
        <f t="shared" si="179"/>
        <v>2.0915507201167065E-12</v>
      </c>
      <c r="EM199" s="20">
        <f t="shared" si="180"/>
        <v>3.8960716241034272E-12</v>
      </c>
      <c r="EN199" s="59">
        <f t="shared" si="198"/>
        <v>293.33333333333724</v>
      </c>
      <c r="EO199" s="59">
        <f ca="1">AVERAGE(OFFSET($EN$3,0,0,'Données projet'!$E$15+1,1))-AVERAGE(OFFSET($H$3,0,0,'Données projet'!$E$15+1,1))</f>
        <v>274.14900959323484</v>
      </c>
      <c r="EP199" s="59">
        <f t="shared" si="210"/>
        <v>130.44590390921582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81.429240772160796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81.429240772160796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-2.2737367544323206E-13</v>
      </c>
      <c r="FF199" s="17">
        <f>FE199*VLOOKUP('Données projet'!$B$16,Paramètres!$A$1:$I$89,3,0)*VLOOKUP('Données projet'!$B$16,Paramètres!$A$1:$I$89,5,0)</f>
        <v>-1.3596945791505279E-13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405.42845699663462</v>
      </c>
      <c r="FK199" s="59">
        <f t="shared" si="211"/>
        <v>292.26503163353146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23.843272233090243</v>
      </c>
      <c r="FR199" s="21">
        <f>EXP(-LN(2)/25)*FR198+(1-EXP(-LN(2)/25))/(LN(2)/25)*Calculateur!FM199*Calculateur!FO199*VLOOKUP('Données projet'!$B$16,Paramètres!$A$1:$I$89,3,0)*0.475*44/12</f>
        <v>4.5489381271669105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28.392210360257153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-2.2737367544323206E-13</v>
      </c>
      <c r="GA199" s="17">
        <f>FZ199*VLOOKUP('Données projet'!$B$17,Paramètres!$A$1:$I$89,3,0)*VLOOKUP('Données projet'!$B$17,Paramètres!$A$1:$I$89,5,0)</f>
        <v>-1.3596945791505279E-13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405.42845699663462</v>
      </c>
      <c r="GF199" s="59">
        <f t="shared" si="212"/>
        <v>292.26503163353146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23.843272233090243</v>
      </c>
      <c r="GM199" s="21">
        <f>EXP(-LN(2)/25)*GM198+(1-EXP(-LN(2)/25))/(LN(2)/25)*Calculateur!GH199*Calculateur!GJ199*VLOOKUP('Données projet'!$B$17,Paramètres!$A$1:$I$89,3,0)*0.475*44/12</f>
        <v>4.5489381271669105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28.392210360257153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-5.3205440053716299E-14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198.26255998041</v>
      </c>
      <c r="T200" s="59">
        <f t="shared" si="204"/>
        <v>238.62101708181166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7.2808644344800957</v>
      </c>
      <c r="AA200" s="21">
        <f>EXP(-LN(2)/25)*AA199+(1-EXP(-LN(2)/25))/(LN(2)/25)*Calculateur!V200*Calculateur!X200*VLOOKUP('Données projet'!$B$9,Paramètres!$A$1:$I$89,3,0)*0.475*44/12</f>
        <v>1.3951120275058149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8.6759764619859112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3.4106051316484809E-13</v>
      </c>
      <c r="AJ200" s="13">
        <f>AI200*VLOOKUP('Données projet'!$B$10,Paramètres!$A$1:$I$89,3,0)*VLOOKUP('Données projet'!$B$10,Paramètres!$A$1:$I$89,5,0)</f>
        <v>1.9065282685915009E-13</v>
      </c>
      <c r="AK200" s="13">
        <f t="shared" si="164"/>
        <v>2.6568987209435707E-12</v>
      </c>
      <c r="AL200" s="20">
        <f t="shared" si="165"/>
        <v>4.959485612423072E-12</v>
      </c>
      <c r="AM200" s="59">
        <f t="shared" si="193"/>
        <v>293.33333333333826</v>
      </c>
      <c r="AN200" s="59">
        <f ca="1">AVERAGE(OFFSET($AM$3,0,0,'Données projet'!$E$10+1,1))-AVERAGE(OFFSET($H$3,0,0,'Données projet'!$E$10+1,1))</f>
        <v>347.02720636703873</v>
      </c>
      <c r="AO200" s="59">
        <f t="shared" si="205"/>
        <v>394.03759949558702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15.893352500535412</v>
      </c>
      <c r="AV200" s="21">
        <f>EXP(-LN(2)/25)*AV199+(1-EXP(-LN(2)/25))/(LN(2)/25)*Calculateur!AQ200*Calculateur!AS200*VLOOKUP('Données projet'!$B$10,Paramètres!$A$1:$I$89,3,0)*0.475*44/12</f>
        <v>2.9692814543142187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18.862633954849631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-3.4106051316484809E-13</v>
      </c>
      <c r="BE200" s="13">
        <f>BD200*VLOOKUP('Données projet'!$B$11,Paramètres!$A$1:$I$89,3,0)*VLOOKUP('Données projet'!$B$11,Paramètres!$A$1:$I$89,5,0)</f>
        <v>-2.0395418687257919E-13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378.75660696651238</v>
      </c>
      <c r="BJ200" s="59">
        <f t="shared" si="206"/>
        <v>371.70674704563288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15.72208960649243</v>
      </c>
      <c r="BQ200" s="21">
        <f>EXP(-LN(2)/25)*BQ199+(1-EXP(-LN(2)/25))/(LN(2)/25)*Calculateur!BL200*Calculateur!BN200*VLOOKUP('Données projet'!$B$11,Paramètres!$A$1:$I$89,3,0)*0.475*44/12</f>
        <v>2.8689404054348864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18.591030011927316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2.2737367544323206E-13</v>
      </c>
      <c r="BZ200" s="13">
        <f>BY200*VLOOKUP('Données projet'!$B$12,Paramètres!$A$1:$I$89,3,0)*VLOOKUP('Données projet'!$B$12,Paramètres!$A$1:$I$89,5,0)</f>
        <v>2.3055690689943731E-13</v>
      </c>
      <c r="CA200" s="13">
        <f t="shared" si="170"/>
        <v>3.142699285622457E-12</v>
      </c>
      <c r="CB200" s="20">
        <f t="shared" si="171"/>
        <v>5.8750878686422984E-12</v>
      </c>
      <c r="CC200" s="59">
        <f t="shared" si="195"/>
        <v>293.33333333333917</v>
      </c>
      <c r="CD200" s="59">
        <f ca="1">AVERAGE(OFFSET($CC$3,0,0,'Données projet'!$E$12+1,1))-AVERAGE(OFFSET($H$3,0,0,'Données projet'!$E$12+1,1))</f>
        <v>410.75375635525211</v>
      </c>
      <c r="CE200" s="59">
        <f t="shared" si="207"/>
        <v>183.55513001437367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126.5636608973376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126.5636608973376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-2.2737367544323206E-13</v>
      </c>
      <c r="CU200" s="17">
        <f>CT200*VLOOKUP('Données projet'!$B$13,Paramètres!$A$1:$I$89,3,0)*VLOOKUP('Données projet'!$B$13,Paramètres!$A$1:$I$89,5,0)</f>
        <v>-2.0572770154103635E-13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436.12708882925142</v>
      </c>
      <c r="CZ200" s="59">
        <f t="shared" si="208"/>
        <v>217.65884352525285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86.335532232901926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86.335532232901926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3.4106051316484809E-13</v>
      </c>
      <c r="DP200" s="17">
        <f>DO200*VLOOKUP('Données projet'!$B$14,Paramètres!$A$1:$I$89,3,0)*VLOOKUP('Données projet'!$B$14,Paramètres!$A$1:$I$89,5,0)</f>
        <v>3.2455318432766944E-13</v>
      </c>
      <c r="DQ200" s="13">
        <f t="shared" si="176"/>
        <v>4.2513245787534721E-12</v>
      </c>
      <c r="DR200" s="20">
        <f t="shared" si="177"/>
        <v>7.9696537706996534E-12</v>
      </c>
      <c r="DS200" s="59">
        <f t="shared" si="197"/>
        <v>293.33333333334127</v>
      </c>
      <c r="DT200" s="59">
        <f ca="1">AVERAGE(OFFSET($DS$3,0,0,'Données projet'!$E$14+1,1))-AVERAGE(OFFSET($H$3,0,0,'Données projet'!$E$14+1,1))</f>
        <v>735.50267870886194</v>
      </c>
      <c r="DU200" s="59">
        <f t="shared" si="209"/>
        <v>525.80345400853275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41.940757181265738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41.940757181265738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2.2737367544323206E-13</v>
      </c>
      <c r="EK200" s="17">
        <f>EJ200*VLOOKUP('Données projet'!$B$15,Paramètres!$A$1:$I$89,3,0)*VLOOKUP('Données projet'!$B$15,Paramètres!$A$1:$I$89,5,0)</f>
        <v>1.4542820281349121E-13</v>
      </c>
      <c r="EL200" s="13">
        <f t="shared" si="179"/>
        <v>2.0915507201167065E-12</v>
      </c>
      <c r="EM200" s="20">
        <f t="shared" si="180"/>
        <v>3.8960716241034272E-12</v>
      </c>
      <c r="EN200" s="59">
        <f t="shared" si="198"/>
        <v>293.33333333333724</v>
      </c>
      <c r="EO200" s="59">
        <f ca="1">AVERAGE(OFFSET($EN$3,0,0,'Données projet'!$E$15+1,1))-AVERAGE(OFFSET($H$3,0,0,'Données projet'!$E$15+1,1))</f>
        <v>274.14900959323484</v>
      </c>
      <c r="EP200" s="59">
        <f t="shared" si="210"/>
        <v>130.44590390921582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79.832463027551398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79.832463027551398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-2.2737367544323206E-13</v>
      </c>
      <c r="FF200" s="17">
        <f>FE200*VLOOKUP('Données projet'!$B$16,Paramètres!$A$1:$I$89,3,0)*VLOOKUP('Données projet'!$B$16,Paramètres!$A$1:$I$89,5,0)</f>
        <v>-1.3596945791505279E-13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405.42845699663462</v>
      </c>
      <c r="FK200" s="59">
        <f t="shared" si="211"/>
        <v>292.26503163353146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23.375720207559407</v>
      </c>
      <c r="FR200" s="21">
        <f>EXP(-LN(2)/25)*FR199+(1-EXP(-LN(2)/25))/(LN(2)/25)*Calculateur!FM200*Calculateur!FO200*VLOOKUP('Données projet'!$B$16,Paramètres!$A$1:$I$89,3,0)*0.475*44/12</f>
        <v>4.4245471748612717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27.800267382420678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-2.2737367544323206E-13</v>
      </c>
      <c r="GA200" s="17">
        <f>FZ200*VLOOKUP('Données projet'!$B$17,Paramètres!$A$1:$I$89,3,0)*VLOOKUP('Données projet'!$B$17,Paramètres!$A$1:$I$89,5,0)</f>
        <v>-1.3596945791505279E-13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405.42845699663462</v>
      </c>
      <c r="GF200" s="59">
        <f t="shared" si="212"/>
        <v>292.26503163353146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23.375720207559407</v>
      </c>
      <c r="GM200" s="21">
        <f>EXP(-LN(2)/25)*GM199+(1-EXP(-LN(2)/25))/(LN(2)/25)*Calculateur!GH200*Calculateur!GJ200*VLOOKUP('Données projet'!$B$17,Paramètres!$A$1:$I$89,3,0)*0.475*44/12</f>
        <v>4.4245471748612717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27.800267382420678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-5.3205440053716299E-14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198.26255998041</v>
      </c>
      <c r="T201" s="59">
        <f t="shared" si="204"/>
        <v>238.62101708181166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7.1380911238087448</v>
      </c>
      <c r="AA201" s="21">
        <f>EXP(-LN(2)/25)*AA200+(1-EXP(-LN(2)/25))/(LN(2)/25)*Calculateur!V201*Calculateur!X201*VLOOKUP('Données projet'!$B$9,Paramètres!$A$1:$I$89,3,0)*0.475*44/12</f>
        <v>1.3569626157479153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8.4950537395566599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3.4106051316484809E-13</v>
      </c>
      <c r="AJ201" s="13">
        <f>AI201*VLOOKUP('Données projet'!$B$10,Paramètres!$A$1:$I$89,3,0)*VLOOKUP('Données projet'!$B$10,Paramètres!$A$1:$I$89,5,0)</f>
        <v>1.9065282685915009E-13</v>
      </c>
      <c r="AK201" s="13">
        <f t="shared" si="164"/>
        <v>2.6568987209435707E-12</v>
      </c>
      <c r="AL201" s="20">
        <f t="shared" si="165"/>
        <v>4.959485612423072E-12</v>
      </c>
      <c r="AM201" s="59">
        <f t="shared" si="193"/>
        <v>293.33333333333826</v>
      </c>
      <c r="AN201" s="59">
        <f ca="1">AVERAGE(OFFSET($AM$3,0,0,'Données projet'!$E$10+1,1))-AVERAGE(OFFSET($H$3,0,0,'Données projet'!$E$10+1,1))</f>
        <v>347.02720636703873</v>
      </c>
      <c r="AO201" s="59">
        <f t="shared" si="205"/>
        <v>394.03759949558702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15.581693551987737</v>
      </c>
      <c r="AV201" s="21">
        <f>EXP(-LN(2)/25)*AV200+(1-EXP(-LN(2)/25))/(LN(2)/25)*Calculateur!AQ201*Calculateur!AS201*VLOOKUP('Données projet'!$B$10,Paramètres!$A$1:$I$89,3,0)*0.475*44/12</f>
        <v>2.8880862967982712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18.469779848786008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-3.4106051316484809E-13</v>
      </c>
      <c r="BE201" s="13">
        <f>BD201*VLOOKUP('Données projet'!$B$11,Paramètres!$A$1:$I$89,3,0)*VLOOKUP('Données projet'!$B$11,Paramètres!$A$1:$I$89,5,0)</f>
        <v>-2.0395418687257919E-13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378.75660696651238</v>
      </c>
      <c r="BJ201" s="59">
        <f t="shared" si="206"/>
        <v>371.70674704563288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15.413789018836885</v>
      </c>
      <c r="BQ201" s="21">
        <f>EXP(-LN(2)/25)*BQ200+(1-EXP(-LN(2)/25))/(LN(2)/25)*Calculateur!BL201*Calculateur!BN201*VLOOKUP('Données projet'!$B$11,Paramètres!$A$1:$I$89,3,0)*0.475*44/12</f>
        <v>2.7904890791772505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18.204278098014136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2.2737367544323206E-13</v>
      </c>
      <c r="BZ201" s="13">
        <f>BY201*VLOOKUP('Données projet'!$B$12,Paramètres!$A$1:$I$89,3,0)*VLOOKUP('Données projet'!$B$12,Paramètres!$A$1:$I$89,5,0)</f>
        <v>2.3055690689943731E-13</v>
      </c>
      <c r="CA201" s="13">
        <f t="shared" si="170"/>
        <v>3.142699285622457E-12</v>
      </c>
      <c r="CB201" s="20">
        <f t="shared" si="171"/>
        <v>5.8750878686422984E-12</v>
      </c>
      <c r="CC201" s="59">
        <f t="shared" si="195"/>
        <v>293.33333333333917</v>
      </c>
      <c r="CD201" s="59">
        <f ca="1">AVERAGE(OFFSET($CC$3,0,0,'Données projet'!$E$12+1,1))-AVERAGE(OFFSET($H$3,0,0,'Données projet'!$E$12+1,1))</f>
        <v>410.75375635525211</v>
      </c>
      <c r="CE201" s="59">
        <f t="shared" si="207"/>
        <v>183.55513001437367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124.08182470335146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124.08182470335146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-2.2737367544323206E-13</v>
      </c>
      <c r="CU201" s="17">
        <f>CT201*VLOOKUP('Données projet'!$B$13,Paramètres!$A$1:$I$89,3,0)*VLOOKUP('Données projet'!$B$13,Paramètres!$A$1:$I$89,5,0)</f>
        <v>-2.0572770154103635E-13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436.12708882925142</v>
      </c>
      <c r="CZ201" s="59">
        <f t="shared" si="208"/>
        <v>217.65884352525285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84.642545105289685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84.642545105289685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3.4106051316484809E-13</v>
      </c>
      <c r="DP201" s="17">
        <f>DO201*VLOOKUP('Données projet'!$B$14,Paramètres!$A$1:$I$89,3,0)*VLOOKUP('Données projet'!$B$14,Paramètres!$A$1:$I$89,5,0)</f>
        <v>3.2455318432766944E-13</v>
      </c>
      <c r="DQ201" s="13">
        <f t="shared" si="176"/>
        <v>4.2513245787534721E-12</v>
      </c>
      <c r="DR201" s="20">
        <f t="shared" si="177"/>
        <v>7.9696537706996534E-12</v>
      </c>
      <c r="DS201" s="59">
        <f t="shared" si="197"/>
        <v>293.33333333334127</v>
      </c>
      <c r="DT201" s="59">
        <f ca="1">AVERAGE(OFFSET($DS$3,0,0,'Données projet'!$E$14+1,1))-AVERAGE(OFFSET($H$3,0,0,'Données projet'!$E$14+1,1))</f>
        <v>735.50267870886194</v>
      </c>
      <c r="DU201" s="59">
        <f t="shared" si="209"/>
        <v>525.80345400853275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41.118324514277049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41.118324514277049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2.2737367544323206E-13</v>
      </c>
      <c r="EK201" s="17">
        <f>EJ201*VLOOKUP('Données projet'!$B$15,Paramètres!$A$1:$I$89,3,0)*VLOOKUP('Données projet'!$B$15,Paramètres!$A$1:$I$89,5,0)</f>
        <v>1.4542820281349121E-13</v>
      </c>
      <c r="EL201" s="13">
        <f t="shared" si="179"/>
        <v>2.0915507201167065E-12</v>
      </c>
      <c r="EM201" s="20">
        <f t="shared" si="180"/>
        <v>3.8960716241034272E-12</v>
      </c>
      <c r="EN201" s="59">
        <f t="shared" si="198"/>
        <v>293.33333333333724</v>
      </c>
      <c r="EO201" s="59">
        <f ca="1">AVERAGE(OFFSET($EN$3,0,0,'Données projet'!$E$15+1,1))-AVERAGE(OFFSET($H$3,0,0,'Données projet'!$E$15+1,1))</f>
        <v>274.14900959323484</v>
      </c>
      <c r="EP201" s="59">
        <f t="shared" si="210"/>
        <v>130.44590390921582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78.266997120575525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78.266997120575525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-2.2737367544323206E-13</v>
      </c>
      <c r="FF201" s="17">
        <f>FE201*VLOOKUP('Données projet'!$B$16,Paramètres!$A$1:$I$89,3,0)*VLOOKUP('Données projet'!$B$16,Paramètres!$A$1:$I$89,5,0)</f>
        <v>-1.3596945791505279E-13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405.42845699663462</v>
      </c>
      <c r="FK201" s="59">
        <f t="shared" si="211"/>
        <v>292.26503163353146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22.917336592070654</v>
      </c>
      <c r="FR201" s="21">
        <f>EXP(-LN(2)/25)*FR200+(1-EXP(-LN(2)/25))/(LN(2)/25)*Calculateur!FM201*Calculateur!FO201*VLOOKUP('Données projet'!$B$16,Paramètres!$A$1:$I$89,3,0)*0.475*44/12</f>
        <v>4.3035576996878664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27.220894291758519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-2.2737367544323206E-13</v>
      </c>
      <c r="GA201" s="17">
        <f>FZ201*VLOOKUP('Données projet'!$B$17,Paramètres!$A$1:$I$89,3,0)*VLOOKUP('Données projet'!$B$17,Paramètres!$A$1:$I$89,5,0)</f>
        <v>-1.3596945791505279E-13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405.42845699663462</v>
      </c>
      <c r="GF201" s="59">
        <f t="shared" si="212"/>
        <v>292.26503163353146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22.917336592070654</v>
      </c>
      <c r="GM201" s="21">
        <f>EXP(-LN(2)/25)*GM200+(1-EXP(-LN(2)/25))/(LN(2)/25)*Calculateur!GH201*Calculateur!GJ201*VLOOKUP('Données projet'!$B$17,Paramètres!$A$1:$I$89,3,0)*0.475*44/12</f>
        <v>4.3035576996878664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27.220894291758519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-5.3205440053716299E-14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198.26255998041</v>
      </c>
      <c r="T202" s="59">
        <f t="shared" si="204"/>
        <v>238.62101708181166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6.9981175106765381</v>
      </c>
      <c r="AA202" s="21">
        <f>EXP(-LN(2)/25)*AA201+(1-EXP(-LN(2)/25))/(LN(2)/25)*Calculateur!V202*Calculateur!X202*VLOOKUP('Données projet'!$B$9,Paramètres!$A$1:$I$89,3,0)*0.475*44/12</f>
        <v>1.3198564016607259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8.3179739123372638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3.4106051316484809E-13</v>
      </c>
      <c r="AJ202" s="13">
        <f>AI202*VLOOKUP('Données projet'!$B$10,Paramètres!$A$1:$I$89,3,0)*VLOOKUP('Données projet'!$B$10,Paramètres!$A$1:$I$89,5,0)</f>
        <v>1.9065282685915009E-13</v>
      </c>
      <c r="AK202" s="13">
        <f t="shared" si="164"/>
        <v>2.6568987209435707E-12</v>
      </c>
      <c r="AL202" s="20">
        <f t="shared" si="165"/>
        <v>4.959485612423072E-12</v>
      </c>
      <c r="AM202" s="59">
        <f t="shared" si="193"/>
        <v>293.33333333333826</v>
      </c>
      <c r="AN202" s="59">
        <f ca="1">AVERAGE(OFFSET($AM$3,0,0,'Données projet'!$E$10+1,1))-AVERAGE(OFFSET($H$3,0,0,'Données projet'!$E$10+1,1))</f>
        <v>347.02720636703873</v>
      </c>
      <c r="AO202" s="59">
        <f t="shared" si="205"/>
        <v>394.03759949558702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15.276146045327893</v>
      </c>
      <c r="AV202" s="21">
        <f>EXP(-LN(2)/25)*AV201+(1-EXP(-LN(2)/25))/(LN(2)/25)*Calculateur!AQ202*Calculateur!AS202*VLOOKUP('Données projet'!$B$10,Paramètres!$A$1:$I$89,3,0)*0.475*44/12</f>
        <v>2.8091114251344651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18.085257470462359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-3.4106051316484809E-13</v>
      </c>
      <c r="BE202" s="13">
        <f>BD202*VLOOKUP('Données projet'!$B$11,Paramètres!$A$1:$I$89,3,0)*VLOOKUP('Données projet'!$B$11,Paramètres!$A$1:$I$89,5,0)</f>
        <v>-2.0395418687257919E-13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378.75660696651238</v>
      </c>
      <c r="BJ202" s="59">
        <f t="shared" si="206"/>
        <v>371.70674704563288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15.111534017660476</v>
      </c>
      <c r="BQ202" s="21">
        <f>EXP(-LN(2)/25)*BQ201+(1-EXP(-LN(2)/25))/(LN(2)/25)*Calculateur!BL202*Calculateur!BN202*VLOOKUP('Données projet'!$B$11,Paramètres!$A$1:$I$89,3,0)*0.475*44/12</f>
        <v>2.7141830085617058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17.825717026222183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2.2737367544323206E-13</v>
      </c>
      <c r="BZ202" s="13">
        <f>BY202*VLOOKUP('Données projet'!$B$12,Paramètres!$A$1:$I$89,3,0)*VLOOKUP('Données projet'!$B$12,Paramètres!$A$1:$I$89,5,0)</f>
        <v>2.3055690689943731E-13</v>
      </c>
      <c r="CA202" s="13">
        <f t="shared" si="170"/>
        <v>3.142699285622457E-12</v>
      </c>
      <c r="CB202" s="20">
        <f t="shared" si="171"/>
        <v>5.8750878686422984E-12</v>
      </c>
      <c r="CC202" s="59">
        <f t="shared" si="195"/>
        <v>293.33333333333917</v>
      </c>
      <c r="CD202" s="59">
        <f ca="1">AVERAGE(OFFSET($CC$3,0,0,'Données projet'!$E$12+1,1))-AVERAGE(OFFSET($H$3,0,0,'Données projet'!$E$12+1,1))</f>
        <v>410.75375635525211</v>
      </c>
      <c r="CE202" s="59">
        <f t="shared" si="207"/>
        <v>183.55513001437367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121.64865580335878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121.64865580335878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-2.2737367544323206E-13</v>
      </c>
      <c r="CU202" s="17">
        <f>CT202*VLOOKUP('Données projet'!$B$13,Paramètres!$A$1:$I$89,3,0)*VLOOKUP('Données projet'!$B$13,Paramètres!$A$1:$I$89,5,0)</f>
        <v>-2.0572770154103635E-13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436.12708882925142</v>
      </c>
      <c r="CZ202" s="59">
        <f t="shared" si="208"/>
        <v>217.65884352525285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82.982756422629734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82.982756422629734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3.4106051316484809E-13</v>
      </c>
      <c r="DP202" s="17">
        <f>DO202*VLOOKUP('Données projet'!$B$14,Paramètres!$A$1:$I$89,3,0)*VLOOKUP('Données projet'!$B$14,Paramètres!$A$1:$I$89,5,0)</f>
        <v>3.2455318432766944E-13</v>
      </c>
      <c r="DQ202" s="13">
        <f t="shared" si="176"/>
        <v>4.2513245787534721E-12</v>
      </c>
      <c r="DR202" s="20">
        <f t="shared" si="177"/>
        <v>7.9696537706996534E-12</v>
      </c>
      <c r="DS202" s="59">
        <f t="shared" si="197"/>
        <v>293.33333333334127</v>
      </c>
      <c r="DT202" s="59">
        <f ca="1">AVERAGE(OFFSET($DS$3,0,0,'Données projet'!$E$14+1,1))-AVERAGE(OFFSET($H$3,0,0,'Données projet'!$E$14+1,1))</f>
        <v>735.50267870886194</v>
      </c>
      <c r="DU202" s="59">
        <f t="shared" si="209"/>
        <v>525.80345400853275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40.312019250253613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40.312019250253613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2.2737367544323206E-13</v>
      </c>
      <c r="EK202" s="17">
        <f>EJ202*VLOOKUP('Données projet'!$B$15,Paramètres!$A$1:$I$89,3,0)*VLOOKUP('Données projet'!$B$15,Paramètres!$A$1:$I$89,5,0)</f>
        <v>1.4542820281349121E-13</v>
      </c>
      <c r="EL202" s="13">
        <f t="shared" si="179"/>
        <v>2.0915507201167065E-12</v>
      </c>
      <c r="EM202" s="20">
        <f t="shared" si="180"/>
        <v>3.8960716241034272E-12</v>
      </c>
      <c r="EN202" s="59">
        <f t="shared" si="198"/>
        <v>293.33333333333724</v>
      </c>
      <c r="EO202" s="59">
        <f ca="1">AVERAGE(OFFSET($EN$3,0,0,'Données projet'!$E$15+1,1))-AVERAGE(OFFSET($H$3,0,0,'Données projet'!$E$15+1,1))</f>
        <v>274.14900959323484</v>
      </c>
      <c r="EP202" s="59">
        <f t="shared" si="210"/>
        <v>130.44590390921582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76.732229045195524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76.732229045195524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-2.2737367544323206E-13</v>
      </c>
      <c r="FF202" s="17">
        <f>FE202*VLOOKUP('Données projet'!$B$16,Paramètres!$A$1:$I$89,3,0)*VLOOKUP('Données projet'!$B$16,Paramètres!$A$1:$I$89,5,0)</f>
        <v>-1.3596945791505279E-13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405.42845699663462</v>
      </c>
      <c r="FK202" s="59">
        <f t="shared" si="211"/>
        <v>292.26503163353146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22.467941599695237</v>
      </c>
      <c r="FR202" s="21">
        <f>EXP(-LN(2)/25)*FR201+(1-EXP(-LN(2)/25))/(LN(2)/25)*Calculateur!FM202*Calculateur!FO202*VLOOKUP('Données projet'!$B$16,Paramètres!$A$1:$I$89,3,0)*0.475*44/12</f>
        <v>4.1858766880756377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26.653818287770875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-2.2737367544323206E-13</v>
      </c>
      <c r="GA202" s="17">
        <f>FZ202*VLOOKUP('Données projet'!$B$17,Paramètres!$A$1:$I$89,3,0)*VLOOKUP('Données projet'!$B$17,Paramètres!$A$1:$I$89,5,0)</f>
        <v>-1.3596945791505279E-13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405.42845699663462</v>
      </c>
      <c r="GF202" s="59">
        <f t="shared" si="212"/>
        <v>292.26503163353146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22.467941599695237</v>
      </c>
      <c r="GM202" s="21">
        <f>EXP(-LN(2)/25)*GM201+(1-EXP(-LN(2)/25))/(LN(2)/25)*Calculateur!GH202*Calculateur!GJ202*VLOOKUP('Données projet'!$B$17,Paramètres!$A$1:$I$89,3,0)*0.475*44/12</f>
        <v>4.1858766880756377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26.653818287770875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-5.3205440053716299E-14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198.26255998041</v>
      </c>
      <c r="T203" s="59">
        <f t="shared" si="204"/>
        <v>238.62101708181166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6.8608886947223802</v>
      </c>
      <c r="AA203" s="21">
        <f>EXP(-LN(2)/25)*AA202+(1-EXP(-LN(2)/25))/(LN(2)/25)*Calculateur!V203*Calculateur!X203*VLOOKUP('Données projet'!$B$9,Paramètres!$A$1:$I$89,3,0)*0.475*44/12</f>
        <v>1.2837648589490818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8.1446535536714624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3.4106051316484809E-13</v>
      </c>
      <c r="AJ203" s="13">
        <f>AI203*VLOOKUP('Données projet'!$B$10,Paramètres!$A$1:$I$89,3,0)*VLOOKUP('Données projet'!$B$10,Paramètres!$A$1:$I$89,5,0)</f>
        <v>1.9065282685915009E-13</v>
      </c>
      <c r="AK203" s="13">
        <f t="shared" si="164"/>
        <v>2.6568987209435707E-12</v>
      </c>
      <c r="AL203" s="20">
        <f t="shared" si="165"/>
        <v>4.959485612423072E-12</v>
      </c>
      <c r="AM203" s="59">
        <f t="shared" si="193"/>
        <v>293.33333333333826</v>
      </c>
      <c r="AN203" s="59">
        <f ca="1">AVERAGE(OFFSET($AM$3,0,0,'Données projet'!$E$10+1,1))-AVERAGE(OFFSET($H$3,0,0,'Données projet'!$E$10+1,1))</f>
        <v>347.02720636703873</v>
      </c>
      <c r="AO203" s="59">
        <f t="shared" si="205"/>
        <v>394.03759949558702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14.976590138908071</v>
      </c>
      <c r="AV203" s="21">
        <f>EXP(-LN(2)/25)*AV202+(1-EXP(-LN(2)/25))/(LN(2)/25)*Calculateur!AQ203*Calculateur!AS203*VLOOKUP('Données projet'!$B$10,Paramètres!$A$1:$I$89,3,0)*0.475*44/12</f>
        <v>2.7322961254894138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17.708886264397485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-3.4106051316484809E-13</v>
      </c>
      <c r="BE203" s="13">
        <f>BD203*VLOOKUP('Données projet'!$B$11,Paramètres!$A$1:$I$89,3,0)*VLOOKUP('Données projet'!$B$11,Paramètres!$A$1:$I$89,5,0)</f>
        <v>-2.0395418687257919E-13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378.75660696651238</v>
      </c>
      <c r="BJ203" s="59">
        <f t="shared" si="206"/>
        <v>371.70674704563288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14.815206052699789</v>
      </c>
      <c r="BQ203" s="21">
        <f>EXP(-LN(2)/25)*BQ202+(1-EXP(-LN(2)/25))/(LN(2)/25)*Calculateur!BL203*Calculateur!BN203*VLOOKUP('Données projet'!$B$11,Paramètres!$A$1:$I$89,3,0)*0.475*44/12</f>
        <v>2.6399635314599048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17.455169584159695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2.2737367544323206E-13</v>
      </c>
      <c r="BZ203" s="13">
        <f>BY203*VLOOKUP('Données projet'!$B$12,Paramètres!$A$1:$I$89,3,0)*VLOOKUP('Données projet'!$B$12,Paramètres!$A$1:$I$89,5,0)</f>
        <v>2.3055690689943731E-13</v>
      </c>
      <c r="CA203" s="13">
        <f t="shared" si="170"/>
        <v>3.142699285622457E-12</v>
      </c>
      <c r="CB203" s="20">
        <f t="shared" si="171"/>
        <v>5.8750878686422984E-12</v>
      </c>
      <c r="CC203" s="59">
        <f t="shared" si="195"/>
        <v>293.33333333333917</v>
      </c>
      <c r="CD203" s="59">
        <f ca="1">AVERAGE(OFFSET($CC$3,0,0,'Données projet'!$E$12+1,1))-AVERAGE(OFFSET($H$3,0,0,'Données projet'!$E$12+1,1))</f>
        <v>410.75375635525211</v>
      </c>
      <c r="CE203" s="59">
        <f t="shared" si="207"/>
        <v>183.55513001437367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119.26319986140848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119.26319986140848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-2.2737367544323206E-13</v>
      </c>
      <c r="CU203" s="17">
        <f>CT203*VLOOKUP('Données projet'!$B$13,Paramètres!$A$1:$I$89,3,0)*VLOOKUP('Données projet'!$B$13,Paramètres!$A$1:$I$89,5,0)</f>
        <v>-2.0572770154103635E-13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436.12708882925142</v>
      </c>
      <c r="CZ203" s="59">
        <f t="shared" si="208"/>
        <v>217.65884352525285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81.355515183665617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81.355515183665617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3.4106051316484809E-13</v>
      </c>
      <c r="DP203" s="17">
        <f>DO203*VLOOKUP('Données projet'!$B$14,Paramètres!$A$1:$I$89,3,0)*VLOOKUP('Données projet'!$B$14,Paramètres!$A$1:$I$89,5,0)</f>
        <v>3.2455318432766944E-13</v>
      </c>
      <c r="DQ203" s="13">
        <f t="shared" si="176"/>
        <v>4.2513245787534721E-12</v>
      </c>
      <c r="DR203" s="20">
        <f t="shared" si="177"/>
        <v>7.9696537706996534E-12</v>
      </c>
      <c r="DS203" s="59">
        <f t="shared" si="197"/>
        <v>293.33333333334127</v>
      </c>
      <c r="DT203" s="59">
        <f ca="1">AVERAGE(OFFSET($DS$3,0,0,'Données projet'!$E$14+1,1))-AVERAGE(OFFSET($H$3,0,0,'Données projet'!$E$14+1,1))</f>
        <v>735.50267870886194</v>
      </c>
      <c r="DU203" s="59">
        <f t="shared" si="209"/>
        <v>525.80345400853275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39.521525140660032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39.521525140660032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2.2737367544323206E-13</v>
      </c>
      <c r="EK203" s="17">
        <f>EJ203*VLOOKUP('Données projet'!$B$15,Paramètres!$A$1:$I$89,3,0)*VLOOKUP('Données projet'!$B$15,Paramètres!$A$1:$I$89,5,0)</f>
        <v>1.4542820281349121E-13</v>
      </c>
      <c r="EL203" s="13">
        <f t="shared" si="179"/>
        <v>2.0915507201167065E-12</v>
      </c>
      <c r="EM203" s="20">
        <f t="shared" si="180"/>
        <v>3.8960716241034272E-12</v>
      </c>
      <c r="EN203" s="59">
        <f t="shared" si="198"/>
        <v>293.33333333333724</v>
      </c>
      <c r="EO203" s="59">
        <f ca="1">AVERAGE(OFFSET($EN$3,0,0,'Données projet'!$E$15+1,1))-AVERAGE(OFFSET($H$3,0,0,'Données projet'!$E$15+1,1))</f>
        <v>274.14900959323484</v>
      </c>
      <c r="EP203" s="59">
        <f t="shared" si="210"/>
        <v>130.44590390921582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75.227556835657637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75.227556835657637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-2.2737367544323206E-13</v>
      </c>
      <c r="FF203" s="17">
        <f>FE203*VLOOKUP('Données projet'!$B$16,Paramètres!$A$1:$I$89,3,0)*VLOOKUP('Données projet'!$B$16,Paramètres!$A$1:$I$89,5,0)</f>
        <v>-1.3596945791505279E-13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405.42845699663462</v>
      </c>
      <c r="FK203" s="59">
        <f t="shared" si="211"/>
        <v>292.26503163353146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22.027358969016422</v>
      </c>
      <c r="FR203" s="21">
        <f>EXP(-LN(2)/25)*FR202+(1-EXP(-LN(2)/25))/(LN(2)/25)*Calculateur!FM203*Calculateur!FO203*VLOOKUP('Données projet'!$B$16,Paramètres!$A$1:$I$89,3,0)*0.475*44/12</f>
        <v>4.0714136699145209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26.098772638930942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-2.2737367544323206E-13</v>
      </c>
      <c r="GA203" s="17">
        <f>FZ203*VLOOKUP('Données projet'!$B$17,Paramètres!$A$1:$I$89,3,0)*VLOOKUP('Données projet'!$B$17,Paramètres!$A$1:$I$89,5,0)</f>
        <v>-1.3596945791505279E-13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405.42845699663462</v>
      </c>
      <c r="GF203" s="59">
        <f t="shared" si="212"/>
        <v>292.26503163353146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22.027358969016422</v>
      </c>
      <c r="GM203" s="21">
        <f>EXP(-LN(2)/25)*GM202+(1-EXP(-LN(2)/25))/(LN(2)/25)*Calculateur!GH203*Calculateur!GJ203*VLOOKUP('Données projet'!$B$17,Paramètres!$A$1:$I$89,3,0)*0.475*44/12</f>
        <v>4.0714136699145209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26.098772638930942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1.2880503926580862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1.2477420770391454</v>
      </c>
      <c r="BA205" s="82">
        <f>EXP(LN('Données projet'!B88)/'Données projet'!A88)</f>
        <v>1.3239616704988877</v>
      </c>
      <c r="BV205" s="82">
        <f>EXP(LN('Données projet'!B114)/'Données projet'!A114)</f>
        <v>1.0894131065611496</v>
      </c>
      <c r="CQ205" s="82">
        <f>EXP(LN('Données projet'!B140)/'Données projet'!A140)</f>
        <v>1.1220412478485406</v>
      </c>
      <c r="DL205" s="82">
        <f>EXP(LN('Données projet'!B166)/'Données projet'!A166)</f>
        <v>1.3447078135163508</v>
      </c>
      <c r="EG205" s="82">
        <f>EXP(LN('Données projet'!B192)/'Données projet'!A192)</f>
        <v>1.0894131065611496</v>
      </c>
      <c r="FB205" s="82">
        <f>EXP(LN('Données projet'!B218)/'Données projet'!A218)</f>
        <v>1.244502252163008</v>
      </c>
      <c r="FW205" s="82">
        <f>EXP(LN('Données projet'!B244)/'Données projet'!A244)</f>
        <v>1.244502252163008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90" zoomScaleNormal="90" workbookViewId="0">
      <selection activeCell="A22" sqref="A22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Cèdre de l'Atlas</v>
      </c>
      <c r="B6" s="146">
        <f>'Données projet'!D9</f>
        <v>0.39825638911788952</v>
      </c>
      <c r="C6" s="147">
        <f ca="1">IF(OR('Données projet'!B9="",'Données projet'!C9="",'Données projet'!C9=0%),0,Calculateur!S3)</f>
        <v>198.26255998041</v>
      </c>
      <c r="D6" s="147">
        <f>IF(OR('Données projet'!B9="",'Données projet'!C9="",'Données projet'!C9=0%),0,Calculateur!T3)</f>
        <v>238.62101708181166</v>
      </c>
      <c r="E6" s="147">
        <f ca="1">MIN(C6,D6)</f>
        <v>198.26255998041</v>
      </c>
      <c r="F6" s="147">
        <f ca="1">E6*B6</f>
        <v>78.959331235067083</v>
      </c>
      <c r="G6" s="147">
        <f ca="1">F6*(100%-'Données projet'!$C$24)*(100%-'Données projet'!$C$25)*(100%-'Données projet'!$C$26)*(100%-'Données projet'!$C$27)</f>
        <v>63.957058300404341</v>
      </c>
      <c r="H6" s="148">
        <f>IF(OR('Données projet'!B9="",'Données projet'!C9="",'Données projet'!C9=0%),0,AVERAGE(Calculateur!$AC$3:$AC$33)*B6)</f>
        <v>2.5354421260468993</v>
      </c>
      <c r="I6" s="149">
        <f>H6*(100%-'Données projet'!$C$24)*(100%-'Données projet'!$C$25)*(100%-'Données projet'!$C$26)*(100%-'Données projet'!$C$27)</f>
        <v>2.0537081220979885</v>
      </c>
      <c r="J6" s="150">
        <f>IF(OR('Données projet'!B9="",'Données projet'!C9="",'Données projet'!C9=0%),0,SUM(Calculateur!$V$3:$V$33)*VLOOKUP('Données projet'!$B$9,Paramètres!$A$1:$I$89,9,0)*B6)</f>
        <v>17.805744465169003</v>
      </c>
      <c r="K6" s="151">
        <f>J6*(100%-'Données projet'!$C$24)*(100%-'Données projet'!$C$25)*(100%-'Données projet'!$C$26)*(100%-'Données projet'!$C$27)</f>
        <v>14.422653016786892</v>
      </c>
      <c r="L6" s="152">
        <f ca="1">G6+I6+K6</f>
        <v>80.433419439289224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Douglas</v>
      </c>
      <c r="B7" s="154">
        <f>'Données projet'!D10</f>
        <v>2.9239076669414672</v>
      </c>
      <c r="C7" s="147">
        <f ca="1">IF(OR('Données projet'!B10="",'Données projet'!C10="",'Données projet'!C10=0%),0,Calculateur!AN3)</f>
        <v>347.02720636703873</v>
      </c>
      <c r="D7" s="147">
        <f>IF(OR('Données projet'!B10="",'Données projet'!C10="",'Données projet'!C10=0%),0,Calculateur!AO3)</f>
        <v>394.03759949558702</v>
      </c>
      <c r="E7" s="147">
        <f t="shared" ref="E7:E15" ca="1" si="0">MIN(C7,D7)</f>
        <v>347.02720636703873</v>
      </c>
      <c r="F7" s="147">
        <f t="shared" ref="F7:F15" ca="1" si="1">E7*B7</f>
        <v>1014.6755093338633</v>
      </c>
      <c r="G7" s="147">
        <f ca="1">F7*(100%-'Données projet'!$C$24)*(100%-'Données projet'!$C$25)*(100%-'Données projet'!$C$26)*(100%-'Données projet'!$C$27)</f>
        <v>821.88716256042926</v>
      </c>
      <c r="H7" s="155">
        <f>IF(OR('Données projet'!B10="",'Données projet'!C10="",'Données projet'!C10=0%),0,AVERAGE(Calculateur!$AX$3:$AX$33)*B7)</f>
        <v>11.432787516603323</v>
      </c>
      <c r="I7" s="149">
        <f>H7*(100%-'Données projet'!$C$24)*(100%-'Données projet'!$C$25)*(100%-'Données projet'!$C$26)*(100%-'Données projet'!$C$27)</f>
        <v>9.260557888448691</v>
      </c>
      <c r="J7" s="150">
        <f>IF(OR('Données projet'!B10="",'Données projet'!C10="",'Données projet'!C10=0%),0,SUM(Calculateur!$AQ$3:$AQ$33)*VLOOKUP('Données projet'!$B$10,Paramètres!$A$1:$I$89,9,0)*B7)</f>
        <v>74.179537510305025</v>
      </c>
      <c r="K7" s="151">
        <f>J7*(100%-'Données projet'!$C$24)*(100%-'Données projet'!$C$25)*(100%-'Données projet'!$C$26)*(100%-'Données projet'!$C$27)</f>
        <v>60.085425383347079</v>
      </c>
      <c r="L7" s="152">
        <f t="shared" ref="L7:L15" ca="1" si="2">G7+I7+K7</f>
        <v>891.23314583222509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Pin laricio</v>
      </c>
      <c r="B8" s="154">
        <f>'Données projet'!D11</f>
        <v>1.263278443113772</v>
      </c>
      <c r="C8" s="147">
        <f ca="1">IF(OR('Données projet'!B11="",'Données projet'!C11="",'Données projet'!C11=0%),0,Calculateur!BI3)</f>
        <v>378.75660696651238</v>
      </c>
      <c r="D8" s="147">
        <f>IF(OR('Données projet'!B11="",'Données projet'!C11="",'Données projet'!C11=0%),0,Calculateur!BJ3)</f>
        <v>371.70674704563288</v>
      </c>
      <c r="E8" s="147">
        <f t="shared" ca="1" si="0"/>
        <v>371.70674704563288</v>
      </c>
      <c r="F8" s="147">
        <f t="shared" ca="1" si="1"/>
        <v>469.56912070269181</v>
      </c>
      <c r="G8" s="147">
        <f ca="1">F8*(100%-'Données projet'!$C$24)*(100%-'Données projet'!$C$25)*(100%-'Données projet'!$C$26)*(100%-'Données projet'!$C$27)</f>
        <v>380.35098776918034</v>
      </c>
      <c r="H8" s="155">
        <f>IF(OR('Données projet'!B11="",'Données projet'!C11="",'Données projet'!C11=0%),0,AVERAGE(Calculateur!$BS$3:$BS$33)*B8)</f>
        <v>7.7111933910090587</v>
      </c>
      <c r="I8" s="149">
        <f>H8*(100%-'Données projet'!$C$24)*(100%-'Données projet'!$C$25)*(100%-'Données projet'!$C$26)*(100%-'Données projet'!$C$27)</f>
        <v>6.2460666467173374</v>
      </c>
      <c r="J8" s="150">
        <f>IF(OR('Données projet'!B11="",'Données projet'!C11="",'Données projet'!C11=0%),0,SUM(Calculateur!$BL$3:$BL$33)*VLOOKUP('Données projet'!$B$11,Paramètres!$A$1:$I$89,9,0)*B8)</f>
        <v>65.185167664670644</v>
      </c>
      <c r="K8" s="151">
        <f>J8*(100%-'Données projet'!$C$24)*(100%-'Données projet'!$C$25)*(100%-'Données projet'!$C$26)*(100%-'Données projet'!$C$27)</f>
        <v>52.799985808383219</v>
      </c>
      <c r="L8" s="152">
        <f t="shared" ca="1" si="2"/>
        <v>439.39704022428089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Chêne pubescent</v>
      </c>
      <c r="B9" s="154">
        <f>'Données projet'!D12</f>
        <v>0.89229596042868908</v>
      </c>
      <c r="C9" s="147">
        <f ca="1">IF(OR('Données projet'!B12="",'Données projet'!C12="",'Données projet'!C12=0%),0,Calculateur!CD3)</f>
        <v>410.75375635525211</v>
      </c>
      <c r="D9" s="147">
        <f>IF(OR('Données projet'!B12="",'Données projet'!C12="",'Données projet'!C12=0%),0,Calculateur!CE3)</f>
        <v>183.55513001437367</v>
      </c>
      <c r="E9" s="147">
        <f t="shared" ca="1" si="0"/>
        <v>183.55513001437367</v>
      </c>
      <c r="F9" s="147">
        <f t="shared" ca="1" si="1"/>
        <v>163.78550102778846</v>
      </c>
      <c r="G9" s="147">
        <f ca="1">F9*(100%-'Données projet'!$C$24)*(100%-'Données projet'!$C$25)*(100%-'Données projet'!$C$26)*(100%-'Données projet'!$C$27)</f>
        <v>132.66625583250865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132.66625583250865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Chêne sessile</v>
      </c>
      <c r="B10" s="154">
        <f>'Données projet'!D13</f>
        <v>5.0170222588623243</v>
      </c>
      <c r="C10" s="147">
        <f ca="1">IF(OR('Données projet'!B13="",'Données projet'!C13="",'Données projet'!C13=0%),0,Calculateur!CY3)</f>
        <v>436.12708882925142</v>
      </c>
      <c r="D10" s="147">
        <f>IF(OR('Données projet'!B13="",'Données projet'!C13="",'Données projet'!C13=0%),0,Calculateur!CZ3)</f>
        <v>217.65884352525285</v>
      </c>
      <c r="E10" s="147">
        <f t="shared" ca="1" si="0"/>
        <v>217.65884352525285</v>
      </c>
      <c r="F10" s="147">
        <f t="shared" ca="1" si="1"/>
        <v>1091.9992628044251</v>
      </c>
      <c r="G10" s="147">
        <f ca="1">F10*(100%-'Données projet'!$C$24)*(100%-'Données projet'!$C$25)*(100%-'Données projet'!$C$26)*(100%-'Données projet'!$C$27)</f>
        <v>884.51940287158448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884.51940287158448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Charme</v>
      </c>
      <c r="B11" s="154">
        <f>'Données projet'!D14</f>
        <v>1.2542555647155811</v>
      </c>
      <c r="C11" s="147">
        <f ca="1">IF(OR('Données projet'!B14="",'Données projet'!C14="",'Données projet'!C14=0%),0,Calculateur!DT3)</f>
        <v>735.50267870886194</v>
      </c>
      <c r="D11" s="147">
        <f>IF(OR('Données projet'!B14="",'Données projet'!C14="",'Données projet'!C14=0%),0,Calculateur!DU3)</f>
        <v>525.80345400853275</v>
      </c>
      <c r="E11" s="147">
        <f t="shared" ca="1" si="0"/>
        <v>525.80345400853275</v>
      </c>
      <c r="F11" s="147">
        <f t="shared" ca="1" si="1"/>
        <v>659.49190813687528</v>
      </c>
      <c r="G11" s="147">
        <f ca="1">F11*(100%-'Données projet'!$C$24)*(100%-'Données projet'!$C$25)*(100%-'Données projet'!$C$26)*(100%-'Données projet'!$C$27)</f>
        <v>534.18844559086892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25.085111294311623</v>
      </c>
      <c r="K11" s="151">
        <f>J11*(100%-'Données projet'!$C$24)*(100%-'Données projet'!$C$25)*(100%-'Données projet'!$C$26)*(100%-'Données projet'!$C$27)</f>
        <v>20.318940148392414</v>
      </c>
      <c r="L11" s="152">
        <f t="shared" ca="1" si="2"/>
        <v>554.50738573926128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Tulipier de Virginie</v>
      </c>
      <c r="B12" s="154">
        <f>'Données projet'!D15</f>
        <v>0.15123660346248968</v>
      </c>
      <c r="C12" s="147">
        <f ca="1">IF(OR('Données projet'!B15="",'Données projet'!C15="",'Données projet'!C15=0%),0,Calculateur!EO3)</f>
        <v>274.14900959323484</v>
      </c>
      <c r="D12" s="147">
        <f>IF(OR('Données projet'!B15="",'Données projet'!C15="",'Données projet'!C15=0%),0,Calculateur!EP3)</f>
        <v>130.44590390921582</v>
      </c>
      <c r="E12" s="147">
        <f t="shared" ca="1" si="0"/>
        <v>130.44590390921582</v>
      </c>
      <c r="F12" s="147">
        <f t="shared" ca="1" si="1"/>
        <v>19.728195442824106</v>
      </c>
      <c r="G12" s="147">
        <f ca="1">F12*(100%-'Données projet'!$C$24)*(100%-'Données projet'!$C$25)*(100%-'Données projet'!$C$26)*(100%-'Données projet'!$C$27)</f>
        <v>15.979838308687528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15.979838308687528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>Pin de Salzmann</v>
      </c>
      <c r="B13" s="154">
        <f>'Données projet'!D16</f>
        <v>0.15123660346248968</v>
      </c>
      <c r="C13" s="147">
        <f ca="1">IF(OR('Données projet'!B16="",'Données projet'!C16="",'Données projet'!C16=0%),0,Calculateur!FJ3)</f>
        <v>405.42845699663462</v>
      </c>
      <c r="D13" s="147">
        <f>IF(OR('Données projet'!B16="",'Données projet'!C16="",'Données projet'!C16=0%),0,Calculateur!FK3)</f>
        <v>292.26503163353146</v>
      </c>
      <c r="E13" s="147">
        <f t="shared" ca="1" si="0"/>
        <v>292.26503163353146</v>
      </c>
      <c r="F13" s="147">
        <f t="shared" ca="1" si="1"/>
        <v>44.201170695112403</v>
      </c>
      <c r="G13" s="147">
        <f ca="1">F13*(100%-'Données projet'!$C$24)*(100%-'Données projet'!$C$25)*(100%-'Données projet'!$C$26)*(100%-'Données projet'!$C$27)</f>
        <v>35.802948263041046</v>
      </c>
      <c r="H13" s="155">
        <f>IF(OR('Données projet'!B16="",'Données projet'!C16="",'Données projet'!C16=0%),0,AVERAGE(Calculateur!$FT$3:$FT$33)*B13)</f>
        <v>0.39890609845886349</v>
      </c>
      <c r="I13" s="149">
        <f>H13*(100%-'Données projet'!$C$24)*(100%-'Données projet'!$C$25)*(100%-'Données projet'!$C$26)*(100%-'Données projet'!$C$27)</f>
        <v>0.32311393975167946</v>
      </c>
      <c r="J13" s="150">
        <f>IF(OR('Données projet'!C16="",'Données projet'!C16=0%),0,SUM(Calculateur!$FM$3:$FM$33)*VLOOKUP('Données projet'!$B$16,Paramètres!$A$1:$I$89,9,0)*B13)</f>
        <v>4.357126545754328</v>
      </c>
      <c r="K13" s="151">
        <f>J13*(100%-'Données projet'!$C$24)*(100%-'Données projet'!$C$25)*(100%-'Données projet'!$C$26)*(100%-'Données projet'!$C$27)</f>
        <v>3.5292725020610058</v>
      </c>
      <c r="L13" s="152">
        <f t="shared" ca="1" si="2"/>
        <v>39.655334704853729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>Pin taeda</v>
      </c>
      <c r="B14" s="154">
        <f>'Données projet'!D17</f>
        <v>0.15123660346248968</v>
      </c>
      <c r="C14" s="147">
        <f ca="1">IF(OR('Données projet'!B17="",'Données projet'!C17="",'Données projet'!C17=0%),0,Calculateur!GE3)</f>
        <v>405.42845699663462</v>
      </c>
      <c r="D14" s="147">
        <f>IF(OR('Données projet'!B17="",'Données projet'!C17="",'Données projet'!C17=0%),0,Calculateur!GF3)</f>
        <v>292.26503163353146</v>
      </c>
      <c r="E14" s="147">
        <f t="shared" ca="1" si="0"/>
        <v>292.26503163353146</v>
      </c>
      <c r="F14" s="147">
        <f t="shared" ca="1" si="1"/>
        <v>44.201170695112403</v>
      </c>
      <c r="G14" s="147">
        <f ca="1">F14*(100%-'Données projet'!$C$24)*(100%-'Données projet'!$C$25)*(100%-'Données projet'!$C$26)*(100%-'Données projet'!$C$27)</f>
        <v>35.802948263041046</v>
      </c>
      <c r="H14" s="155">
        <f>IF(OR('Données projet'!B17="",'Données projet'!C17="",'Données projet'!C17=0%),0,AVERAGE(Calculateur!$GO$3:$GO$33)*B14)</f>
        <v>0.39890609845886349</v>
      </c>
      <c r="I14" s="149">
        <f>H14*(100%-'Données projet'!$C$24)*(100%-'Données projet'!$C$25)*(100%-'Données projet'!$C$26)*(100%-'Données projet'!$C$27)</f>
        <v>0.32311393975167946</v>
      </c>
      <c r="J14" s="150">
        <f>IF(OR('Données projet'!B17="",'Données projet'!C17="",'Données projet'!C17=0%),0,SUM(Calculateur!$GH$3:$GH$33)*VLOOKUP('Données projet'!$B$17,Paramètres!$A$1:$I$89,9,0)*B14)</f>
        <v>4.357126545754328</v>
      </c>
      <c r="K14" s="151">
        <f>J14*(100%-'Données projet'!$C$24)*(100%-'Données projet'!$C$25)*(100%-'Données projet'!$C$26)*(100%-'Données projet'!$C$27)</f>
        <v>3.5292725020610058</v>
      </c>
      <c r="L14" s="152">
        <f t="shared" ca="1" si="2"/>
        <v>39.655334704853729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3586.6111700737601</v>
      </c>
      <c r="G16" s="166">
        <f t="shared" ca="1" si="3"/>
        <v>2905.1550477597452</v>
      </c>
      <c r="H16" s="167">
        <f t="shared" si="3"/>
        <v>22.477235230577005</v>
      </c>
      <c r="I16" s="167">
        <f t="shared" si="3"/>
        <v>18.206560536767373</v>
      </c>
      <c r="J16" s="168">
        <f t="shared" si="3"/>
        <v>190.96981402596498</v>
      </c>
      <c r="K16" s="168">
        <f t="shared" si="3"/>
        <v>154.68554936103163</v>
      </c>
      <c r="L16" s="169">
        <f t="shared" ca="1" si="3"/>
        <v>3078.0471576575451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Douglas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Chêne pubescent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Chêne sessile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Charme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>Tulipier de Virginie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>Pin de Salzmann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>Pin taeda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L8" zoomScale="80" zoomScaleNormal="80" workbookViewId="0">
      <selection activeCell="I292" sqref="I29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-3410.4358731584834</v>
      </c>
      <c r="U10" s="178">
        <f>'Données projet'!D9</f>
        <v>0.39825638911788952</v>
      </c>
      <c r="V10" s="177">
        <f>U10*T10</f>
        <v>-1358.2278761622142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Douglas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-1562.1349843257844</v>
      </c>
      <c r="U11" s="178">
        <f>'Données projet'!D10</f>
        <v>2.9239076669414672</v>
      </c>
      <c r="V11" s="177">
        <f t="shared" ref="V11" si="0">U11*T11</f>
        <v>-4567.53845746765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laricio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-1826.6456391472564</v>
      </c>
      <c r="U12" s="178">
        <f>'Données projet'!D11</f>
        <v>1.263278443113772</v>
      </c>
      <c r="V12" s="177">
        <f t="shared" ref="V12:V19" si="1">U12*T12</f>
        <v>-2307.5620591425072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pubescent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-3919.0271570236073</v>
      </c>
      <c r="U13" s="178">
        <f>'Données projet'!D12</f>
        <v>0.89229596042868908</v>
      </c>
      <c r="V13" s="177">
        <f t="shared" si="1"/>
        <v>-3496.9321010224944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sessile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-3300.7158482460568</v>
      </c>
      <c r="U14" s="178">
        <f>'Données projet'!D13</f>
        <v>5.0170222588623243</v>
      </c>
      <c r="V14" s="177">
        <f t="shared" si="1"/>
        <v>-16559.764880830106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Charme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-3574.0639555960433</v>
      </c>
      <c r="U15" s="178">
        <f>'Données projet'!D14</f>
        <v>1.2542555647155811</v>
      </c>
      <c r="V15" s="177">
        <f t="shared" si="1"/>
        <v>-4482.7896049557185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>Tulipier de Virginie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-3470.3379404866437</v>
      </c>
      <c r="U16" s="178">
        <f>'Données projet'!D15</f>
        <v>0.15123660346248968</v>
      </c>
      <c r="V16" s="177">
        <f t="shared" si="1"/>
        <v>-524.84212298621162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3938.556281957633</v>
      </c>
      <c r="F17" s="230"/>
      <c r="G17" s="303"/>
      <c r="I17" s="1" t="s">
        <v>325</v>
      </c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Pin de Salzmann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-2106.1796202714695</v>
      </c>
      <c r="U17" s="178">
        <f>'Données projet'!D16</f>
        <v>0.15123660346248968</v>
      </c>
      <c r="V17" s="177">
        <f t="shared" si="1"/>
        <v>-318.53145205177333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>
        <v>757.75</v>
      </c>
      <c r="F18" s="230"/>
      <c r="G18" s="303"/>
      <c r="I18" s="1" t="s">
        <v>324</v>
      </c>
      <c r="J18" s="202"/>
      <c r="K18" s="208"/>
      <c r="L18" s="260" t="s">
        <v>255</v>
      </c>
      <c r="M18" s="262"/>
      <c r="N18" s="192">
        <v>5</v>
      </c>
      <c r="O18" s="23"/>
      <c r="P18" s="23"/>
      <c r="Q18" s="234"/>
      <c r="R18" s="23"/>
      <c r="S18" s="36" t="str">
        <f>B262</f>
        <v>Pin taeda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-2106.1796202714695</v>
      </c>
      <c r="U18" s="178">
        <f>'Données projet'!D17</f>
        <v>0.15123660346248968</v>
      </c>
      <c r="V18" s="177">
        <f t="shared" si="1"/>
        <v>-318.53145205177333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v>757.75</v>
      </c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f>650+20</f>
        <v>670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20+700+20*'Données projet'!C5</f>
        <v>964.6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20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20</v>
      </c>
      <c r="B23" s="181">
        <f>'Données projet'!D36</f>
        <v>55.3</v>
      </c>
      <c r="C23" s="193">
        <v>5</v>
      </c>
      <c r="D23" s="182">
        <f>B23*C23</f>
        <v>276.5</v>
      </c>
      <c r="E23" s="193"/>
      <c r="F23" s="230"/>
      <c r="H23" s="190">
        <v>4</v>
      </c>
      <c r="I23" s="191">
        <v>20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-56652.123620452912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30</v>
      </c>
      <c r="B24" s="181">
        <f>'Données projet'!D37</f>
        <v>48.674999999999997</v>
      </c>
      <c r="C24" s="193">
        <v>5</v>
      </c>
      <c r="D24" s="182">
        <f t="shared" ref="D24:D42" si="2">B24*C24</f>
        <v>243.375</v>
      </c>
      <c r="E24" s="193"/>
      <c r="F24" s="233"/>
      <c r="H24" s="190">
        <v>5</v>
      </c>
      <c r="I24" s="191">
        <v>20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26463.300952725735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40</v>
      </c>
      <c r="B25" s="181">
        <f>'Données projet'!D38</f>
        <v>49.204999999999998</v>
      </c>
      <c r="C25" s="193">
        <v>32.5</v>
      </c>
      <c r="D25" s="182">
        <f t="shared" si="2"/>
        <v>1599.1624999999999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100</v>
      </c>
      <c r="Q25" s="234"/>
      <c r="R25" s="23"/>
      <c r="S25" s="186" t="s">
        <v>266</v>
      </c>
      <c r="T25" s="299">
        <f ca="1">T23-T24</f>
        <v>-83115.42457317865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50</v>
      </c>
      <c r="B26" s="181">
        <f>'Données projet'!D39</f>
        <v>62.364000000000004</v>
      </c>
      <c r="C26" s="193">
        <v>43.499999999999993</v>
      </c>
      <c r="D26" s="182">
        <f t="shared" si="2"/>
        <v>2712.8339999999998</v>
      </c>
      <c r="E26" s="193"/>
      <c r="F26" s="233"/>
      <c r="G26" s="229"/>
      <c r="H26" s="190">
        <v>7</v>
      </c>
      <c r="I26" s="191">
        <v>20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60</v>
      </c>
      <c r="B27" s="181">
        <f>'Données projet'!D40</f>
        <v>384.45600000000002</v>
      </c>
      <c r="C27" s="193">
        <v>43.499999999999993</v>
      </c>
      <c r="D27" s="182">
        <f t="shared" si="2"/>
        <v>16723.835999999999</v>
      </c>
      <c r="E27" s="193"/>
      <c r="F27" s="233"/>
      <c r="G27" s="229"/>
      <c r="H27" s="190">
        <v>8</v>
      </c>
      <c r="I27" s="191">
        <v>20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2163.8022038205831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100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95.693779904306226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91.572995123738025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87.629660405490938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83.856134359321487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80.245104650068413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76.789573827816682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73.482845768245625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70.31851269688579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67.290442772139514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64.392768203004323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61.619873878473044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Douglas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58.966386486577086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56.427164101987636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53.997286221997754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2913.4955441928419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51.672044231576791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>
        <v>763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49.446932279020878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v>763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47.317638544517585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45.280036884705829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43.330178837039071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41.464285968458455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25</v>
      </c>
      <c r="B54" s="181">
        <f>'Données projet'!D62</f>
        <v>59</v>
      </c>
      <c r="C54" s="191">
        <v>11</v>
      </c>
      <c r="D54" s="179">
        <f>B54*C54</f>
        <v>649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39.678742553548759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32</v>
      </c>
      <c r="B55" s="181">
        <f>'Données projet'!D63</f>
        <v>79</v>
      </c>
      <c r="C55" s="191">
        <v>22.999999999999996</v>
      </c>
      <c r="D55" s="179">
        <f t="shared" ref="D55:D73" si="4">B55*C55</f>
        <v>1816.9999999999998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37.970088567989251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39</v>
      </c>
      <c r="B56" s="181">
        <f>'Données projet'!D64</f>
        <v>80</v>
      </c>
      <c r="C56" s="191">
        <v>22.999999999999996</v>
      </c>
      <c r="D56" s="179">
        <f t="shared" si="4"/>
        <v>1839.9999999999998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36.335012983721775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46</v>
      </c>
      <c r="B57" s="181">
        <f>'Données projet'!D65</f>
        <v>86</v>
      </c>
      <c r="C57" s="191">
        <v>23</v>
      </c>
      <c r="D57" s="179">
        <f t="shared" si="4"/>
        <v>1978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34.770347352843807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53</v>
      </c>
      <c r="B58" s="181">
        <f>'Données projet'!D66</f>
        <v>80</v>
      </c>
      <c r="C58" s="191">
        <v>47</v>
      </c>
      <c r="D58" s="179">
        <f t="shared" si="4"/>
        <v>3760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33.27305966779312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60</v>
      </c>
      <c r="B59" s="181">
        <f>'Données projet'!D67</f>
        <v>97</v>
      </c>
      <c r="C59" s="191">
        <v>47</v>
      </c>
      <c r="D59" s="179">
        <f t="shared" si="4"/>
        <v>4559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31.840248485926438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67</v>
      </c>
      <c r="B60" s="181">
        <f>'Données projet'!D68</f>
        <v>521</v>
      </c>
      <c r="C60" s="191">
        <v>46.999999999999993</v>
      </c>
      <c r="D60" s="179">
        <f t="shared" si="4"/>
        <v>24486.999999999996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30.469137307106639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29.15706919340349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27.901501620481802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26.7000015507003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25.550240718373487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24.449991118060769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23.397120687139495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22.389589174296169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21.425444185929347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20.50281740280321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19.619920959620295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18.775043980497895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17.966549263634349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17.192870108741008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16.452507281091876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15.744026106308016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Pin laricio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15.066053690246907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14.417276258609482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13.79643661110955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2451.7366002900667</v>
      </c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13.2023316852723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>
        <v>763.04347826086962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12.633810225140957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>
        <v>763.04347826086962</v>
      </c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12.089770550374126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11.569158421410647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11.070964996565214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10.5942248770959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17</v>
      </c>
      <c r="B85" s="181">
        <f>'Données projet'!D88</f>
        <v>15</v>
      </c>
      <c r="C85" s="191">
        <v>5</v>
      </c>
      <c r="D85" s="179">
        <f>B85*C85</f>
        <v>75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10.138014236455408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20</v>
      </c>
      <c r="B86" s="181">
        <f>'Données projet'!D89</f>
        <v>15</v>
      </c>
      <c r="C86" s="191">
        <v>8.5</v>
      </c>
      <c r="D86" s="179">
        <f t="shared" ref="D86:D104" si="6">B86*C86</f>
        <v>127.5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9.7014490301008696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25</v>
      </c>
      <c r="B87" s="181">
        <f>'Données projet'!D90</f>
        <v>36</v>
      </c>
      <c r="C87" s="191">
        <v>8.5</v>
      </c>
      <c r="D87" s="179">
        <f t="shared" si="6"/>
        <v>306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9.283683282393179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30</v>
      </c>
      <c r="B88" s="181">
        <f>'Données projet'!D91</f>
        <v>54</v>
      </c>
      <c r="C88" s="191">
        <v>15.5</v>
      </c>
      <c r="D88" s="179">
        <f t="shared" si="6"/>
        <v>837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8.8839074472661999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35</v>
      </c>
      <c r="B89" s="181">
        <f>'Données projet'!D92</f>
        <v>52</v>
      </c>
      <c r="C89" s="191">
        <v>15.499999999999998</v>
      </c>
      <c r="D89" s="179">
        <f t="shared" si="6"/>
        <v>805.99999999999989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8.5013468394891873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40</v>
      </c>
      <c r="B90" s="181">
        <f>'Données projet'!D93</f>
        <v>48</v>
      </c>
      <c r="C90" s="191">
        <v>15.5</v>
      </c>
      <c r="D90" s="179">
        <f t="shared" si="6"/>
        <v>744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8.1352601334824772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45</v>
      </c>
      <c r="B91" s="181">
        <f>'Données projet'!D94</f>
        <v>57</v>
      </c>
      <c r="C91" s="191">
        <v>15.499999999999998</v>
      </c>
      <c r="D91" s="179">
        <f t="shared" si="6"/>
        <v>883.49999999999989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7.7849379267774923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50</v>
      </c>
      <c r="B92" s="181">
        <f>'Données projet'!D95</f>
        <v>47</v>
      </c>
      <c r="C92" s="191">
        <v>29.5</v>
      </c>
      <c r="D92" s="179">
        <f t="shared" si="6"/>
        <v>1386.5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7.4497013653373134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55</v>
      </c>
      <c r="B93" s="181">
        <f>'Données projet'!D96</f>
        <v>48</v>
      </c>
      <c r="C93" s="191">
        <v>29.499999999999996</v>
      </c>
      <c r="D93" s="179">
        <f t="shared" si="6"/>
        <v>1415.9999999999998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7.1289008280739852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60</v>
      </c>
      <c r="B94" s="181">
        <f>'Données projet'!D97</f>
        <v>32</v>
      </c>
      <c r="C94" s="191">
        <v>29.5</v>
      </c>
      <c r="D94" s="179">
        <f t="shared" si="6"/>
        <v>944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65</v>
      </c>
      <c r="B95" s="181">
        <f>'Données projet'!D98</f>
        <v>28</v>
      </c>
      <c r="C95" s="191">
        <v>29.499999999999996</v>
      </c>
      <c r="D95" s="179">
        <f t="shared" si="6"/>
        <v>825.99999999999989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70</v>
      </c>
      <c r="B96" s="181">
        <f>'Données projet'!D99</f>
        <v>608.5</v>
      </c>
      <c r="C96" s="191">
        <v>29.5</v>
      </c>
      <c r="D96" s="179">
        <f t="shared" si="6"/>
        <v>17950.75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Chêne pubescent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4135.9472919624759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>
        <v>760.84269662921349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>
        <v>760.84269662921349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56</v>
      </c>
      <c r="B116" s="181">
        <f>'Données projet'!D114</f>
        <v>29</v>
      </c>
      <c r="C116" s="191">
        <v>18.499999999999996</v>
      </c>
      <c r="D116" s="179">
        <f>B116*C116</f>
        <v>536.49999999999989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64</v>
      </c>
      <c r="B117" s="181">
        <f>'Données projet'!D115</f>
        <v>32</v>
      </c>
      <c r="C117" s="191">
        <v>32</v>
      </c>
      <c r="D117" s="179">
        <f t="shared" ref="D117:D135" si="8">B117*C117</f>
        <v>1024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72</v>
      </c>
      <c r="B118" s="181">
        <f>'Données projet'!D116</f>
        <v>26</v>
      </c>
      <c r="C118" s="191">
        <v>32</v>
      </c>
      <c r="D118" s="179">
        <f t="shared" si="8"/>
        <v>832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81</v>
      </c>
      <c r="B119" s="181">
        <f>'Données projet'!D117</f>
        <v>27</v>
      </c>
      <c r="C119" s="191">
        <v>32</v>
      </c>
      <c r="D119" s="179">
        <f t="shared" si="8"/>
        <v>864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90</v>
      </c>
      <c r="B120" s="181">
        <f>'Données projet'!D118</f>
        <v>26</v>
      </c>
      <c r="C120" s="191">
        <v>32</v>
      </c>
      <c r="D120" s="179">
        <f t="shared" si="8"/>
        <v>832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99</v>
      </c>
      <c r="B121" s="181">
        <f>'Données projet'!D119</f>
        <v>26</v>
      </c>
      <c r="C121" s="191">
        <v>32</v>
      </c>
      <c r="D121" s="179">
        <f t="shared" si="8"/>
        <v>832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108</v>
      </c>
      <c r="B122" s="181">
        <f>'Données projet'!D120</f>
        <v>26</v>
      </c>
      <c r="C122" s="191">
        <v>32</v>
      </c>
      <c r="D122" s="179">
        <f t="shared" si="8"/>
        <v>832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117</v>
      </c>
      <c r="B123" s="181">
        <f>'Données projet'!D121</f>
        <v>27</v>
      </c>
      <c r="C123" s="191">
        <v>32</v>
      </c>
      <c r="D123" s="179">
        <f t="shared" si="8"/>
        <v>864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129</v>
      </c>
      <c r="B124" s="181">
        <f>'Données projet'!D122</f>
        <v>38</v>
      </c>
      <c r="C124" s="191">
        <v>31.999999999999996</v>
      </c>
      <c r="D124" s="179">
        <f t="shared" si="8"/>
        <v>1215.9999999999998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141</v>
      </c>
      <c r="B125" s="181">
        <f>'Données projet'!D123</f>
        <v>38</v>
      </c>
      <c r="C125" s="191">
        <v>31.999999999999996</v>
      </c>
      <c r="D125" s="179">
        <f t="shared" si="8"/>
        <v>1215.9999999999998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153</v>
      </c>
      <c r="B126" s="181">
        <f>'Données projet'!D124</f>
        <v>40</v>
      </c>
      <c r="C126" s="191">
        <v>32</v>
      </c>
      <c r="D126" s="179">
        <f t="shared" si="8"/>
        <v>1280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165</v>
      </c>
      <c r="B127" s="181">
        <f>'Données projet'!D125</f>
        <v>40</v>
      </c>
      <c r="C127" s="191">
        <v>32</v>
      </c>
      <c r="D127" s="179">
        <f t="shared" si="8"/>
        <v>1280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177</v>
      </c>
      <c r="B128" s="181">
        <f>'Données projet'!D126</f>
        <v>39</v>
      </c>
      <c r="C128" s="191">
        <v>31.999999999999996</v>
      </c>
      <c r="D128" s="179">
        <f t="shared" si="8"/>
        <v>1247.9999999999998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192</v>
      </c>
      <c r="B129" s="181">
        <f>'Données projet'!D127</f>
        <v>360</v>
      </c>
      <c r="C129" s="191">
        <v>31.999999999999996</v>
      </c>
      <c r="D129" s="179">
        <f t="shared" si="8"/>
        <v>11519.999999999998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Chêne sessile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3931.8955999307673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>
        <v>762.65060240963851</v>
      </c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>
        <v>762.65060240963851</v>
      </c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42</v>
      </c>
      <c r="B147" s="175">
        <f>'Données projet'!D140</f>
        <v>30</v>
      </c>
      <c r="C147" s="191">
        <v>57.999999999999993</v>
      </c>
      <c r="D147" s="182">
        <f>B147*C147</f>
        <v>1739.9999999999998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50</v>
      </c>
      <c r="B148" s="175">
        <f>'Données projet'!D141</f>
        <v>35</v>
      </c>
      <c r="C148" s="191">
        <v>57.999999999999993</v>
      </c>
      <c r="D148" s="182">
        <f t="shared" ref="D148:D166" si="10">B148*C148</f>
        <v>2029.9999999999998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58</v>
      </c>
      <c r="B149" s="175">
        <f>'Données projet'!D142</f>
        <v>44</v>
      </c>
      <c r="C149" s="191">
        <v>57.999999999999993</v>
      </c>
      <c r="D149" s="182">
        <f t="shared" si="10"/>
        <v>2551.9999999999995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66</v>
      </c>
      <c r="B150" s="175">
        <f>'Données projet'!D143</f>
        <v>38</v>
      </c>
      <c r="C150" s="191">
        <v>105.99999999999999</v>
      </c>
      <c r="D150" s="182">
        <f t="shared" si="10"/>
        <v>4027.9999999999995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75</v>
      </c>
      <c r="B151" s="175">
        <f>'Données projet'!D144</f>
        <v>37</v>
      </c>
      <c r="C151" s="191">
        <v>105.99999999999999</v>
      </c>
      <c r="D151" s="182">
        <f t="shared" si="10"/>
        <v>3921.9999999999995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84</v>
      </c>
      <c r="B152" s="175">
        <f>'Données projet'!D145</f>
        <v>36</v>
      </c>
      <c r="C152" s="191">
        <v>106.00000000000001</v>
      </c>
      <c r="D152" s="182">
        <f t="shared" si="10"/>
        <v>3816.0000000000005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93</v>
      </c>
      <c r="B153" s="175">
        <f>'Données projet'!D146</f>
        <v>34</v>
      </c>
      <c r="C153" s="191">
        <v>105.99999999999999</v>
      </c>
      <c r="D153" s="182">
        <f t="shared" si="10"/>
        <v>3603.9999999999995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103</v>
      </c>
      <c r="B154" s="175">
        <f>'Données projet'!D147</f>
        <v>38</v>
      </c>
      <c r="C154" s="191">
        <v>105.99999999999999</v>
      </c>
      <c r="D154" s="182">
        <f t="shared" si="10"/>
        <v>4027.9999999999995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113</v>
      </c>
      <c r="B155" s="175">
        <f>'Données projet'!D148</f>
        <v>42</v>
      </c>
      <c r="C155" s="191">
        <v>105.99999999999999</v>
      </c>
      <c r="D155" s="182">
        <f t="shared" si="10"/>
        <v>4451.9999999999991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123</v>
      </c>
      <c r="B156" s="175">
        <f>'Données projet'!D149</f>
        <v>45</v>
      </c>
      <c r="C156" s="191">
        <v>105.99999999999999</v>
      </c>
      <c r="D156" s="182">
        <f t="shared" si="10"/>
        <v>4769.9999999999991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135</v>
      </c>
      <c r="B157" s="175">
        <f>'Données projet'!D150</f>
        <v>48</v>
      </c>
      <c r="C157" s="191">
        <v>105.99999999999999</v>
      </c>
      <c r="D157" s="182">
        <f t="shared" si="10"/>
        <v>5087.9999999999991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147</v>
      </c>
      <c r="B158" s="175">
        <f>'Données projet'!D151</f>
        <v>48</v>
      </c>
      <c r="C158" s="191">
        <v>105.99999999999999</v>
      </c>
      <c r="D158" s="182">
        <f t="shared" si="10"/>
        <v>5087.9999999999991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159</v>
      </c>
      <c r="B159" s="175">
        <f>'Données projet'!D152</f>
        <v>48</v>
      </c>
      <c r="C159" s="191">
        <v>105.99999999999999</v>
      </c>
      <c r="D159" s="182">
        <f t="shared" si="10"/>
        <v>5087.9999999999991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171</v>
      </c>
      <c r="B160" s="175">
        <f>'Données projet'!D153</f>
        <v>399</v>
      </c>
      <c r="C160" s="191">
        <v>105.99999999999999</v>
      </c>
      <c r="D160" s="182">
        <f t="shared" si="10"/>
        <v>42293.999999999993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Charme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3448.4923772944694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>
        <v>764.35483870967732</v>
      </c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>
        <v>764.35483870967732</v>
      </c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15</v>
      </c>
      <c r="B178" s="181">
        <f>'Données projet'!D166</f>
        <v>12</v>
      </c>
      <c r="C178" s="193">
        <v>5</v>
      </c>
      <c r="D178" s="179">
        <f>B178*C178</f>
        <v>60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20</v>
      </c>
      <c r="B179" s="181">
        <f>'Données projet'!D167</f>
        <v>17</v>
      </c>
      <c r="C179" s="193">
        <v>5</v>
      </c>
      <c r="D179" s="179">
        <f t="shared" ref="D179:D197" si="11">B179*C179</f>
        <v>85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25</v>
      </c>
      <c r="B180" s="181">
        <f>'Données projet'!D168</f>
        <v>20</v>
      </c>
      <c r="C180" s="193">
        <v>5</v>
      </c>
      <c r="D180" s="179">
        <f t="shared" si="11"/>
        <v>100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30</v>
      </c>
      <c r="B181" s="181">
        <f>'Données projet'!D169</f>
        <v>31</v>
      </c>
      <c r="C181" s="193">
        <v>5</v>
      </c>
      <c r="D181" s="179">
        <f t="shared" si="11"/>
        <v>155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35</v>
      </c>
      <c r="B182" s="181">
        <f>'Données projet'!D170</f>
        <v>39</v>
      </c>
      <c r="C182" s="193">
        <v>5</v>
      </c>
      <c r="D182" s="179">
        <f t="shared" si="11"/>
        <v>195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40</v>
      </c>
      <c r="B183" s="181">
        <f>'Données projet'!D171</f>
        <v>44</v>
      </c>
      <c r="C183" s="193">
        <v>18.5</v>
      </c>
      <c r="D183" s="179">
        <f t="shared" si="11"/>
        <v>814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45</v>
      </c>
      <c r="B184" s="181">
        <f>'Données projet'!D172</f>
        <v>49</v>
      </c>
      <c r="C184" s="193">
        <v>18.5</v>
      </c>
      <c r="D184" s="179">
        <f t="shared" si="11"/>
        <v>906.5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50</v>
      </c>
      <c r="B185" s="181">
        <f>'Données projet'!D173</f>
        <v>51</v>
      </c>
      <c r="C185" s="193">
        <v>18.5</v>
      </c>
      <c r="D185" s="179">
        <f t="shared" si="11"/>
        <v>943.5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55</v>
      </c>
      <c r="B186" s="181">
        <f>'Données projet'!D174</f>
        <v>52</v>
      </c>
      <c r="C186" s="193">
        <v>18.5</v>
      </c>
      <c r="D186" s="179">
        <f t="shared" si="11"/>
        <v>962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60</v>
      </c>
      <c r="B187" s="181">
        <f>'Données projet'!D175</f>
        <v>53</v>
      </c>
      <c r="C187" s="193">
        <v>32</v>
      </c>
      <c r="D187" s="179">
        <f t="shared" si="11"/>
        <v>1696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65</v>
      </c>
      <c r="B188" s="181">
        <f>'Données projet'!D176</f>
        <v>54</v>
      </c>
      <c r="C188" s="193">
        <v>32</v>
      </c>
      <c r="D188" s="179">
        <f t="shared" si="11"/>
        <v>1728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70</v>
      </c>
      <c r="B189" s="181">
        <f>'Données projet'!D177</f>
        <v>53</v>
      </c>
      <c r="C189" s="193">
        <v>32</v>
      </c>
      <c r="D189" s="179">
        <f t="shared" si="11"/>
        <v>1696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75</v>
      </c>
      <c r="B190" s="181">
        <f>'Données projet'!D178</f>
        <v>52</v>
      </c>
      <c r="C190" s="193">
        <v>32</v>
      </c>
      <c r="D190" s="179">
        <f t="shared" si="11"/>
        <v>1664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80</v>
      </c>
      <c r="B191" s="181">
        <f>'Données projet'!D179</f>
        <v>52</v>
      </c>
      <c r="C191" s="193">
        <v>32</v>
      </c>
      <c r="D191" s="179">
        <f t="shared" si="11"/>
        <v>1664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85</v>
      </c>
      <c r="B192" s="181">
        <f>'Données projet'!D180</f>
        <v>51</v>
      </c>
      <c r="C192" s="193">
        <v>32</v>
      </c>
      <c r="D192" s="179">
        <f t="shared" si="11"/>
        <v>1632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90</v>
      </c>
      <c r="B193" s="181">
        <f>'Données projet'!D181</f>
        <v>49</v>
      </c>
      <c r="C193" s="193">
        <v>32</v>
      </c>
      <c r="D193" s="179">
        <f t="shared" si="11"/>
        <v>1568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95</v>
      </c>
      <c r="B194" s="181">
        <f>'Données projet'!D182</f>
        <v>48</v>
      </c>
      <c r="C194" s="193">
        <v>32</v>
      </c>
      <c r="D194" s="179">
        <f t="shared" si="11"/>
        <v>1536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100</v>
      </c>
      <c r="B195" s="181">
        <f>'Données projet'!D183</f>
        <v>46</v>
      </c>
      <c r="C195" s="193">
        <v>32</v>
      </c>
      <c r="D195" s="179">
        <f t="shared" si="11"/>
        <v>1472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105</v>
      </c>
      <c r="B196" s="181">
        <f>'Données projet'!D184</f>
        <v>45</v>
      </c>
      <c r="C196" s="193">
        <v>32</v>
      </c>
      <c r="D196" s="179">
        <f t="shared" si="11"/>
        <v>1440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110</v>
      </c>
      <c r="B197" s="181">
        <f>'Données projet'!D185</f>
        <v>538</v>
      </c>
      <c r="C197" s="193">
        <v>32</v>
      </c>
      <c r="D197" s="179">
        <f t="shared" si="11"/>
        <v>17216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>Tulipier de Virginie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2125.6440224007792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>
        <v>855</v>
      </c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>
        <v>855</v>
      </c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56</v>
      </c>
      <c r="B209" s="181">
        <f>'Données projet'!D192</f>
        <v>29</v>
      </c>
      <c r="C209" s="193">
        <v>21.5</v>
      </c>
      <c r="D209" s="179">
        <f>B209*C209</f>
        <v>623.5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64</v>
      </c>
      <c r="B210" s="181">
        <f>'Données projet'!D193</f>
        <v>32</v>
      </c>
      <c r="C210" s="193">
        <v>38</v>
      </c>
      <c r="D210" s="179">
        <f t="shared" ref="D210:D228" si="12">B210*C210</f>
        <v>1216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72</v>
      </c>
      <c r="B211" s="181">
        <f>'Données projet'!D194</f>
        <v>26</v>
      </c>
      <c r="C211" s="193">
        <v>38</v>
      </c>
      <c r="D211" s="179">
        <f t="shared" si="12"/>
        <v>988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81</v>
      </c>
      <c r="B212" s="181">
        <f>'Données projet'!D195</f>
        <v>27</v>
      </c>
      <c r="C212" s="193">
        <v>38</v>
      </c>
      <c r="D212" s="179">
        <f t="shared" si="12"/>
        <v>1026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90</v>
      </c>
      <c r="B213" s="181">
        <f>'Données projet'!D196</f>
        <v>26</v>
      </c>
      <c r="C213" s="193">
        <v>38</v>
      </c>
      <c r="D213" s="179">
        <f t="shared" si="12"/>
        <v>988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99</v>
      </c>
      <c r="B214" s="181">
        <f>'Données projet'!D197</f>
        <v>26</v>
      </c>
      <c r="C214" s="193">
        <v>38</v>
      </c>
      <c r="D214" s="179">
        <f t="shared" si="12"/>
        <v>988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108</v>
      </c>
      <c r="B215" s="181">
        <f>'Données projet'!D198</f>
        <v>26</v>
      </c>
      <c r="C215" s="193">
        <v>38</v>
      </c>
      <c r="D215" s="179">
        <f t="shared" si="12"/>
        <v>988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117</v>
      </c>
      <c r="B216" s="181">
        <f>'Données projet'!D199</f>
        <v>27</v>
      </c>
      <c r="C216" s="193">
        <v>38</v>
      </c>
      <c r="D216" s="179">
        <f t="shared" si="12"/>
        <v>1026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129</v>
      </c>
      <c r="B217" s="181">
        <f>'Données projet'!D200</f>
        <v>38</v>
      </c>
      <c r="C217" s="193">
        <v>38</v>
      </c>
      <c r="D217" s="179">
        <f t="shared" si="12"/>
        <v>1444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141</v>
      </c>
      <c r="B218" s="181">
        <f>'Données projet'!D201</f>
        <v>38</v>
      </c>
      <c r="C218" s="193">
        <v>38</v>
      </c>
      <c r="D218" s="179">
        <f t="shared" si="12"/>
        <v>1444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153</v>
      </c>
      <c r="B219" s="181">
        <f>'Données projet'!D202</f>
        <v>40</v>
      </c>
      <c r="C219" s="193">
        <v>38</v>
      </c>
      <c r="D219" s="179">
        <f t="shared" si="12"/>
        <v>1520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165</v>
      </c>
      <c r="B220" s="181">
        <f>'Données projet'!D203</f>
        <v>40</v>
      </c>
      <c r="C220" s="193">
        <v>38</v>
      </c>
      <c r="D220" s="179">
        <f t="shared" si="12"/>
        <v>1520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177</v>
      </c>
      <c r="B221" s="181">
        <f>'Données projet'!D204</f>
        <v>39</v>
      </c>
      <c r="C221" s="193">
        <v>38</v>
      </c>
      <c r="D221" s="179">
        <f t="shared" si="12"/>
        <v>1482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192</v>
      </c>
      <c r="B222" s="181">
        <f>'Données projet'!D205</f>
        <v>360</v>
      </c>
      <c r="C222" s="193">
        <v>38</v>
      </c>
      <c r="D222" s="179">
        <f t="shared" si="12"/>
        <v>13680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>Pin de Salzmann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1958.9773557341125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>
        <v>855</v>
      </c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>
        <v>855</v>
      </c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22</v>
      </c>
      <c r="B240" s="181">
        <f>'Données projet'!D218</f>
        <v>16</v>
      </c>
      <c r="C240" s="193">
        <v>8.5</v>
      </c>
      <c r="D240" s="179">
        <f>B240*C240</f>
        <v>136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25</v>
      </c>
      <c r="B241" s="181">
        <f>'Données projet'!D219</f>
        <v>17</v>
      </c>
      <c r="C241" s="193">
        <v>8.5</v>
      </c>
      <c r="D241" s="179">
        <f t="shared" ref="D241:D259" si="13">B241*C241</f>
        <v>144.5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30</v>
      </c>
      <c r="B242" s="181">
        <f>'Données projet'!D220</f>
        <v>34</v>
      </c>
      <c r="C242" s="193">
        <v>15.5</v>
      </c>
      <c r="D242" s="179">
        <f t="shared" si="13"/>
        <v>527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35</v>
      </c>
      <c r="B243" s="181">
        <f>'Données projet'!D221</f>
        <v>41</v>
      </c>
      <c r="C243" s="193">
        <v>15.5</v>
      </c>
      <c r="D243" s="179">
        <f t="shared" si="13"/>
        <v>635.5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40</v>
      </c>
      <c r="B244" s="181">
        <f>'Données projet'!D222</f>
        <v>41</v>
      </c>
      <c r="C244" s="193">
        <v>15.5</v>
      </c>
      <c r="D244" s="179">
        <f t="shared" si="13"/>
        <v>635.5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45</v>
      </c>
      <c r="B245" s="181">
        <f>'Données projet'!D223</f>
        <v>53</v>
      </c>
      <c r="C245" s="193">
        <v>15.5</v>
      </c>
      <c r="D245" s="179">
        <f t="shared" si="13"/>
        <v>821.5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50</v>
      </c>
      <c r="B246" s="181">
        <f>'Données projet'!D224</f>
        <v>53</v>
      </c>
      <c r="C246" s="193">
        <v>29.5</v>
      </c>
      <c r="D246" s="179">
        <f t="shared" si="13"/>
        <v>1563.5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58</v>
      </c>
      <c r="B247" s="181">
        <f>'Données projet'!D225</f>
        <v>78</v>
      </c>
      <c r="C247" s="193">
        <v>29.5</v>
      </c>
      <c r="D247" s="179">
        <f t="shared" si="13"/>
        <v>2301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66</v>
      </c>
      <c r="B248" s="181">
        <f>'Données projet'!D226</f>
        <v>65</v>
      </c>
      <c r="C248" s="193">
        <v>29.5</v>
      </c>
      <c r="D248" s="179">
        <f t="shared" si="13"/>
        <v>1917.5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74</v>
      </c>
      <c r="B249" s="181">
        <f>'Données projet'!D227</f>
        <v>37</v>
      </c>
      <c r="C249" s="193">
        <v>29.5</v>
      </c>
      <c r="D249" s="179">
        <f t="shared" si="13"/>
        <v>1091.5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82</v>
      </c>
      <c r="B250" s="181">
        <f>'Données projet'!D228</f>
        <v>26</v>
      </c>
      <c r="C250" s="193">
        <v>29.5</v>
      </c>
      <c r="D250" s="179">
        <f t="shared" si="13"/>
        <v>767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90</v>
      </c>
      <c r="B251" s="181">
        <f>'Données projet'!D229</f>
        <v>596.20000000000005</v>
      </c>
      <c r="C251" s="193">
        <v>29.5</v>
      </c>
      <c r="D251" s="179">
        <f t="shared" si="13"/>
        <v>17587.900000000001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>Pin taeda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v>1958.9773557341125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>
        <v>855</v>
      </c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>
        <v>855</v>
      </c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22</v>
      </c>
      <c r="B271" s="181">
        <f>'Données projet'!D244</f>
        <v>16</v>
      </c>
      <c r="C271" s="193">
        <v>8.5</v>
      </c>
      <c r="D271" s="179">
        <f>B271*C271</f>
        <v>136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25</v>
      </c>
      <c r="B272" s="181">
        <f>'Données projet'!D245</f>
        <v>17</v>
      </c>
      <c r="C272" s="193">
        <v>8.5</v>
      </c>
      <c r="D272" s="179">
        <f t="shared" ref="D272:D290" si="14">B272*C272</f>
        <v>144.5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30</v>
      </c>
      <c r="B273" s="181">
        <f>'Données projet'!D246</f>
        <v>34</v>
      </c>
      <c r="C273" s="193">
        <v>15.5</v>
      </c>
      <c r="D273" s="179">
        <f t="shared" si="14"/>
        <v>527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35</v>
      </c>
      <c r="B274" s="181">
        <f>'Données projet'!D247</f>
        <v>41</v>
      </c>
      <c r="C274" s="193">
        <v>15.5</v>
      </c>
      <c r="D274" s="179">
        <f t="shared" si="14"/>
        <v>635.5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40</v>
      </c>
      <c r="B275" s="181">
        <f>'Données projet'!D248</f>
        <v>41</v>
      </c>
      <c r="C275" s="193">
        <v>15.5</v>
      </c>
      <c r="D275" s="179">
        <f t="shared" si="14"/>
        <v>635.5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45</v>
      </c>
      <c r="B276" s="181">
        <f>'Données projet'!D249</f>
        <v>53</v>
      </c>
      <c r="C276" s="193">
        <v>15.5</v>
      </c>
      <c r="D276" s="179">
        <f t="shared" si="14"/>
        <v>821.5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50</v>
      </c>
      <c r="B277" s="181">
        <f>'Données projet'!D250</f>
        <v>53</v>
      </c>
      <c r="C277" s="193">
        <v>29.5</v>
      </c>
      <c r="D277" s="179">
        <f t="shared" si="14"/>
        <v>1563.5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58</v>
      </c>
      <c r="B278" s="181">
        <f>'Données projet'!D251</f>
        <v>78</v>
      </c>
      <c r="C278" s="193">
        <v>29.5</v>
      </c>
      <c r="D278" s="179">
        <f t="shared" si="14"/>
        <v>2301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66</v>
      </c>
      <c r="B279" s="181">
        <f>'Données projet'!D252</f>
        <v>65</v>
      </c>
      <c r="C279" s="193">
        <v>29.5</v>
      </c>
      <c r="D279" s="179">
        <f t="shared" si="14"/>
        <v>1917.5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74</v>
      </c>
      <c r="B280" s="181">
        <f>'Données projet'!D253</f>
        <v>37</v>
      </c>
      <c r="C280" s="193">
        <v>29.5</v>
      </c>
      <c r="D280" s="179">
        <f t="shared" si="14"/>
        <v>1091.5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82</v>
      </c>
      <c r="B281" s="181">
        <f>'Données projet'!D254</f>
        <v>26</v>
      </c>
      <c r="C281" s="193">
        <v>29.5</v>
      </c>
      <c r="D281" s="179">
        <f t="shared" si="14"/>
        <v>767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90</v>
      </c>
      <c r="B282" s="181">
        <f>'Données projet'!D255</f>
        <v>596.20000000000005</v>
      </c>
      <c r="C282" s="193">
        <v>29.5</v>
      </c>
      <c r="D282" s="179">
        <f t="shared" si="14"/>
        <v>17587.900000000001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6" ma:contentTypeDescription="Crée un document." ma:contentTypeScope="" ma:versionID="1b463674f62235156ff3623f477fff23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e5faca9408bca2fcda289e2ffaf76f9f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E50F50-9BDF-42E6-9433-C3E4366226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8F28AA-24C9-4D1A-B276-45CFB6B287CF}">
  <ds:schemaRefs>
    <ds:schemaRef ds:uri="http://schemas.microsoft.com/office/2006/metadata/properties"/>
    <ds:schemaRef ds:uri="http://schemas.microsoft.com/office/infopath/2007/PartnerControls"/>
    <ds:schemaRef ds:uri="37d24cdf-bbc6-4946-8747-982d14624cd4"/>
    <ds:schemaRef ds:uri="4a0a9159-faee-4929-bc18-6e0874945fe3"/>
  </ds:schemaRefs>
</ds:datastoreItem>
</file>

<file path=customXml/itemProps3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romain montagne</cp:lastModifiedBy>
  <dcterms:created xsi:type="dcterms:W3CDTF">2021-02-01T08:22:39Z</dcterms:created>
  <dcterms:modified xsi:type="dcterms:W3CDTF">2022-12-26T17:40:48Z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