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Contrats NIF - Propriétaires/2CHAU-121 - J&amp;P-H. Louineau - La Chauvelière/Administration/Label Bas Carbone/Dossier Avril 22/Annexes/"/>
    </mc:Choice>
  </mc:AlternateContent>
  <xr:revisionPtr revIDLastSave="114" documentId="11_832EBC973FF36A9F0A417D33E5FDCA6337D90D96" xr6:coauthVersionLast="47" xr6:coauthVersionMax="47" xr10:uidLastSave="{DBFC6295-9393-4A23-99C3-4D673E398E3D}"/>
  <bookViews>
    <workbookView xWindow="-120" yWindow="-16320" windowWidth="29040" windowHeight="15840" tabRatio="632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DI163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BX107" i="2" a="1"/>
  <c r="BX107" i="2" s="1"/>
  <c r="DN187" i="2" a="1"/>
  <c r="DN187" i="2" s="1"/>
  <c r="HJ202" i="2"/>
  <c r="EY202" i="2"/>
  <c r="AX200" i="2"/>
  <c r="CS72" i="2" l="1" a="1"/>
  <c r="CS72" i="2" s="1"/>
  <c r="CS66" i="2" a="1"/>
  <c r="CS66" i="2" s="1"/>
  <c r="CS38" i="2" a="1"/>
  <c r="CS38" i="2" s="1"/>
  <c r="AH62" i="2" a="1"/>
  <c r="AH62" i="2" s="1"/>
  <c r="AH151" i="2" a="1"/>
  <c r="AH151" i="2" s="1"/>
  <c r="AH90" i="2" a="1"/>
  <c r="AH90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CD127" i="2" l="1"/>
  <c r="CD20" i="2"/>
  <c r="CD44" i="2"/>
  <c r="CD52" i="2"/>
  <c r="CD51" i="2"/>
  <c r="CD46" i="2"/>
  <c r="CD36" i="2"/>
  <c r="CD71" i="2"/>
  <c r="CD69" i="2"/>
  <c r="CD21" i="2"/>
  <c r="CD125" i="2"/>
  <c r="CD57" i="2"/>
  <c r="CD103" i="2"/>
  <c r="CD58" i="2"/>
  <c r="CD95" i="2"/>
  <c r="CD29" i="2"/>
  <c r="CD151" i="2"/>
  <c r="CD63" i="2"/>
  <c r="CD198" i="2"/>
  <c r="CD150" i="2"/>
  <c r="CD153" i="2"/>
  <c r="CD171" i="2"/>
  <c r="CD197" i="2"/>
  <c r="CD48" i="2"/>
  <c r="CD133" i="2"/>
  <c r="CD104" i="2"/>
  <c r="CD156" i="2"/>
  <c r="CD45" i="2"/>
  <c r="CD163" i="2"/>
  <c r="CD54" i="2"/>
  <c r="CD185" i="2"/>
  <c r="CD155" i="2"/>
  <c r="CD10" i="2"/>
  <c r="CD62" i="2"/>
  <c r="CD132" i="2"/>
  <c r="CD86" i="2"/>
  <c r="CD144" i="2"/>
  <c r="CD40" i="2"/>
  <c r="CD107" i="2"/>
  <c r="CD134" i="2"/>
  <c r="CD178" i="2"/>
  <c r="CD76" i="2"/>
  <c r="CD67" i="2"/>
  <c r="CD183" i="2"/>
  <c r="CD8" i="2"/>
  <c r="CD135" i="2"/>
  <c r="CD117" i="2"/>
  <c r="CD9" i="2"/>
  <c r="CD24" i="2"/>
  <c r="CD149" i="2"/>
  <c r="CD41" i="2"/>
  <c r="CD83" i="2"/>
  <c r="CD82" i="2"/>
  <c r="CD80" i="2"/>
  <c r="CD77" i="2"/>
  <c r="CD59" i="2"/>
  <c r="CD187" i="2"/>
  <c r="CD23" i="2"/>
  <c r="CD50" i="2"/>
  <c r="CD65" i="2"/>
  <c r="CD60" i="2"/>
  <c r="CD138" i="2"/>
  <c r="CD98" i="2"/>
  <c r="CD200" i="2"/>
  <c r="CD128" i="2"/>
  <c r="CD38" i="2"/>
  <c r="CD72" i="2"/>
  <c r="CD31" i="2"/>
  <c r="CD109" i="2"/>
  <c r="CD7" i="2"/>
  <c r="CD201" i="2"/>
  <c r="CD157" i="2"/>
  <c r="CD89" i="2"/>
  <c r="CD66" i="2"/>
  <c r="CD145" i="2"/>
  <c r="CD147" i="2"/>
  <c r="CD35" i="2"/>
  <c r="CD33" i="2"/>
  <c r="CD186" i="2"/>
  <c r="CD26" i="2"/>
  <c r="CD68" i="2"/>
  <c r="CD55" i="2"/>
  <c r="CD177" i="2"/>
  <c r="CD166" i="2"/>
  <c r="CD176" i="2"/>
  <c r="CD88" i="2"/>
  <c r="CD19" i="2"/>
  <c r="CD173" i="2"/>
  <c r="CD195" i="2"/>
  <c r="CD106" i="2"/>
  <c r="CD152" i="2"/>
  <c r="CD126" i="2"/>
  <c r="CD165" i="2"/>
  <c r="CD172" i="2"/>
  <c r="CD73" i="2"/>
  <c r="CD122" i="2"/>
  <c r="CD124" i="2"/>
  <c r="CD30" i="2"/>
  <c r="CD102" i="2"/>
  <c r="CD188" i="2"/>
  <c r="CD78" i="2"/>
  <c r="CD47" i="2"/>
  <c r="CD118" i="2"/>
  <c r="CD158" i="2"/>
  <c r="CD12" i="2"/>
  <c r="CD37" i="2"/>
  <c r="CD105" i="2"/>
  <c r="CD74" i="2"/>
  <c r="CD112" i="2"/>
  <c r="CD99" i="2"/>
  <c r="CD164" i="2"/>
  <c r="CD162" i="2"/>
  <c r="CD189" i="2"/>
  <c r="CD180" i="2"/>
  <c r="CD70" i="2"/>
  <c r="CD101" i="2"/>
  <c r="CD5" i="2"/>
  <c r="CD34" i="2"/>
  <c r="CD39" i="2"/>
  <c r="CD42" i="2"/>
  <c r="CD184" i="2"/>
  <c r="CD110" i="2"/>
  <c r="CD160" i="2"/>
  <c r="CD130" i="2"/>
  <c r="CD13" i="2"/>
  <c r="CD115" i="2"/>
  <c r="CD96" i="2"/>
  <c r="CD108" i="2"/>
  <c r="CD84" i="2"/>
  <c r="CD141" i="2"/>
  <c r="CD193" i="2"/>
  <c r="CD202" i="2"/>
  <c r="CD119" i="2"/>
  <c r="CD121" i="2"/>
  <c r="CD17" i="2"/>
  <c r="CD190" i="2"/>
  <c r="CD3" i="2"/>
  <c r="C9" i="4" s="1"/>
  <c r="E9" i="4" s="1"/>
  <c r="F9" i="4" s="1"/>
  <c r="G9" i="4" s="1"/>
  <c r="L9" i="4" s="1"/>
  <c r="CD167" i="2"/>
  <c r="CD97" i="2"/>
  <c r="CD136" i="2"/>
  <c r="CD179" i="2"/>
  <c r="CD194" i="2"/>
  <c r="CD93" i="2"/>
  <c r="CD75" i="2"/>
  <c r="CD120" i="2"/>
  <c r="CD28" i="2"/>
  <c r="CD11" i="2"/>
  <c r="CD18" i="2"/>
  <c r="CD114" i="2"/>
  <c r="CD64" i="2"/>
  <c r="CD123" i="2"/>
  <c r="CD154" i="2"/>
  <c r="CD196" i="2"/>
  <c r="CD79" i="2"/>
  <c r="CD129" i="2"/>
  <c r="CD113" i="2"/>
  <c r="CD159" i="2"/>
  <c r="CD81" i="2"/>
  <c r="CD181" i="2"/>
  <c r="CD116" i="2"/>
  <c r="CD146" i="2"/>
  <c r="CD4" i="2"/>
  <c r="CD100" i="2"/>
  <c r="CD139" i="2"/>
  <c r="CD174" i="2"/>
  <c r="CD111" i="2"/>
  <c r="CD15" i="2"/>
  <c r="CD192" i="2"/>
  <c r="CD61" i="2"/>
  <c r="CD49" i="2"/>
  <c r="CD32" i="2"/>
  <c r="CD56" i="2"/>
  <c r="CD169" i="2"/>
  <c r="CD137" i="2"/>
  <c r="CD94" i="2"/>
  <c r="CD85" i="2"/>
  <c r="CD161" i="2"/>
  <c r="CD16" i="2"/>
  <c r="CD27" i="2"/>
  <c r="CD53" i="2"/>
  <c r="CD170" i="2"/>
  <c r="CD90" i="2"/>
  <c r="CD14" i="2"/>
  <c r="CD92" i="2"/>
  <c r="CD191" i="2"/>
  <c r="CD182" i="2"/>
  <c r="CD6" i="2"/>
  <c r="CD199" i="2"/>
  <c r="CD142" i="2"/>
  <c r="CD168" i="2"/>
  <c r="CD87" i="2"/>
  <c r="CD131" i="2"/>
  <c r="CD25" i="2"/>
  <c r="CD203" i="2"/>
  <c r="CD43" i="2"/>
  <c r="CD140" i="2"/>
  <c r="CD22" i="2"/>
  <c r="CD175" i="2"/>
  <c r="CD91" i="2"/>
  <c r="CD148" i="2"/>
  <c r="CD143" i="2"/>
  <c r="FE195" i="2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<sst xmlns="http://schemas.openxmlformats.org/spreadsheetml/2006/main" count="1175" uniqueCount="325">
  <si>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</si>
  <si>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</si>
  <si>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</si>
  <si>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</si>
  <si>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</si>
  <si>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</si>
  <si>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</si>
  <si>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</si>
  <si>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</si>
  <si>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</si>
  <si>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</si>
  <si>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</si>
  <si>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</si>
  <si>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</si>
  <si>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</si>
  <si>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</si>
  <si>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</si>
  <si>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</si>
  <si>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</si>
  <si>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</si>
  <si>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</si>
  <si>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</si>
  <si>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</si>
  <si>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</si>
  <si>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</si>
  <si>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</si>
  <si>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</si>
  <si>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</si>
  <si>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</si>
  <si>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</si>
  <si>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</si>
  <si>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</si>
  <si>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</si>
  <si>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</si>
  <si>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</si>
  <si>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</si>
  <si>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</si>
  <si>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</si>
  <si>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</si>
  <si>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</si>
  <si>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</si>
  <si>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</si>
  <si>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</si>
  <si>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</si>
  <si>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</si>
  <si>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</si>
  <si>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</si>
  <si>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</si>
  <si>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</si>
  <si>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</si>
  <si>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</si>
  <si>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</si>
  <si>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</si>
  <si>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</si>
  <si>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</si>
  <si>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</si>
  <si>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</si>
  <si>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</si>
  <si>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</si>
  <si>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</si>
  <si>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</si>
  <si>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</si>
  <si>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</si>
  <si>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</si>
  <si>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</si>
  <si>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</si>
  <si>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</si>
  <si>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</si>
  <si>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</si>
  <si>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</si>
  <si>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</si>
  <si>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</si>
  <si>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</si>
  <si>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</si>
  <si>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</si>
  <si>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</si>
  <si>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</si>
  <si>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</si>
  <si>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</si>
  <si>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</si>
  <si>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</si>
  <si>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</si>
  <si>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</si>
  <si>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</si>
  <si>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</si>
  <si>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</si>
  <si>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</si>
  <si>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</si>
  <si>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</si>
  <si>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</si>
  <si>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</si>
  <si>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</si>
  <si>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</si>
  <si>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</si>
  <si>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</si>
  <si>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</si>
  <si>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</si>
  <si>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</si>
  <si>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</si>
  <si>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</si>
  <si>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</si>
  <si>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</si>
  <si>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</si>
  <si>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</si>
  <si>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</si>
  <si>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</si>
  <si>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</si>
  <si>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</si>
  <si>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</si>
  <si>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</si>
  <si>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</si>
  <si>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</si>
  <si>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</si>
  <si>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</si>
  <si>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</si>
  <si>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</si>
  <si>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</si>
  <si>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</si>
  <si>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</si>
  <si>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</si>
  <si>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</si>
  <si>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</si>
  <si>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</si>
  <si>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</si>
  <si>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</si>
  <si>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</si>
  <si>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</si>
  <si>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</si>
  <si>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</si>
  <si>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</si>
  <si>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</si>
  <si>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</si>
  <si>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</si>
  <si>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</si>
  <si>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</si>
  <si>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</si>
  <si>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</si>
  <si>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</si>
  <si>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</si>
  <si>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</si>
  <si>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</si>
  <si>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</si>
  <si>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</si>
  <si>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</si>
  <si>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</si>
  <si>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</si>
  <si>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</si>
  <si>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</si>
  <si>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</si>
  <si>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</si>
  <si>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</si>
  <si>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</si>
  <si>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</si>
  <si>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</si>
  <si>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</si>
  <si>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</si>
  <si>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</si>
  <si>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</si>
  <si>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</si>
  <si>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</si>
  <si>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</si>
  <si>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</si>
  <si>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</si>
  <si>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</si>
  <si>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</si>
  <si>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</si>
  <si>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</si>
  <si>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</si>
  <si>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</si>
  <si>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</si>
  <si>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</si>
  <si>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</si>
  <si>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</si>
  <si>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</si>
  <si>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</si>
  <si>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</si>
  <si>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</si>
  <si>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</si>
  <si>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</si>
  <si>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</si>
  <si>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</si>
  <si>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</si>
  <si>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</si>
  <si>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</si>
  <si>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</si>
  <si>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</si>
  <si>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</si>
  <si>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</si>
  <si>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</si>
  <si>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</si>
  <si>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</si>
  <si>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</si>
  <si>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</si>
  <si>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</si>
  <si>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</si>
  <si>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</si>
  <si>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</si>
  <si>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</si>
  <si>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</si>
  <si>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</si>
  <si>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</si>
  <si>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</si>
  <si>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</si>
  <si>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</si>
  <si>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</si>
  <si>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</si>
  <si>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</si>
  <si>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</si>
  <si>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</si>
  <si>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</si>
  <si>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</si>
  <si>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</si>
  <si>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</si>
  <si>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</si>
  <si>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</si>
  <si>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</si>
  <si>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</si>
  <si>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</si>
  <si>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</si>
  <si>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</si>
  <si>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</si>
  <si>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</si>
  <si>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</si>
  <si>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</si>
  <si>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</si>
  <si>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</si>
  <si>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</si>
  <si>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</si>
  <si>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</si>
  <si>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</si>
  <si>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</si>
  <si>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</si>
  <si>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</si>
  <si>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</si>
  <si>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</si>
  <si>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</si>
  <si>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</si>
  <si>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</si>
  <si>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</si>
  <si>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</si>
  <si>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</si>
  <si>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</si>
  <si>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</si>
  <si>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</si>
  <si>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</si>
  <si>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</si>
  <si>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</si>
  <si>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</si>
  <si>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</si>
  <si>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</si>
  <si>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</si>
  <si>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</si>
  <si>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</si>
  <si>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</si>
  <si>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</si>
  <si>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</si>
  <si>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</si>
  <si>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</si>
  <si>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</si>
  <si>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</si>
  <si>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</si>
  <si>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</si>
  <si>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</si>
  <si>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</si>
  <si>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</si>
  <si>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</si>
  <si>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</si>
  <si>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</si>
  <si>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</si>
  <si>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</si>
  <si>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</si>
  <si>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</si>
  <si>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</si>
  <si>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</si>
  <si>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</si>
  <si>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</si>
  <si>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</si>
  <si>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</si>
  <si>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</si>
  <si>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</si>
  <si>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</si>
  <si>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</si>
  <si>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</si>
  <si>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</si>
  <si>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</si>
  <si>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</si>
  <si>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</si>
  <si>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</si>
  <si>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</si>
  <si>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</si>
  <si>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</si>
  <si>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</si>
  <si>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</si>
  <si>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</si>
  <si>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</si>
  <si>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</si>
  <si>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</si>
  <si>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</si>
  <si>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</si>
  <si>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</si>
  <si>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</si>
  <si>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</si>
  <si>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</si>
  <si>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</si>
  <si>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</si>
  <si>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</si>
  <si>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</si>
  <si>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</si>
  <si>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</si>
  <si>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</si>
  <si>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</si>
  <si>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</si>
  <si>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</si>
  <si>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</si>
  <si>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</si>
  <si>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</si>
  <si>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</si>
  <si>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</si>
  <si>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</si>
  <si>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</si>
  <si>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</si>
  <si>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</si>
  <si>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</si>
  <si>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</si>
  <si>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2CHAU-121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</si>
</sst>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21" borderId="0" xfId="0" applyFont="1" applyFill="1" applyAlignment="1" applyProtection="1">
      <alignment vertical="center" wrapText="1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Normal 2" xfId="3" xr:uid="{B2499A9F-CE6B-4F5C-B714-7EC3843CF5DD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2.0655652846679247</c:v>
                </c:pt>
                <c:pt idx="2">
                  <c:v>2.7513973976729744</c:v>
                </c:pt>
                <c:pt idx="3">
                  <c:v>3.6658942404620647</c:v>
                </c:pt>
                <c:pt idx="4">
                  <c:v>4.8855929944623862</c:v>
                </c:pt>
                <c:pt idx="5">
                  <c:v>6.5127419951291925</c:v>
                </c:pt>
                <c:pt idx="6">
                  <c:v>8.6839669130926342</c:v>
                </c:pt>
                <c:pt idx="7">
                  <c:v>11.581866966494403</c:v>
                </c:pt>
                <c:pt idx="8">
                  <c:v>15.450534596968057</c:v>
                </c:pt>
                <c:pt idx="9">
                  <c:v>20.616329727910539</c:v>
                </c:pt>
                <c:pt idx="10">
                  <c:v>27.515692460686338</c:v>
                </c:pt>
                <c:pt idx="11">
                  <c:v>36.732385131716207</c:v>
                </c:pt>
                <c:pt idx="12">
                  <c:v>49.047368765877287</c:v>
                </c:pt>
                <c:pt idx="13">
                  <c:v>64.217508668532318</c:v>
                </c:pt>
                <c:pt idx="14">
                  <c:v>79.294330978576866</c:v>
                </c:pt>
                <c:pt idx="15">
                  <c:v>94.298206714825952</c:v>
                </c:pt>
                <c:pt idx="16">
                  <c:v>109.24242579589337</c:v>
                </c:pt>
                <c:pt idx="17">
                  <c:v>107.20921010333602</c:v>
                </c:pt>
                <c:pt idx="18">
                  <c:v>124.5611931900976</c:v>
                </c:pt>
                <c:pt idx="19">
                  <c:v>141.85442257807566</c:v>
                </c:pt>
                <c:pt idx="20">
                  <c:v>159.09707970633681</c:v>
                </c:pt>
                <c:pt idx="21">
                  <c:v>149.63573459697577</c:v>
                </c:pt>
                <c:pt idx="22">
                  <c:v>168.90197965269823</c:v>
                </c:pt>
                <c:pt idx="23">
                  <c:v>188.11640820168216</c:v>
                </c:pt>
                <c:pt idx="24">
                  <c:v>207.28506006742305</c:v>
                </c:pt>
                <c:pt idx="25">
                  <c:v>188.53710283199996</c:v>
                </c:pt>
                <c:pt idx="26">
                  <c:v>209.60957762828204</c:v>
                </c:pt>
                <c:pt idx="27">
                  <c:v>230.63316428689714</c:v>
                </c:pt>
                <c:pt idx="28">
                  <c:v>251.61294597569997</c:v>
                </c:pt>
                <c:pt idx="29">
                  <c:v>225.09150790506024</c:v>
                </c:pt>
                <c:pt idx="30">
                  <c:v>244.15248966668833</c:v>
                </c:pt>
                <c:pt idx="31">
                  <c:v>263.1796526671061</c:v>
                </c:pt>
                <c:pt idx="32">
                  <c:v>282.1757854686112</c:v>
                </c:pt>
                <c:pt idx="33">
                  <c:v>301.1432704181982</c:v>
                </c:pt>
                <c:pt idx="34">
                  <c:v>320.08416522336495</c:v>
                </c:pt>
                <c:pt idx="35">
                  <c:v>277.40814132148193</c:v>
                </c:pt>
                <c:pt idx="36">
                  <c:v>293.92690426309349</c:v>
                </c:pt>
                <c:pt idx="37">
                  <c:v>310.42495478892596</c:v>
                </c:pt>
                <c:pt idx="38">
                  <c:v>326.90354850779556</c:v>
                </c:pt>
                <c:pt idx="39">
                  <c:v>343.36380410680204</c:v>
                </c:pt>
                <c:pt idx="40">
                  <c:v>359.80672426785873</c:v>
                </c:pt>
                <c:pt idx="41">
                  <c:v>319.44468427368463</c:v>
                </c:pt>
                <c:pt idx="42">
                  <c:v>331.84563284634072</c:v>
                </c:pt>
                <c:pt idx="43">
                  <c:v>344.23636528242605</c:v>
                </c:pt>
                <c:pt idx="44">
                  <c:v>356.61730120684553</c:v>
                </c:pt>
                <c:pt idx="45">
                  <c:v>368.98882872292899</c:v>
                </c:pt>
                <c:pt idx="46">
                  <c:v>381.35130778020283</c:v>
                </c:pt>
                <c:pt idx="47">
                  <c:v>352.32654068139186</c:v>
                </c:pt>
                <c:pt idx="48">
                  <c:v>359.90239737276391</c:v>
                </c:pt>
                <c:pt idx="49">
                  <c:v>367.4747662111094</c:v>
                </c:pt>
                <c:pt idx="50">
                  <c:v>375.04372926372457</c:v>
                </c:pt>
                <c:pt idx="51">
                  <c:v>382.60936501256174</c:v>
                </c:pt>
                <c:pt idx="52">
                  <c:v>390.17174858022435</c:v>
                </c:pt>
                <c:pt idx="53">
                  <c:v>397.73095193751942</c:v>
                </c:pt>
                <c:pt idx="54">
                  <c:v>405.28704409440041</c:v>
                </c:pt>
                <c:pt idx="55">
                  <c:v>388.57993448027963</c:v>
                </c:pt>
                <c:pt idx="56">
                  <c:v>391.73158965325291</c:v>
                </c:pt>
                <c:pt idx="57">
                  <c:v>394.88269479129082</c:v>
                </c:pt>
                <c:pt idx="58">
                  <c:v>398.0332549091907</c:v>
                </c:pt>
                <c:pt idx="59">
                  <c:v>401.18327493577596</c:v>
                </c:pt>
                <c:pt idx="60">
                  <c:v>404.3327597160494</c:v>
                </c:pt>
                <c:pt idx="61">
                  <c:v>407.48171401327471</c:v>
                </c:pt>
                <c:pt idx="62">
                  <c:v>410.63014251099207</c:v>
                </c:pt>
                <c:pt idx="63">
                  <c:v>407.70434738974518</c:v>
                </c:pt>
                <c:pt idx="64">
                  <c:v>413.04676405305366</c:v>
                </c:pt>
                <c:pt idx="65">
                  <c:v>418.38768983127216</c:v>
                </c:pt>
                <c:pt idx="66">
                  <c:v>423.72714645952016</c:v>
                </c:pt>
                <c:pt idx="67">
                  <c:v>429.06515507994436</c:v>
                </c:pt>
                <c:pt idx="68">
                  <c:v>434.40173626523728</c:v>
                </c:pt>
                <c:pt idx="69">
                  <c:v>439.73691004093962</c:v>
                </c:pt>
                <c:pt idx="70">
                  <c:v>445.07069590660262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1.798593949207703</c:v>
                </c:pt>
                <c:pt idx="2">
                  <c:v>2.2256540279235608</c:v>
                </c:pt>
                <c:pt idx="3">
                  <c:v>2.7545128358231423</c:v>
                </c:pt>
                <c:pt idx="4">
                  <c:v>3.4095257388585782</c:v>
                </c:pt>
                <c:pt idx="5">
                  <c:v>4.2208952223887648</c:v>
                </c:pt>
                <c:pt idx="6">
                  <c:v>5.2260791338936876</c:v>
                </c:pt>
                <c:pt idx="7">
                  <c:v>6.4715390940870243</c:v>
                </c:pt>
                <c:pt idx="8">
                  <c:v>8.0149114684794363</c:v>
                </c:pt>
                <c:pt idx="9">
                  <c:v>9.927703296904788</c:v>
                </c:pt>
                <c:pt idx="10">
                  <c:v>12.298640452364912</c:v>
                </c:pt>
                <c:pt idx="11">
                  <c:v>15.237826229911176</c:v>
                </c:pt>
                <c:pt idx="12">
                  <c:v>18.88190702830537</c:v>
                </c:pt>
                <c:pt idx="13">
                  <c:v>23.400489619998314</c:v>
                </c:pt>
                <c:pt idx="14">
                  <c:v>29.004113995961465</c:v>
                </c:pt>
                <c:pt idx="15">
                  <c:v>35.954159767859231</c:v>
                </c:pt>
                <c:pt idx="16">
                  <c:v>44.575156154015268</c:v>
                </c:pt>
                <c:pt idx="17">
                  <c:v>55.270080077532498</c:v>
                </c:pt>
                <c:pt idx="18">
                  <c:v>68.539369353982067</c:v>
                </c:pt>
                <c:pt idx="19">
                  <c:v>85.004555175285915</c:v>
                </c:pt>
                <c:pt idx="20">
                  <c:v>105.43763861202622</c:v>
                </c:pt>
                <c:pt idx="21">
                  <c:v>130.79761024819999</c:v>
                </c:pt>
                <c:pt idx="22">
                  <c:v>162.27585351475153</c:v>
                </c:pt>
                <c:pt idx="23">
                  <c:v>201.35259721650723</c:v>
                </c:pt>
                <c:pt idx="24">
                  <c:v>249.86711159083032</c:v>
                </c:pt>
                <c:pt idx="25">
                  <c:v>310.10500044645312</c:v>
                </c:pt>
                <c:pt idx="26">
                  <c:v>263.02087901561271</c:v>
                </c:pt>
                <c:pt idx="27">
                  <c:v>286.67021485790582</c:v>
                </c:pt>
                <c:pt idx="28">
                  <c:v>310.27590864650665</c:v>
                </c:pt>
                <c:pt idx="29">
                  <c:v>333.84174556627698</c:v>
                </c:pt>
                <c:pt idx="30">
                  <c:v>357.37093282892039</c:v>
                </c:pt>
                <c:pt idx="31">
                  <c:v>380.86622096643327</c:v>
                </c:pt>
                <c:pt idx="32">
                  <c:v>404.32999360363414</c:v>
                </c:pt>
                <c:pt idx="33">
                  <c:v>333.67111403204058</c:v>
                </c:pt>
                <c:pt idx="34">
                  <c:v>357.20055648716988</c:v>
                </c:pt>
                <c:pt idx="35">
                  <c:v>380.69608129889815</c:v>
                </c:pt>
                <c:pt idx="36">
                  <c:v>404.16007448469958</c:v>
                </c:pt>
                <c:pt idx="37">
                  <c:v>427.59462255942753</c:v>
                </c:pt>
                <c:pt idx="38">
                  <c:v>451.00156481987352</c:v>
                </c:pt>
                <c:pt idx="39">
                  <c:v>474.38253420761703</c:v>
                </c:pt>
                <c:pt idx="40">
                  <c:v>401.9509850645498</c:v>
                </c:pt>
                <c:pt idx="41">
                  <c:v>424.53954501187883</c:v>
                </c:pt>
                <c:pt idx="42">
                  <c:v>447.10225323882634</c:v>
                </c:pt>
                <c:pt idx="43">
                  <c:v>469.6405967298063</c:v>
                </c:pt>
                <c:pt idx="44">
                  <c:v>492.15590821168718</c:v>
                </c:pt>
                <c:pt idx="45">
                  <c:v>514.64938862406336</c:v>
                </c:pt>
                <c:pt idx="46">
                  <c:v>537.1221254578071</c:v>
                </c:pt>
                <c:pt idx="47">
                  <c:v>456.25601907533405</c:v>
                </c:pt>
                <c:pt idx="48">
                  <c:v>477.26107481583023</c:v>
                </c:pt>
                <c:pt idx="49">
                  <c:v>498.24647653872233</c:v>
                </c:pt>
                <c:pt idx="50">
                  <c:v>519.21316784377643</c:v>
                </c:pt>
                <c:pt idx="51">
                  <c:v>540.16200996781845</c:v>
                </c:pt>
                <c:pt idx="52">
                  <c:v>561.09379195392091</c:v>
                </c:pt>
                <c:pt idx="53">
                  <c:v>582.00923922497179</c:v>
                </c:pt>
                <c:pt idx="54">
                  <c:v>506.87208815769242</c:v>
                </c:pt>
                <c:pt idx="55">
                  <c:v>526.31070153853602</c:v>
                </c:pt>
                <c:pt idx="56">
                  <c:v>545.73419984050929</c:v>
                </c:pt>
                <c:pt idx="57">
                  <c:v>565.14319633657283</c:v>
                </c:pt>
                <c:pt idx="58">
                  <c:v>584.53825877411907</c:v>
                </c:pt>
                <c:pt idx="59">
                  <c:v>603.91991418357372</c:v>
                </c:pt>
                <c:pt idx="60">
                  <c:v>623.28865303799364</c:v>
                </c:pt>
                <c:pt idx="61">
                  <c:v>525.80380205834774</c:v>
                </c:pt>
                <c:pt idx="62">
                  <c:v>542.86382775995639</c:v>
                </c:pt>
                <c:pt idx="63">
                  <c:v>559.91260066689722</c:v>
                </c:pt>
                <c:pt idx="64">
                  <c:v>576.95051144926185</c:v>
                </c:pt>
                <c:pt idx="65">
                  <c:v>593.9779258369382</c:v>
                </c:pt>
                <c:pt idx="66">
                  <c:v>610.99518689574109</c:v>
                </c:pt>
                <c:pt idx="67">
                  <c:v>628.00261703693161</c:v>
                </c:pt>
                <c:pt idx="68">
                  <c:v>4.959485612423072E-12</c:v>
                </c:pt>
                <c:pt idx="69">
                  <c:v>4.959485612423072E-12</c:v>
                </c:pt>
                <c:pt idx="70">
                  <c:v>4.959485612423072E-12</c:v>
                </c:pt>
                <c:pt idx="71">
                  <c:v>4.959485612423072E-12</c:v>
                </c:pt>
                <c:pt idx="72">
                  <c:v>4.959485612423072E-12</c:v>
                </c:pt>
                <c:pt idx="73">
                  <c:v>4.959485612423072E-12</c:v>
                </c:pt>
                <c:pt idx="74">
                  <c:v>4.959485612423072E-12</c:v>
                </c:pt>
                <c:pt idx="75">
                  <c:v>4.959485612423072E-12</c:v>
                </c:pt>
                <c:pt idx="76">
                  <c:v>4.959485612423072E-12</c:v>
                </c:pt>
                <c:pt idx="77">
                  <c:v>4.959485612423072E-12</c:v>
                </c:pt>
                <c:pt idx="78">
                  <c:v>4.959485612423072E-12</c:v>
                </c:pt>
                <c:pt idx="79">
                  <c:v>4.959485612423072E-12</c:v>
                </c:pt>
                <c:pt idx="80">
                  <c:v>4.959485612423072E-12</c:v>
                </c:pt>
                <c:pt idx="81">
                  <c:v>4.959485612423072E-12</c:v>
                </c:pt>
                <c:pt idx="82">
                  <c:v>4.959485612423072E-12</c:v>
                </c:pt>
                <c:pt idx="83">
                  <c:v>4.959485612423072E-12</c:v>
                </c:pt>
                <c:pt idx="84">
                  <c:v>4.959485612423072E-12</c:v>
                </c:pt>
                <c:pt idx="85">
                  <c:v>4.959485612423072E-12</c:v>
                </c:pt>
                <c:pt idx="86">
                  <c:v>4.959485612423072E-12</c:v>
                </c:pt>
                <c:pt idx="87">
                  <c:v>4.959485612423072E-12</c:v>
                </c:pt>
                <c:pt idx="88">
                  <c:v>4.959485612423072E-12</c:v>
                </c:pt>
                <c:pt idx="89">
                  <c:v>4.959485612423072E-12</c:v>
                </c:pt>
                <c:pt idx="90">
                  <c:v>4.959485612423072E-12</c:v>
                </c:pt>
                <c:pt idx="91">
                  <c:v>4.959485612423072E-12</c:v>
                </c:pt>
                <c:pt idx="92">
                  <c:v>4.959485612423072E-12</c:v>
                </c:pt>
                <c:pt idx="93">
                  <c:v>4.959485612423072E-12</c:v>
                </c:pt>
                <c:pt idx="94">
                  <c:v>4.959485612423072E-12</c:v>
                </c:pt>
                <c:pt idx="95">
                  <c:v>4.959485612423072E-12</c:v>
                </c:pt>
                <c:pt idx="96">
                  <c:v>4.959485612423072E-12</c:v>
                </c:pt>
                <c:pt idx="97">
                  <c:v>4.959485612423072E-12</c:v>
                </c:pt>
                <c:pt idx="98">
                  <c:v>4.959485612423072E-12</c:v>
                </c:pt>
                <c:pt idx="99">
                  <c:v>4.959485612423072E-12</c:v>
                </c:pt>
                <c:pt idx="100">
                  <c:v>4.959485612423072E-12</c:v>
                </c:pt>
                <c:pt idx="101">
                  <c:v>4.959485612423072E-12</c:v>
                </c:pt>
                <c:pt idx="102">
                  <c:v>4.959485612423072E-12</c:v>
                </c:pt>
                <c:pt idx="103">
                  <c:v>4.959485612423072E-12</c:v>
                </c:pt>
                <c:pt idx="104">
                  <c:v>4.959485612423072E-12</c:v>
                </c:pt>
                <c:pt idx="105">
                  <c:v>4.959485612423072E-12</c:v>
                </c:pt>
                <c:pt idx="106">
                  <c:v>4.959485612423072E-12</c:v>
                </c:pt>
                <c:pt idx="107">
                  <c:v>4.959485612423072E-12</c:v>
                </c:pt>
                <c:pt idx="108">
                  <c:v>4.959485612423072E-12</c:v>
                </c:pt>
                <c:pt idx="109">
                  <c:v>4.959485612423072E-12</c:v>
                </c:pt>
                <c:pt idx="110">
                  <c:v>4.959485612423072E-12</c:v>
                </c:pt>
                <c:pt idx="111">
                  <c:v>4.959485612423072E-12</c:v>
                </c:pt>
                <c:pt idx="112">
                  <c:v>4.959485612423072E-12</c:v>
                </c:pt>
                <c:pt idx="113">
                  <c:v>4.959485612423072E-12</c:v>
                </c:pt>
                <c:pt idx="114">
                  <c:v>4.959485612423072E-12</c:v>
                </c:pt>
                <c:pt idx="115">
                  <c:v>4.959485612423072E-12</c:v>
                </c:pt>
                <c:pt idx="116">
                  <c:v>4.959485612423072E-12</c:v>
                </c:pt>
                <c:pt idx="117">
                  <c:v>4.959485612423072E-12</c:v>
                </c:pt>
                <c:pt idx="118">
                  <c:v>4.959485612423072E-12</c:v>
                </c:pt>
                <c:pt idx="119">
                  <c:v>4.959485612423072E-12</c:v>
                </c:pt>
                <c:pt idx="120">
                  <c:v>4.959485612423072E-12</c:v>
                </c:pt>
                <c:pt idx="121">
                  <c:v>4.959485612423072E-12</c:v>
                </c:pt>
                <c:pt idx="122">
                  <c:v>4.959485612423072E-12</c:v>
                </c:pt>
                <c:pt idx="123">
                  <c:v>4.959485612423072E-12</c:v>
                </c:pt>
                <c:pt idx="124">
                  <c:v>4.959485612423072E-12</c:v>
                </c:pt>
                <c:pt idx="125">
                  <c:v>4.959485612423072E-12</c:v>
                </c:pt>
                <c:pt idx="126">
                  <c:v>4.959485612423072E-12</c:v>
                </c:pt>
                <c:pt idx="127">
                  <c:v>4.959485612423072E-12</c:v>
                </c:pt>
                <c:pt idx="128">
                  <c:v>4.959485612423072E-12</c:v>
                </c:pt>
                <c:pt idx="129">
                  <c:v>4.959485612423072E-12</c:v>
                </c:pt>
                <c:pt idx="130">
                  <c:v>4.959485612423072E-12</c:v>
                </c:pt>
                <c:pt idx="131">
                  <c:v>4.959485612423072E-12</c:v>
                </c:pt>
                <c:pt idx="132">
                  <c:v>4.959485612423072E-12</c:v>
                </c:pt>
                <c:pt idx="133">
                  <c:v>4.959485612423072E-12</c:v>
                </c:pt>
                <c:pt idx="134">
                  <c:v>4.959485612423072E-12</c:v>
                </c:pt>
                <c:pt idx="135">
                  <c:v>4.959485612423072E-12</c:v>
                </c:pt>
                <c:pt idx="136">
                  <c:v>4.959485612423072E-12</c:v>
                </c:pt>
                <c:pt idx="137">
                  <c:v>4.959485612423072E-12</c:v>
                </c:pt>
                <c:pt idx="138">
                  <c:v>4.959485612423072E-12</c:v>
                </c:pt>
                <c:pt idx="139">
                  <c:v>4.959485612423072E-12</c:v>
                </c:pt>
                <c:pt idx="140">
                  <c:v>4.959485612423072E-12</c:v>
                </c:pt>
                <c:pt idx="141">
                  <c:v>4.959485612423072E-12</c:v>
                </c:pt>
                <c:pt idx="142">
                  <c:v>4.959485612423072E-12</c:v>
                </c:pt>
                <c:pt idx="143">
                  <c:v>4.959485612423072E-12</c:v>
                </c:pt>
                <c:pt idx="144">
                  <c:v>4.959485612423072E-12</c:v>
                </c:pt>
                <c:pt idx="145">
                  <c:v>4.959485612423072E-12</c:v>
                </c:pt>
                <c:pt idx="146">
                  <c:v>4.959485612423072E-12</c:v>
                </c:pt>
                <c:pt idx="147">
                  <c:v>4.959485612423072E-12</c:v>
                </c:pt>
                <c:pt idx="148">
                  <c:v>4.959485612423072E-12</c:v>
                </c:pt>
                <c:pt idx="149">
                  <c:v>4.959485612423072E-12</c:v>
                </c:pt>
                <c:pt idx="150">
                  <c:v>4.959485612423072E-12</c:v>
                </c:pt>
                <c:pt idx="151">
                  <c:v>4.959485612423072E-12</c:v>
                </c:pt>
                <c:pt idx="152">
                  <c:v>4.959485612423072E-12</c:v>
                </c:pt>
                <c:pt idx="153">
                  <c:v>4.959485612423072E-12</c:v>
                </c:pt>
                <c:pt idx="154">
                  <c:v>4.959485612423072E-12</c:v>
                </c:pt>
                <c:pt idx="155">
                  <c:v>4.959485612423072E-12</c:v>
                </c:pt>
                <c:pt idx="156">
                  <c:v>4.959485612423072E-12</c:v>
                </c:pt>
                <c:pt idx="157">
                  <c:v>4.959485612423072E-12</c:v>
                </c:pt>
                <c:pt idx="158">
                  <c:v>4.959485612423072E-12</c:v>
                </c:pt>
                <c:pt idx="159">
                  <c:v>4.959485612423072E-12</c:v>
                </c:pt>
                <c:pt idx="160">
                  <c:v>4.959485612423072E-12</c:v>
                </c:pt>
                <c:pt idx="161">
                  <c:v>4.959485612423072E-12</c:v>
                </c:pt>
                <c:pt idx="162">
                  <c:v>4.959485612423072E-12</c:v>
                </c:pt>
                <c:pt idx="163">
                  <c:v>4.959485612423072E-12</c:v>
                </c:pt>
                <c:pt idx="164">
                  <c:v>4.959485612423072E-12</c:v>
                </c:pt>
                <c:pt idx="165">
                  <c:v>4.959485612423072E-12</c:v>
                </c:pt>
                <c:pt idx="166">
                  <c:v>4.959485612423072E-12</c:v>
                </c:pt>
                <c:pt idx="167">
                  <c:v>4.959485612423072E-12</c:v>
                </c:pt>
                <c:pt idx="168">
                  <c:v>4.959485612423072E-12</c:v>
                </c:pt>
                <c:pt idx="169">
                  <c:v>4.959485612423072E-12</c:v>
                </c:pt>
                <c:pt idx="170">
                  <c:v>4.959485612423072E-12</c:v>
                </c:pt>
                <c:pt idx="171">
                  <c:v>4.959485612423072E-12</c:v>
                </c:pt>
                <c:pt idx="172">
                  <c:v>4.959485612423072E-12</c:v>
                </c:pt>
                <c:pt idx="173">
                  <c:v>4.959485612423072E-12</c:v>
                </c:pt>
                <c:pt idx="174">
                  <c:v>4.959485612423072E-12</c:v>
                </c:pt>
                <c:pt idx="175">
                  <c:v>4.959485612423072E-12</c:v>
                </c:pt>
                <c:pt idx="176">
                  <c:v>4.959485612423072E-12</c:v>
                </c:pt>
                <c:pt idx="177">
                  <c:v>4.959485612423072E-12</c:v>
                </c:pt>
                <c:pt idx="178">
                  <c:v>4.959485612423072E-12</c:v>
                </c:pt>
                <c:pt idx="179">
                  <c:v>4.959485612423072E-12</c:v>
                </c:pt>
                <c:pt idx="180">
                  <c:v>4.959485612423072E-12</c:v>
                </c:pt>
                <c:pt idx="181">
                  <c:v>4.959485612423072E-12</c:v>
                </c:pt>
                <c:pt idx="182">
                  <c:v>4.959485612423072E-12</c:v>
                </c:pt>
                <c:pt idx="183">
                  <c:v>4.959485612423072E-12</c:v>
                </c:pt>
                <c:pt idx="184">
                  <c:v>4.959485612423072E-12</c:v>
                </c:pt>
                <c:pt idx="185">
                  <c:v>4.959485612423072E-12</c:v>
                </c:pt>
                <c:pt idx="186">
                  <c:v>4.959485612423072E-12</c:v>
                </c:pt>
                <c:pt idx="187">
                  <c:v>4.959485612423072E-12</c:v>
                </c:pt>
                <c:pt idx="188">
                  <c:v>4.959485612423072E-12</c:v>
                </c:pt>
                <c:pt idx="189">
                  <c:v>4.959485612423072E-12</c:v>
                </c:pt>
                <c:pt idx="190">
                  <c:v>4.959485612423072E-12</c:v>
                </c:pt>
                <c:pt idx="191">
                  <c:v>4.959485612423072E-12</c:v>
                </c:pt>
                <c:pt idx="192">
                  <c:v>4.959485612423072E-12</c:v>
                </c:pt>
                <c:pt idx="193">
                  <c:v>4.959485612423072E-12</c:v>
                </c:pt>
                <c:pt idx="194">
                  <c:v>4.959485612423072E-12</c:v>
                </c:pt>
                <c:pt idx="195">
                  <c:v>4.959485612423072E-12</c:v>
                </c:pt>
                <c:pt idx="196">
                  <c:v>4.959485612423072E-12</c:v>
                </c:pt>
                <c:pt idx="197">
                  <c:v>4.959485612423072E-12</c:v>
                </c:pt>
                <c:pt idx="198">
                  <c:v>4.959485612423072E-12</c:v>
                </c:pt>
                <c:pt idx="199">
                  <c:v>4.959485612423072E-12</c:v>
                </c:pt>
                <c:pt idx="200">
                  <c:v>4.959485612423072E-12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2.636080854320356</c:v>
                </c:pt>
                <c:pt idx="2">
                  <c:v>3.1110530324640444</c:v>
                </c:pt>
                <c:pt idx="3">
                  <c:v>3.6719209076150001</c:v>
                </c:pt>
                <c:pt idx="4">
                  <c:v>4.3342719089880859</c:v>
                </c:pt>
                <c:pt idx="5">
                  <c:v>5.1165312496629056</c:v>
                </c:pt>
                <c:pt idx="6">
                  <c:v>6.0404801126701813</c:v>
                </c:pt>
                <c:pt idx="7">
                  <c:v>7.1318687212121814</c:v>
                </c:pt>
                <c:pt idx="8">
                  <c:v>8.421141711256892</c:v>
                </c:pt>
                <c:pt idx="9">
                  <c:v>9.9442964297020549</c:v>
                </c:pt>
                <c:pt idx="10">
                  <c:v>11.743898577217735</c:v>
                </c:pt>
                <c:pt idx="11">
                  <c:v>13.870284110919128</c:v>
                </c:pt>
                <c:pt idx="12">
                  <c:v>16.382981647571366</c:v>
                </c:pt>
                <c:pt idx="13">
                  <c:v>19.352395916410792</c:v>
                </c:pt>
                <c:pt idx="14">
                  <c:v>22.861800283595556</c:v>
                </c:pt>
                <c:pt idx="15">
                  <c:v>27.009695223137253</c:v>
                </c:pt>
                <c:pt idx="16">
                  <c:v>31.912600097171502</c:v>
                </c:pt>
                <c:pt idx="17">
                  <c:v>37.708358034150798</c:v>
                </c:pt>
                <c:pt idx="18">
                  <c:v>44.560048415602985</c:v>
                </c:pt>
                <c:pt idx="19">
                  <c:v>52.660618925587066</c:v>
                </c:pt>
                <c:pt idx="20">
                  <c:v>62.238369785793118</c:v>
                </c:pt>
                <c:pt idx="21">
                  <c:v>73.56344729071931</c:v>
                </c:pt>
                <c:pt idx="22">
                  <c:v>86.955532779651051</c:v>
                </c:pt>
                <c:pt idx="23">
                  <c:v>102.79294757476977</c:v>
                </c:pt>
                <c:pt idx="24">
                  <c:v>121.52343517290497</c:v>
                </c:pt>
                <c:pt idx="25">
                  <c:v>143.67693028220032</c:v>
                </c:pt>
                <c:pt idx="26">
                  <c:v>169.88068154330901</c:v>
                </c:pt>
                <c:pt idx="27">
                  <c:v>200.87716262642871</c:v>
                </c:pt>
                <c:pt idx="28">
                  <c:v>237.54528681731156</c:v>
                </c:pt>
                <c:pt idx="29">
                  <c:v>280.92553552941558</c:v>
                </c:pt>
                <c:pt idx="30">
                  <c:v>252.89849659506197</c:v>
                </c:pt>
                <c:pt idx="31">
                  <c:v>274.59049242832583</c:v>
                </c:pt>
                <c:pt idx="32">
                  <c:v>296.24399363533558</c:v>
                </c:pt>
                <c:pt idx="33">
                  <c:v>317.86220838723972</c:v>
                </c:pt>
                <c:pt idx="34">
                  <c:v>339.44787284177943</c:v>
                </c:pt>
                <c:pt idx="35">
                  <c:v>315.3813692185883</c:v>
                </c:pt>
                <c:pt idx="36">
                  <c:v>334.45568573997866</c:v>
                </c:pt>
                <c:pt idx="37">
                  <c:v>353.50604121858942</c:v>
                </c:pt>
                <c:pt idx="38">
                  <c:v>372.53390804235232</c:v>
                </c:pt>
                <c:pt idx="39">
                  <c:v>391.54059595731172</c:v>
                </c:pt>
                <c:pt idx="40">
                  <c:v>410.52727721949122</c:v>
                </c:pt>
                <c:pt idx="41">
                  <c:v>429.49500685020001</c:v>
                </c:pt>
                <c:pt idx="42">
                  <c:v>448.44473912647305</c:v>
                </c:pt>
                <c:pt idx="43">
                  <c:v>386.00587885260944</c:v>
                </c:pt>
                <c:pt idx="44">
                  <c:v>411.2705493966983</c:v>
                </c:pt>
                <c:pt idx="45">
                  <c:v>436.50173032375602</c:v>
                </c:pt>
                <c:pt idx="46">
                  <c:v>461.70162769615814</c:v>
                </c:pt>
                <c:pt idx="47">
                  <c:v>486.87218731052076</c:v>
                </c:pt>
                <c:pt idx="48">
                  <c:v>512.01513754296764</c:v>
                </c:pt>
                <c:pt idx="49">
                  <c:v>537.13202334184496</c:v>
                </c:pt>
                <c:pt idx="50">
                  <c:v>562.22423353342549</c:v>
                </c:pt>
                <c:pt idx="51">
                  <c:v>437.54557086783967</c:v>
                </c:pt>
                <c:pt idx="52">
                  <c:v>460.40411338215495</c:v>
                </c:pt>
                <c:pt idx="53">
                  <c:v>483.23844157610097</c:v>
                </c:pt>
                <c:pt idx="54">
                  <c:v>506.04985953638578</c:v>
                </c:pt>
                <c:pt idx="55">
                  <c:v>528.8395442917448</c:v>
                </c:pt>
                <c:pt idx="56">
                  <c:v>551.60856324457643</c:v>
                </c:pt>
                <c:pt idx="57">
                  <c:v>574.35788857601642</c:v>
                </c:pt>
                <c:pt idx="58">
                  <c:v>597.08840925132006</c:v>
                </c:pt>
                <c:pt idx="59">
                  <c:v>619.80094110320726</c:v>
                </c:pt>
                <c:pt idx="60">
                  <c:v>642.49623536140291</c:v>
                </c:pt>
                <c:pt idx="61">
                  <c:v>665.17498591529204</c:v>
                </c:pt>
                <c:pt idx="62">
                  <c:v>687.83783553547198</c:v>
                </c:pt>
                <c:pt idx="63">
                  <c:v>680.54191249602673</c:v>
                </c:pt>
                <c:pt idx="64">
                  <c:v>701.73592702625103</c:v>
                </c:pt>
                <c:pt idx="65">
                  <c:v>722.91684830824988</c:v>
                </c:pt>
                <c:pt idx="66">
                  <c:v>744.08511352656251</c:v>
                </c:pt>
                <c:pt idx="67">
                  <c:v>765.24113299255896</c:v>
                </c:pt>
                <c:pt idx="68">
                  <c:v>786.38529250844852</c:v>
                </c:pt>
                <c:pt idx="69">
                  <c:v>807.51795546410449</c:v>
                </c:pt>
                <c:pt idx="70">
                  <c:v>828.63946470324436</c:v>
                </c:pt>
                <c:pt idx="71">
                  <c:v>849.75014418967828</c:v>
                </c:pt>
                <c:pt idx="72">
                  <c:v>870.85030049957822</c:v>
                </c:pt>
                <c:pt idx="73">
                  <c:v>891.94022416178871</c:v>
                </c:pt>
                <c:pt idx="74">
                  <c:v>913.02019086494977</c:v>
                </c:pt>
                <c:pt idx="75">
                  <c:v>934.09046254749762</c:v>
                </c:pt>
                <c:pt idx="76">
                  <c:v>955.151288384341</c:v>
                </c:pt>
                <c:pt idx="77">
                  <c:v>976.20290568211578</c:v>
                </c:pt>
                <c:pt idx="78">
                  <c:v>997.24554069331555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0.42935054738437195</c:v>
                </c:pt>
                <c:pt idx="2">
                  <c:v>0.8344887427696227</c:v>
                </c:pt>
                <c:pt idx="3">
                  <c:v>1.2318075638431984</c:v>
                </c:pt>
                <c:pt idx="4">
                  <c:v>1.6243063406542866</c:v>
                </c:pt>
                <c:pt idx="5">
                  <c:v>2.01334446790572</c:v>
                </c:pt>
                <c:pt idx="6">
                  <c:v>2.3996974010923089</c:v>
                </c:pt>
                <c:pt idx="7">
                  <c:v>2.7838650463881329</c:v>
                </c:pt>
                <c:pt idx="8">
                  <c:v>3.1661956081797231</c:v>
                </c:pt>
                <c:pt idx="9">
                  <c:v>3.5469450211206954</c:v>
                </c:pt>
                <c:pt idx="10">
                  <c:v>3.9263090089550126</c:v>
                </c:pt>
                <c:pt idx="11">
                  <c:v>4.3044418854758542</c:v>
                </c:pt>
                <c:pt idx="12">
                  <c:v>4.6814682981628151</c:v>
                </c:pt>
                <c:pt idx="13">
                  <c:v>5.0574909352613533</c:v>
                </c:pt>
                <c:pt idx="14">
                  <c:v>5.4325957893863794</c:v>
                </c:pt>
                <c:pt idx="15">
                  <c:v>5.8068558723868025</c:v>
                </c:pt>
                <c:pt idx="16">
                  <c:v>6.1803339104493604</c:v>
                </c:pt>
                <c:pt idx="17">
                  <c:v>6.5530843458255079</c:v>
                </c:pt>
                <c:pt idx="18">
                  <c:v>6.9251548539744787</c:v>
                </c:pt>
                <c:pt idx="19">
                  <c:v>7.2965875138978413</c:v>
                </c:pt>
                <c:pt idx="20">
                  <c:v>7.6674197250590117</c:v>
                </c:pt>
                <c:pt idx="21">
                  <c:v>8.0376849357073858</c:v>
                </c:pt>
                <c:pt idx="22">
                  <c:v>8.4074132285434153</c:v>
                </c:pt>
                <c:pt idx="23">
                  <c:v>8.7766317968890721</c:v>
                </c:pt>
                <c:pt idx="24">
                  <c:v>9.1453653357093163</c:v>
                </c:pt>
                <c:pt idx="25">
                  <c:v>9.5136363656269829</c:v>
                </c:pt>
                <c:pt idx="26">
                  <c:v>9.8814655036359422</c:v>
                </c:pt>
                <c:pt idx="27">
                  <c:v>10.248871690994649</c:v>
                </c:pt>
                <c:pt idx="28">
                  <c:v>10.615872386408599</c:v>
                </c:pt>
                <c:pt idx="29">
                  <c:v>10.982483730839737</c:v>
                </c:pt>
                <c:pt idx="30">
                  <c:v>11.348720688944892</c:v>
                </c:pt>
                <c:pt idx="31">
                  <c:v>11.714597171126004</c:v>
                </c:pt>
                <c:pt idx="32">
                  <c:v>12.080126139389522</c:v>
                </c:pt>
                <c:pt idx="33">
                  <c:v>12.445319699601688</c:v>
                </c:pt>
                <c:pt idx="34">
                  <c:v>12.810189182247129</c:v>
                </c:pt>
                <c:pt idx="35">
                  <c:v>13.174745213419504</c:v>
                </c:pt>
                <c:pt idx="36">
                  <c:v>13.538997777470835</c:v>
                </c:pt>
                <c:pt idx="37">
                  <c:v>13.902956272504191</c:v>
                </c:pt>
                <c:pt idx="38">
                  <c:v>18.648687174795864</c:v>
                </c:pt>
                <c:pt idx="39">
                  <c:v>27.76736884369787</c:v>
                </c:pt>
                <c:pt idx="40">
                  <c:v>36.8009247090977</c:v>
                </c:pt>
                <c:pt idx="41">
                  <c:v>45.773553915658312</c:v>
                </c:pt>
                <c:pt idx="42">
                  <c:v>54.698993851162619</c:v>
                </c:pt>
                <c:pt idx="43">
                  <c:v>63.586074951020542</c:v>
                </c:pt>
                <c:pt idx="44">
                  <c:v>72.440936092470949</c:v>
                </c:pt>
                <c:pt idx="45">
                  <c:v>81.26808316628383</c:v>
                </c:pt>
                <c:pt idx="46">
                  <c:v>86.339181833524094</c:v>
                </c:pt>
                <c:pt idx="47">
                  <c:v>106.28782023872924</c:v>
                </c:pt>
                <c:pt idx="48">
                  <c:v>126.14385730011071</c:v>
                </c:pt>
                <c:pt idx="49">
                  <c:v>145.92397027902709</c:v>
                </c:pt>
                <c:pt idx="50">
                  <c:v>165.63991859817301</c:v>
                </c:pt>
                <c:pt idx="51">
                  <c:v>185.30042247535178</c:v>
                </c:pt>
                <c:pt idx="52">
                  <c:v>204.91219557800355</c:v>
                </c:pt>
                <c:pt idx="53">
                  <c:v>224.48055915021379</c:v>
                </c:pt>
                <c:pt idx="54">
                  <c:v>210.65653866236343</c:v>
                </c:pt>
                <c:pt idx="55">
                  <c:v>228.12887448197773</c:v>
                </c:pt>
                <c:pt idx="56">
                  <c:v>245.57059383232777</c:v>
                </c:pt>
                <c:pt idx="57">
                  <c:v>262.98417726074234</c:v>
                </c:pt>
                <c:pt idx="58">
                  <c:v>280.37174984423507</c:v>
                </c:pt>
                <c:pt idx="59">
                  <c:v>297.73515148618543</c:v>
                </c:pt>
                <c:pt idx="60">
                  <c:v>315.07598993663481</c:v>
                </c:pt>
                <c:pt idx="61">
                  <c:v>332.39568151871464</c:v>
                </c:pt>
                <c:pt idx="62">
                  <c:v>280.89040181804353</c:v>
                </c:pt>
                <c:pt idx="63">
                  <c:v>293.59077516521899</c:v>
                </c:pt>
                <c:pt idx="64">
                  <c:v>306.27888910268274</c:v>
                </c:pt>
                <c:pt idx="65">
                  <c:v>318.95532318922392</c:v>
                </c:pt>
                <c:pt idx="66">
                  <c:v>331.62060714063449</c:v>
                </c:pt>
                <c:pt idx="67">
                  <c:v>344.27522689667245</c:v>
                </c:pt>
                <c:pt idx="68">
                  <c:v>356.91962974904021</c:v>
                </c:pt>
                <c:pt idx="69">
                  <c:v>369.55422870449632</c:v>
                </c:pt>
                <c:pt idx="70">
                  <c:v>317.9209370595305</c:v>
                </c:pt>
                <c:pt idx="71">
                  <c:v>330.32872765301573</c:v>
                </c:pt>
                <c:pt idx="72">
                  <c:v>342.7262392021392</c:v>
                </c:pt>
                <c:pt idx="73">
                  <c:v>355.11389600890431</c:v>
                </c:pt>
                <c:pt idx="74">
                  <c:v>367.49209034996028</c:v>
                </c:pt>
                <c:pt idx="75">
                  <c:v>379.86118591400532</c:v>
                </c:pt>
                <c:pt idx="76">
                  <c:v>392.22152076799483</c:v>
                </c:pt>
                <c:pt idx="77">
                  <c:v>404.57340992986127</c:v>
                </c:pt>
                <c:pt idx="78">
                  <c:v>352.5339270822189</c:v>
                </c:pt>
                <c:pt idx="79">
                  <c:v>364.3984085224493</c:v>
                </c:pt>
                <c:pt idx="80">
                  <c:v>376.25445258732822</c:v>
                </c:pt>
                <c:pt idx="81">
                  <c:v>388.10236266830719</c:v>
                </c:pt>
                <c:pt idx="82">
                  <c:v>399.94242211783904</c:v>
                </c:pt>
                <c:pt idx="83">
                  <c:v>411.77489613963229</c:v>
                </c:pt>
                <c:pt idx="84">
                  <c:v>423.60003345027116</c:v>
                </c:pt>
                <c:pt idx="85">
                  <c:v>435.41806774560104</c:v>
                </c:pt>
                <c:pt idx="86">
                  <c:v>385.21838765576609</c:v>
                </c:pt>
                <c:pt idx="87">
                  <c:v>396.75151144221513</c:v>
                </c:pt>
                <c:pt idx="88">
                  <c:v>408.27737426224098</c:v>
                </c:pt>
                <c:pt idx="89">
                  <c:v>419.79621002157182</c:v>
                </c:pt>
                <c:pt idx="90">
                  <c:v>431.30823874034058</c:v>
                </c:pt>
                <c:pt idx="91">
                  <c:v>442.8136677338955</c:v>
                </c:pt>
                <c:pt idx="92">
                  <c:v>454.3126926644839</c:v>
                </c:pt>
                <c:pt idx="93">
                  <c:v>465.80549848090754</c:v>
                </c:pt>
                <c:pt idx="94">
                  <c:v>477.29226026061059</c:v>
                </c:pt>
                <c:pt idx="95">
                  <c:v>488.77314396648063</c:v>
                </c:pt>
                <c:pt idx="96">
                  <c:v>417.73978047174711</c:v>
                </c:pt>
                <c:pt idx="97">
                  <c:v>428.84193791273236</c:v>
                </c:pt>
                <c:pt idx="98">
                  <c:v>439.93791831951472</c:v>
                </c:pt>
                <c:pt idx="99">
                  <c:v>451.02789946978169</c:v>
                </c:pt>
                <c:pt idx="100">
                  <c:v>462.11204968448232</c:v>
                </c:pt>
                <c:pt idx="101">
                  <c:v>473.19052855046533</c:v>
                </c:pt>
                <c:pt idx="102">
                  <c:v>484.26348757191687</c:v>
                </c:pt>
                <c:pt idx="103">
                  <c:v>495.33107075911585</c:v>
                </c:pt>
                <c:pt idx="104">
                  <c:v>506.39341516182827</c:v>
                </c:pt>
                <c:pt idx="105">
                  <c:v>517.45065135367156</c:v>
                </c:pt>
                <c:pt idx="106">
                  <c:v>462.93287033290011</c:v>
                </c:pt>
                <c:pt idx="107">
                  <c:v>474.01093522123961</c:v>
                </c:pt>
                <c:pt idx="108">
                  <c:v>485.08349118260935</c:v>
                </c:pt>
                <c:pt idx="109">
                  <c:v>496.15068169403895</c:v>
                </c:pt>
                <c:pt idx="110">
                  <c:v>507.21264330953471</c:v>
                </c:pt>
                <c:pt idx="111">
                  <c:v>518.26950614103805</c:v>
                </c:pt>
                <c:pt idx="112">
                  <c:v>529.32139429620918</c:v>
                </c:pt>
                <c:pt idx="113">
                  <c:v>540.36842627774956</c:v>
                </c:pt>
                <c:pt idx="114">
                  <c:v>551.41071534837499</c:v>
                </c:pt>
                <c:pt idx="115">
                  <c:v>562.44836986503822</c:v>
                </c:pt>
                <c:pt idx="116">
                  <c:v>497.9947014899488</c:v>
                </c:pt>
                <c:pt idx="117">
                  <c:v>509.26059140461649</c:v>
                </c:pt>
                <c:pt idx="118">
                  <c:v>520.52121622281493</c:v>
                </c:pt>
                <c:pt idx="119">
                  <c:v>531.77670589409706</c:v>
                </c:pt>
                <c:pt idx="120">
                  <c:v>543.02718441884656</c:v>
                </c:pt>
                <c:pt idx="121">
                  <c:v>554.27277024086038</c:v>
                </c:pt>
                <c:pt idx="122">
                  <c:v>565.51357660641634</c:v>
                </c:pt>
                <c:pt idx="123">
                  <c:v>576.74971189331666</c:v>
                </c:pt>
                <c:pt idx="124">
                  <c:v>587.98127991295894</c:v>
                </c:pt>
                <c:pt idx="125">
                  <c:v>599.20838018813527</c:v>
                </c:pt>
                <c:pt idx="126">
                  <c:v>532.79968192274691</c:v>
                </c:pt>
                <c:pt idx="127">
                  <c:v>544.04971084254669</c:v>
                </c:pt>
                <c:pt idx="128">
                  <c:v>555.2948575643502</c:v>
                </c:pt>
                <c:pt idx="129">
                  <c:v>566.53523487867653</c:v>
                </c:pt>
                <c:pt idx="130">
                  <c:v>577.77095073610064</c:v>
                </c:pt>
                <c:pt idx="131">
                  <c:v>589.00210854701277</c:v>
                </c:pt>
                <c:pt idx="132">
                  <c:v>600.22880745733244</c:v>
                </c:pt>
                <c:pt idx="133">
                  <c:v>611.4511426025266</c:v>
                </c:pt>
                <c:pt idx="134">
                  <c:v>622.66920534201563</c:v>
                </c:pt>
                <c:pt idx="135">
                  <c:v>633.88308347581506</c:v>
                </c:pt>
                <c:pt idx="136">
                  <c:v>565.92224454296229</c:v>
                </c:pt>
                <c:pt idx="137">
                  <c:v>577.56670598332937</c:v>
                </c:pt>
                <c:pt idx="138">
                  <c:v>589.20626984976798</c:v>
                </c:pt>
                <c:pt idx="139">
                  <c:v>600.84104650480538</c:v>
                </c:pt>
                <c:pt idx="140">
                  <c:v>612.47114168941278</c:v>
                </c:pt>
                <c:pt idx="141">
                  <c:v>624.09665680247156</c:v>
                </c:pt>
                <c:pt idx="142">
                  <c:v>635.717689158339</c:v>
                </c:pt>
                <c:pt idx="143">
                  <c:v>647.33433222460883</c:v>
                </c:pt>
                <c:pt idx="144">
                  <c:v>658.94667584192609</c:v>
                </c:pt>
                <c:pt idx="145">
                  <c:v>670.55480642750729</c:v>
                </c:pt>
                <c:pt idx="146">
                  <c:v>602.47362061112722</c:v>
                </c:pt>
                <c:pt idx="147">
                  <c:v>613.89908122357667</c:v>
                </c:pt>
                <c:pt idx="148">
                  <c:v>625.32013281317938</c:v>
                </c:pt>
                <c:pt idx="149">
                  <c:v>636.73686723380797</c:v>
                </c:pt>
                <c:pt idx="150">
                  <c:v>648.14937277791125</c:v>
                </c:pt>
                <c:pt idx="151">
                  <c:v>659.55773437619678</c:v>
                </c:pt>
                <c:pt idx="152">
                  <c:v>670.96203378278881</c:v>
                </c:pt>
                <c:pt idx="153">
                  <c:v>682.36234974714523</c:v>
                </c:pt>
                <c:pt idx="154">
                  <c:v>693.75875817389806</c:v>
                </c:pt>
                <c:pt idx="155">
                  <c:v>705.15133227164654</c:v>
                </c:pt>
                <c:pt idx="156">
                  <c:v>635.51384949260239</c:v>
                </c:pt>
                <c:pt idx="157">
                  <c:v>647.33433222460951</c:v>
                </c:pt>
                <c:pt idx="158">
                  <c:v>659.15036331604028</c:v>
                </c:pt>
                <c:pt idx="159">
                  <c:v>670.96203378278904</c:v>
                </c:pt>
                <c:pt idx="160">
                  <c:v>682.76943117631072</c:v>
                </c:pt>
                <c:pt idx="161">
                  <c:v>694.57263977438208</c:v>
                </c:pt>
                <c:pt idx="162">
                  <c:v>706.37174075822531</c:v>
                </c:pt>
                <c:pt idx="163">
                  <c:v>718.16681237718865</c:v>
                </c:pt>
                <c:pt idx="164">
                  <c:v>729.95793010205398</c:v>
                </c:pt>
                <c:pt idx="165">
                  <c:v>741.74516676792962</c:v>
                </c:pt>
                <c:pt idx="166">
                  <c:v>674.62685177369838</c:v>
                </c:pt>
                <c:pt idx="167">
                  <c:v>686.83997210216774</c:v>
                </c:pt>
                <c:pt idx="168">
                  <c:v>699.04864007554363</c:v>
                </c:pt>
                <c:pt idx="169">
                  <c:v>711.25294437202399</c:v>
                </c:pt>
                <c:pt idx="170">
                  <c:v>723.45297038005435</c:v>
                </c:pt>
                <c:pt idx="171">
                  <c:v>735.64880037494925</c:v>
                </c:pt>
                <c:pt idx="172">
                  <c:v>747.84051368319706</c:v>
                </c:pt>
                <c:pt idx="173">
                  <c:v>760.02818683550174</c:v>
                </c:pt>
                <c:pt idx="174">
                  <c:v>772.21189370950481</c:v>
                </c:pt>
                <c:pt idx="175">
                  <c:v>784.39170566303835</c:v>
                </c:pt>
                <c:pt idx="176">
                  <c:v>796.56769165867706</c:v>
                </c:pt>
                <c:pt idx="177">
                  <c:v>808.73991838028496</c:v>
                </c:pt>
                <c:pt idx="178">
                  <c:v>820.90845034218717</c:v>
                </c:pt>
                <c:pt idx="179">
                  <c:v>833.07334999153534</c:v>
                </c:pt>
                <c:pt idx="180">
                  <c:v>845.2346778043933</c:v>
                </c:pt>
                <c:pt idx="181">
                  <c:v>5.6327253206452266E-12</c:v>
                </c:pt>
                <c:pt idx="182">
                  <c:v>5.6327253206452266E-12</c:v>
                </c:pt>
                <c:pt idx="183">
                  <c:v>5.6327253206452266E-12</c:v>
                </c:pt>
                <c:pt idx="184">
                  <c:v>5.6327253206452266E-12</c:v>
                </c:pt>
                <c:pt idx="185">
                  <c:v>5.6327253206452266E-12</c:v>
                </c:pt>
                <c:pt idx="186">
                  <c:v>5.6327253206452266E-12</c:v>
                </c:pt>
                <c:pt idx="187">
                  <c:v>5.6327253206452266E-12</c:v>
                </c:pt>
                <c:pt idx="188">
                  <c:v>5.6327253206452266E-12</c:v>
                </c:pt>
                <c:pt idx="189">
                  <c:v>5.6327253206452266E-12</c:v>
                </c:pt>
                <c:pt idx="190">
                  <c:v>5.6327253206452266E-12</c:v>
                </c:pt>
                <c:pt idx="191">
                  <c:v>5.6327253206452266E-12</c:v>
                </c:pt>
                <c:pt idx="192">
                  <c:v>5.6327253206452266E-12</c:v>
                </c:pt>
                <c:pt idx="193">
                  <c:v>5.6327253206452266E-12</c:v>
                </c:pt>
                <c:pt idx="194">
                  <c:v>5.6327253206452266E-12</c:v>
                </c:pt>
                <c:pt idx="195">
                  <c:v>5.6327253206452266E-12</c:v>
                </c:pt>
                <c:pt idx="196">
                  <c:v>5.6327253206452266E-12</c:v>
                </c:pt>
                <c:pt idx="197">
                  <c:v>5.6327253206452266E-12</c:v>
                </c:pt>
                <c:pt idx="198">
                  <c:v>5.6327253206452266E-12</c:v>
                </c:pt>
                <c:pt idx="199">
                  <c:v>5.6327253206452266E-12</c:v>
                </c:pt>
                <c:pt idx="200">
                  <c:v>5.6327253206452266E-12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abSelected="1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114" sqref="E114:H12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46.8" x14ac:dyDescent="0.3">
      <c r="A5" s="269" t="s">
        <v>231</v>
      </c>
      <c r="B5" s="269"/>
      <c r="C5" s="24">
        <v>2.4900000000000002</v>
      </c>
      <c r="D5" s="270" t="s">
        <v>229</v>
      </c>
      <c r="E5" s="271"/>
      <c r="F5" s="90"/>
      <c r="G5" s="218"/>
      <c r="H5" s="218"/>
      <c r="I5" s="257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0.39759036144578319</v>
      </c>
      <c r="D9" s="33">
        <f t="shared" ref="D9:D18" si="0">C9*$C$5</f>
        <v>0.99000000000000021</v>
      </c>
      <c r="E9" s="34">
        <v>70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18</v>
      </c>
      <c r="C10" s="32">
        <v>0.24096385542168677</v>
      </c>
      <c r="D10" s="33">
        <f t="shared" si="0"/>
        <v>0.60000000000000009</v>
      </c>
      <c r="E10" s="34">
        <v>67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13</v>
      </c>
      <c r="C11" s="32">
        <v>0.24096385542168677</v>
      </c>
      <c r="D11" s="33">
        <f t="shared" si="0"/>
        <v>0.60000000000000009</v>
      </c>
      <c r="E11" s="34">
        <v>78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</v>
      </c>
      <c r="C12" s="32">
        <v>6.0240963855421693E-2</v>
      </c>
      <c r="D12" s="33">
        <f t="shared" si="0"/>
        <v>0.15000000000000002</v>
      </c>
      <c r="E12" s="34">
        <v>180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29</v>
      </c>
      <c r="C13" s="32">
        <v>6.0240963855421693E-2</v>
      </c>
      <c r="D13" s="33">
        <f t="shared" si="0"/>
        <v>0.15000000000000002</v>
      </c>
      <c r="E13" s="34">
        <v>69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2.4900000000000002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35.6</v>
      </c>
      <c r="C36" s="60">
        <v>0</v>
      </c>
      <c r="D36" s="60">
        <v>0</v>
      </c>
      <c r="E36" s="51">
        <v>0</v>
      </c>
      <c r="F36" s="51">
        <v>1</v>
      </c>
      <c r="G36" s="51">
        <v>0</v>
      </c>
      <c r="H36" s="51">
        <v>0</v>
      </c>
      <c r="I36" s="49">
        <f>IFERROR(B36/A36,"")</f>
        <v>2.9666666666666668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v>81.099999999999994</v>
      </c>
      <c r="C37" s="60">
        <v>1</v>
      </c>
      <c r="D37" s="60">
        <v>14.8</v>
      </c>
      <c r="E37" s="51">
        <v>0</v>
      </c>
      <c r="F37" s="51">
        <v>1</v>
      </c>
      <c r="G37" s="51">
        <v>0</v>
      </c>
      <c r="H37" s="51">
        <v>0</v>
      </c>
      <c r="I37" s="53">
        <f t="shared" ref="I37:I55" si="1">IF(A37&lt;&gt;0,(B37-(B36-D36))/(A37-A36),"")</f>
        <v>11.374999999999998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v>119.3</v>
      </c>
      <c r="C38" s="60">
        <v>2</v>
      </c>
      <c r="D38" s="60">
        <v>22.1</v>
      </c>
      <c r="E38" s="51">
        <v>0.1</v>
      </c>
      <c r="F38" s="51">
        <v>0.8</v>
      </c>
      <c r="G38" s="51">
        <v>0</v>
      </c>
      <c r="H38" s="51">
        <v>0.1</v>
      </c>
      <c r="I38" s="53">
        <f t="shared" si="1"/>
        <v>13.25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v>156.5</v>
      </c>
      <c r="C39" s="60">
        <v>3</v>
      </c>
      <c r="D39" s="60">
        <v>30.8</v>
      </c>
      <c r="E39" s="51">
        <v>0.1</v>
      </c>
      <c r="F39" s="51">
        <v>0.8</v>
      </c>
      <c r="G39" s="51">
        <v>0</v>
      </c>
      <c r="H39" s="51">
        <v>0.1</v>
      </c>
      <c r="I39" s="49">
        <f t="shared" si="1"/>
        <v>14.825000000000003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v>190.9</v>
      </c>
      <c r="C40" s="60">
        <v>4</v>
      </c>
      <c r="D40" s="60">
        <v>35.4</v>
      </c>
      <c r="E40" s="51">
        <v>0.1</v>
      </c>
      <c r="F40" s="51">
        <v>0.8</v>
      </c>
      <c r="G40" s="51">
        <v>0</v>
      </c>
      <c r="H40" s="51">
        <v>0.1</v>
      </c>
      <c r="I40" s="49">
        <f t="shared" si="1"/>
        <v>16.3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v>244.3</v>
      </c>
      <c r="C41" s="60">
        <v>5</v>
      </c>
      <c r="D41" s="60">
        <v>46.2</v>
      </c>
      <c r="E41" s="51">
        <v>0.3</v>
      </c>
      <c r="F41" s="51">
        <v>0.5</v>
      </c>
      <c r="G41" s="51">
        <v>0</v>
      </c>
      <c r="H41" s="51">
        <v>0.20000000000000004</v>
      </c>
      <c r="I41" s="53">
        <f t="shared" si="1"/>
        <v>14.800000000000002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v>275.39999999999998</v>
      </c>
      <c r="C42" s="60">
        <v>6</v>
      </c>
      <c r="D42" s="60">
        <v>41.3</v>
      </c>
      <c r="E42" s="51">
        <v>0.3</v>
      </c>
      <c r="F42" s="51">
        <v>0.5</v>
      </c>
      <c r="G42" s="51">
        <v>0</v>
      </c>
      <c r="H42" s="51">
        <v>0.2</v>
      </c>
      <c r="I42" s="53">
        <f t="shared" si="1"/>
        <v>12.883333333333326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v>292.3</v>
      </c>
      <c r="C43" s="60">
        <v>7</v>
      </c>
      <c r="D43" s="60">
        <v>28.7</v>
      </c>
      <c r="E43" s="51">
        <v>0.3</v>
      </c>
      <c r="F43" s="51">
        <v>0.5</v>
      </c>
      <c r="G43" s="51">
        <v>0</v>
      </c>
      <c r="H43" s="51">
        <v>0.2</v>
      </c>
      <c r="I43" s="49">
        <f t="shared" si="1"/>
        <v>9.7000000000000082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v>311.10000000000002</v>
      </c>
      <c r="C44" s="60">
        <v>8</v>
      </c>
      <c r="D44" s="60">
        <v>15.6</v>
      </c>
      <c r="E44" s="51">
        <v>0.7</v>
      </c>
      <c r="F44" s="51">
        <v>0.3</v>
      </c>
      <c r="G44" s="51">
        <v>0</v>
      </c>
      <c r="H44" s="51">
        <v>0</v>
      </c>
      <c r="I44" s="49">
        <f t="shared" si="1"/>
        <v>5.9375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v>315.3</v>
      </c>
      <c r="C45" s="60">
        <v>9</v>
      </c>
      <c r="D45" s="60">
        <v>6.5</v>
      </c>
      <c r="E45" s="51">
        <v>0.7</v>
      </c>
      <c r="F45" s="51">
        <v>0.3</v>
      </c>
      <c r="G45" s="51">
        <v>0</v>
      </c>
      <c r="H45" s="51">
        <v>0</v>
      </c>
      <c r="I45" s="49">
        <f t="shared" si="1"/>
        <v>2.4750000000000014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70</v>
      </c>
      <c r="B46" s="60">
        <v>342.4</v>
      </c>
      <c r="C46" s="60">
        <v>10</v>
      </c>
      <c r="D46" s="60">
        <v>342.4</v>
      </c>
      <c r="E46" s="51">
        <v>0.70000000000000007</v>
      </c>
      <c r="F46" s="51">
        <v>0.3</v>
      </c>
      <c r="G46" s="51">
        <v>0</v>
      </c>
      <c r="H46" s="51">
        <v>0</v>
      </c>
      <c r="I46" s="49">
        <f t="shared" si="1"/>
        <v>4.1999999999999957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Douglas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25</v>
      </c>
      <c r="B62" s="60">
        <v>253</v>
      </c>
      <c r="C62" s="60">
        <v>1</v>
      </c>
      <c r="D62" s="60">
        <v>59</v>
      </c>
      <c r="E62" s="51">
        <v>0.1</v>
      </c>
      <c r="F62" s="51">
        <v>0.8</v>
      </c>
      <c r="G62" s="51">
        <v>0</v>
      </c>
      <c r="H62" s="51">
        <v>0.1</v>
      </c>
      <c r="I62" s="53">
        <f>IFERROR(B62/A62,"")</f>
        <v>10.119999999999999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32</v>
      </c>
      <c r="B63" s="60">
        <v>332</v>
      </c>
      <c r="C63" s="60">
        <v>2</v>
      </c>
      <c r="D63" s="60">
        <v>79</v>
      </c>
      <c r="E63" s="51">
        <v>0.3</v>
      </c>
      <c r="F63" s="51">
        <v>0.5</v>
      </c>
      <c r="G63" s="51">
        <v>0</v>
      </c>
      <c r="H63" s="51">
        <v>0.2</v>
      </c>
      <c r="I63" s="49">
        <f>IF(A63&lt;&gt;0,(B63-(B62-D62))/(A63-A62),"")</f>
        <v>19.714285714285715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39</v>
      </c>
      <c r="B64" s="60">
        <v>391</v>
      </c>
      <c r="C64" s="60">
        <v>3</v>
      </c>
      <c r="D64" s="60">
        <v>80</v>
      </c>
      <c r="E64" s="51">
        <v>0.3</v>
      </c>
      <c r="F64" s="51">
        <v>0.5</v>
      </c>
      <c r="G64" s="51">
        <v>0</v>
      </c>
      <c r="H64" s="51">
        <v>0.2</v>
      </c>
      <c r="I64" s="49">
        <f>IF(A64&lt;&gt;0,(B64-(B63-D63))/(A64-A63),"")</f>
        <v>19.714285714285715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46</v>
      </c>
      <c r="B65" s="60">
        <v>444</v>
      </c>
      <c r="C65" s="60">
        <v>4</v>
      </c>
      <c r="D65" s="60">
        <v>86</v>
      </c>
      <c r="E65" s="51">
        <v>0.3</v>
      </c>
      <c r="F65" s="51">
        <v>0.5</v>
      </c>
      <c r="G65" s="51">
        <v>0</v>
      </c>
      <c r="H65" s="51">
        <v>0.19999999999999998</v>
      </c>
      <c r="I65" s="49">
        <f>IF(A65&lt;&gt;0,(B65-(B64-D64))/(A65-A64),"")</f>
        <v>19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53</v>
      </c>
      <c r="B66" s="60">
        <v>482</v>
      </c>
      <c r="C66" s="60">
        <v>5</v>
      </c>
      <c r="D66" s="60">
        <v>80</v>
      </c>
      <c r="E66" s="51">
        <v>0.7</v>
      </c>
      <c r="F66" s="51">
        <v>0.3</v>
      </c>
      <c r="G66" s="51">
        <v>0</v>
      </c>
      <c r="H66" s="51">
        <v>0</v>
      </c>
      <c r="I66" s="49">
        <f t="shared" ref="I66:I81" si="2">IF(A66&lt;&gt;0,(B66-(B65-D65))/(A66-A65),"")</f>
        <v>17.714285714285715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60</v>
      </c>
      <c r="B67" s="60">
        <v>517</v>
      </c>
      <c r="C67" s="60">
        <v>6</v>
      </c>
      <c r="D67" s="60">
        <v>97</v>
      </c>
      <c r="E67" s="51">
        <v>0.7</v>
      </c>
      <c r="F67" s="51">
        <v>0.3</v>
      </c>
      <c r="G67" s="51">
        <v>0</v>
      </c>
      <c r="H67" s="51">
        <v>0</v>
      </c>
      <c r="I67" s="49">
        <f t="shared" si="2"/>
        <v>16.428571428571427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67</v>
      </c>
      <c r="B68" s="60">
        <v>521</v>
      </c>
      <c r="C68" s="60">
        <v>7</v>
      </c>
      <c r="D68" s="60">
        <v>521</v>
      </c>
      <c r="E68" s="51">
        <v>0.7</v>
      </c>
      <c r="F68" s="51">
        <v>0.3</v>
      </c>
      <c r="G68" s="51">
        <v>0</v>
      </c>
      <c r="H68" s="51">
        <v>0</v>
      </c>
      <c r="I68" s="49">
        <f t="shared" si="2"/>
        <v>14.428571428571429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60"/>
      <c r="C69" s="60"/>
      <c r="D69" s="6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rouge d'Amérique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29</v>
      </c>
      <c r="B88" s="60">
        <v>146.30000000000001</v>
      </c>
      <c r="C88" s="60">
        <v>1</v>
      </c>
      <c r="D88" s="60">
        <v>26.5</v>
      </c>
      <c r="E88" s="51">
        <v>0</v>
      </c>
      <c r="F88" s="51">
        <v>0.5</v>
      </c>
      <c r="G88" s="51">
        <v>0</v>
      </c>
      <c r="H88" s="51">
        <v>0.5</v>
      </c>
      <c r="I88" s="53">
        <f>IFERROR(B88/A88,"")</f>
        <v>5.044827586206897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34</v>
      </c>
      <c r="B89" s="60">
        <v>177.6</v>
      </c>
      <c r="C89" s="60">
        <v>2</v>
      </c>
      <c r="D89" s="60">
        <v>23.1</v>
      </c>
      <c r="E89" s="51">
        <v>0.6</v>
      </c>
      <c r="F89" s="51">
        <v>0.19999999999999998</v>
      </c>
      <c r="G89" s="51">
        <v>0</v>
      </c>
      <c r="H89" s="51">
        <v>0.19999999999999998</v>
      </c>
      <c r="I89" s="53">
        <f t="shared" ref="I89:I107" si="3">IF(A89&lt;&gt;0,(B89-(B88-D88))/(A89-A88),"")</f>
        <v>11.559999999999997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42</v>
      </c>
      <c r="B90" s="60">
        <v>236.2</v>
      </c>
      <c r="C90" s="60">
        <v>3</v>
      </c>
      <c r="D90" s="60">
        <v>47.2</v>
      </c>
      <c r="E90" s="51">
        <v>0.6</v>
      </c>
      <c r="F90" s="51">
        <v>0.3</v>
      </c>
      <c r="G90" s="51">
        <v>0</v>
      </c>
      <c r="H90" s="51">
        <v>0.1</v>
      </c>
      <c r="I90" s="53">
        <f t="shared" si="3"/>
        <v>10.212499999999999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v>297.7</v>
      </c>
      <c r="C91" s="60">
        <v>4</v>
      </c>
      <c r="D91" s="60">
        <v>79.7</v>
      </c>
      <c r="E91" s="51">
        <v>0.6</v>
      </c>
      <c r="F91" s="51">
        <v>0.3</v>
      </c>
      <c r="G91" s="51">
        <v>0</v>
      </c>
      <c r="H91" s="51">
        <v>0.1</v>
      </c>
      <c r="I91" s="53">
        <f t="shared" si="3"/>
        <v>13.587499999999999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62</v>
      </c>
      <c r="B92" s="60">
        <v>365.9</v>
      </c>
      <c r="C92" s="60">
        <v>5</v>
      </c>
      <c r="D92" s="60">
        <v>15.5</v>
      </c>
      <c r="E92" s="51">
        <v>0.6</v>
      </c>
      <c r="F92" s="51">
        <v>0.3</v>
      </c>
      <c r="G92" s="51">
        <v>0</v>
      </c>
      <c r="H92" s="51">
        <v>0.1</v>
      </c>
      <c r="I92" s="53">
        <f t="shared" si="3"/>
        <v>12.324999999999998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78</v>
      </c>
      <c r="B93" s="60">
        <v>534.9</v>
      </c>
      <c r="C93" s="60">
        <v>6</v>
      </c>
      <c r="D93" s="60">
        <v>534.9</v>
      </c>
      <c r="E93" s="51">
        <v>0.6</v>
      </c>
      <c r="F93" s="51">
        <v>0.3</v>
      </c>
      <c r="G93" s="51">
        <v>0</v>
      </c>
      <c r="H93" s="51">
        <v>0.1</v>
      </c>
      <c r="I93" s="53">
        <f t="shared" si="3"/>
        <v>11.53125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51"/>
      <c r="F94" s="51"/>
      <c r="G94" s="51"/>
      <c r="H94" s="51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Alisier torminal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37</v>
      </c>
      <c r="B114" s="60">
        <v>6</v>
      </c>
      <c r="C114" s="60">
        <v>1</v>
      </c>
      <c r="D114" s="60">
        <v>2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0.16216216216216217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45</v>
      </c>
      <c r="B115" s="60">
        <v>37</v>
      </c>
      <c r="C115" s="60">
        <v>2</v>
      </c>
      <c r="D115" s="60">
        <v>7</v>
      </c>
      <c r="E115" s="51">
        <v>0.3</v>
      </c>
      <c r="F115" s="51">
        <v>0</v>
      </c>
      <c r="G115" s="51">
        <v>0</v>
      </c>
      <c r="H115" s="51">
        <v>0.7</v>
      </c>
      <c r="I115" s="53">
        <f t="shared" ref="I115:I133" si="4">IF(A115&lt;&gt;0,(B115-(B114-D114))/(A115-A114),"")</f>
        <v>4.125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53</v>
      </c>
      <c r="B116" s="60">
        <v>105</v>
      </c>
      <c r="C116" s="60">
        <v>3</v>
      </c>
      <c r="D116" s="60">
        <v>15</v>
      </c>
      <c r="E116" s="51">
        <v>0.3</v>
      </c>
      <c r="F116" s="51">
        <v>0</v>
      </c>
      <c r="G116" s="51">
        <v>0</v>
      </c>
      <c r="H116" s="51">
        <v>0.7</v>
      </c>
      <c r="I116" s="53">
        <f t="shared" si="4"/>
        <v>9.375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61</v>
      </c>
      <c r="B117" s="60">
        <v>157</v>
      </c>
      <c r="C117" s="60">
        <v>4</v>
      </c>
      <c r="D117" s="60">
        <v>31</v>
      </c>
      <c r="E117" s="51">
        <v>0.6</v>
      </c>
      <c r="F117" s="51">
        <v>0</v>
      </c>
      <c r="G117" s="51">
        <v>0</v>
      </c>
      <c r="H117" s="51">
        <v>0.4</v>
      </c>
      <c r="I117" s="53">
        <f t="shared" si="4"/>
        <v>8.375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69</v>
      </c>
      <c r="B118" s="60">
        <v>175</v>
      </c>
      <c r="C118" s="60">
        <v>5</v>
      </c>
      <c r="D118" s="60">
        <v>31</v>
      </c>
      <c r="E118" s="51">
        <v>0.6</v>
      </c>
      <c r="F118" s="51">
        <v>0</v>
      </c>
      <c r="G118" s="51">
        <v>0</v>
      </c>
      <c r="H118" s="51">
        <v>0.4</v>
      </c>
      <c r="I118" s="53">
        <f t="shared" si="4"/>
        <v>6.125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77</v>
      </c>
      <c r="B119" s="60">
        <v>192</v>
      </c>
      <c r="C119" s="60">
        <v>6</v>
      </c>
      <c r="D119" s="60">
        <v>31</v>
      </c>
      <c r="E119" s="51">
        <v>0.6</v>
      </c>
      <c r="F119" s="51">
        <v>0</v>
      </c>
      <c r="G119" s="51">
        <v>0</v>
      </c>
      <c r="H119" s="51">
        <v>0.4</v>
      </c>
      <c r="I119" s="53">
        <f t="shared" si="4"/>
        <v>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50">
        <v>85</v>
      </c>
      <c r="B120" s="60">
        <v>207</v>
      </c>
      <c r="C120" s="60">
        <v>7</v>
      </c>
      <c r="D120" s="60">
        <v>30</v>
      </c>
      <c r="E120" s="51">
        <v>0.6</v>
      </c>
      <c r="F120" s="51">
        <v>0</v>
      </c>
      <c r="G120" s="51">
        <v>0</v>
      </c>
      <c r="H120" s="51">
        <v>0.4</v>
      </c>
      <c r="I120" s="53">
        <f t="shared" si="4"/>
        <v>5.75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50">
        <v>95</v>
      </c>
      <c r="B121" s="60">
        <v>233</v>
      </c>
      <c r="C121" s="60">
        <v>8</v>
      </c>
      <c r="D121" s="60">
        <v>40</v>
      </c>
      <c r="E121" s="51">
        <v>0.6</v>
      </c>
      <c r="F121" s="51">
        <v>0</v>
      </c>
      <c r="G121" s="51">
        <v>0</v>
      </c>
      <c r="H121" s="51">
        <v>0.4</v>
      </c>
      <c r="I121" s="53">
        <f t="shared" si="4"/>
        <v>5.6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50">
        <v>105</v>
      </c>
      <c r="B122" s="60">
        <v>247</v>
      </c>
      <c r="C122" s="60">
        <v>9</v>
      </c>
      <c r="D122" s="60">
        <v>32</v>
      </c>
      <c r="E122" s="51">
        <v>0.6</v>
      </c>
      <c r="F122" s="51">
        <v>0</v>
      </c>
      <c r="G122" s="51">
        <v>0</v>
      </c>
      <c r="H122" s="51">
        <v>0.4</v>
      </c>
      <c r="I122" s="53">
        <f t="shared" si="4"/>
        <v>5.4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50">
        <v>115</v>
      </c>
      <c r="B123" s="60">
        <v>269</v>
      </c>
      <c r="C123" s="60">
        <v>10</v>
      </c>
      <c r="D123" s="60">
        <v>37</v>
      </c>
      <c r="E123" s="51">
        <v>0.6</v>
      </c>
      <c r="F123" s="51">
        <v>0</v>
      </c>
      <c r="G123" s="51">
        <v>0</v>
      </c>
      <c r="H123" s="51">
        <v>0.4</v>
      </c>
      <c r="I123" s="53">
        <f t="shared" si="4"/>
        <v>5.4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50">
        <v>125</v>
      </c>
      <c r="B124" s="60">
        <v>287</v>
      </c>
      <c r="C124" s="60">
        <v>11</v>
      </c>
      <c r="D124" s="60">
        <v>38</v>
      </c>
      <c r="E124" s="51">
        <v>0.6</v>
      </c>
      <c r="F124" s="51">
        <v>0</v>
      </c>
      <c r="G124" s="51">
        <v>0</v>
      </c>
      <c r="H124" s="51">
        <v>0.4</v>
      </c>
      <c r="I124" s="53">
        <f t="shared" si="4"/>
        <v>5.5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50">
        <v>135</v>
      </c>
      <c r="B125" s="60">
        <v>304</v>
      </c>
      <c r="C125" s="60">
        <v>12</v>
      </c>
      <c r="D125" s="60">
        <v>39</v>
      </c>
      <c r="E125" s="51">
        <v>0.6</v>
      </c>
      <c r="F125" s="51">
        <v>0</v>
      </c>
      <c r="G125" s="51">
        <v>0</v>
      </c>
      <c r="H125" s="51">
        <v>0.4</v>
      </c>
      <c r="I125" s="53">
        <f t="shared" si="4"/>
        <v>5.5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50">
        <v>145</v>
      </c>
      <c r="B126" s="60">
        <v>322</v>
      </c>
      <c r="C126" s="60">
        <v>13</v>
      </c>
      <c r="D126" s="60">
        <v>39</v>
      </c>
      <c r="E126" s="51">
        <v>0.6</v>
      </c>
      <c r="F126" s="51">
        <v>0</v>
      </c>
      <c r="G126" s="51">
        <v>0</v>
      </c>
      <c r="H126" s="51">
        <v>0.4</v>
      </c>
      <c r="I126" s="53">
        <f t="shared" si="4"/>
        <v>5.7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50">
        <v>155</v>
      </c>
      <c r="B127" s="60">
        <v>339</v>
      </c>
      <c r="C127" s="60">
        <v>14</v>
      </c>
      <c r="D127" s="60">
        <v>40</v>
      </c>
      <c r="E127" s="51">
        <v>0.6</v>
      </c>
      <c r="F127" s="51">
        <v>0</v>
      </c>
      <c r="G127" s="51">
        <v>0</v>
      </c>
      <c r="H127" s="51">
        <v>0.4</v>
      </c>
      <c r="I127" s="53">
        <f t="shared" si="4"/>
        <v>5.6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165</v>
      </c>
      <c r="B128" s="60">
        <v>357</v>
      </c>
      <c r="C128" s="60">
        <v>15</v>
      </c>
      <c r="D128" s="60">
        <v>39</v>
      </c>
      <c r="E128" s="51">
        <v>0.6</v>
      </c>
      <c r="F128" s="51">
        <v>0</v>
      </c>
      <c r="G128" s="51">
        <v>0</v>
      </c>
      <c r="H128" s="51">
        <v>0.4</v>
      </c>
      <c r="I128" s="53">
        <f t="shared" si="4"/>
        <v>5.8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180</v>
      </c>
      <c r="B129" s="60">
        <v>408</v>
      </c>
      <c r="C129" s="60">
        <v>16</v>
      </c>
      <c r="D129" s="60">
        <v>408</v>
      </c>
      <c r="E129" s="51">
        <v>0.6</v>
      </c>
      <c r="F129" s="51">
        <v>0</v>
      </c>
      <c r="G129" s="51">
        <v>0</v>
      </c>
      <c r="H129" s="51">
        <v>0.4</v>
      </c>
      <c r="I129" s="53">
        <f t="shared" si="4"/>
        <v>6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Merisier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15</v>
      </c>
      <c r="B140" s="60">
        <v>40</v>
      </c>
      <c r="C140" s="60">
        <v>1</v>
      </c>
      <c r="D140" s="60">
        <v>3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2.6666666666666665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20</v>
      </c>
      <c r="B141" s="60">
        <v>85</v>
      </c>
      <c r="C141" s="60">
        <v>2</v>
      </c>
      <c r="D141" s="60">
        <v>25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9.6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25</v>
      </c>
      <c r="B142" s="60">
        <v>113</v>
      </c>
      <c r="C142" s="60">
        <v>3</v>
      </c>
      <c r="D142" s="60">
        <v>27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5"/>
        <v>10.6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31</v>
      </c>
      <c r="B143" s="60">
        <v>155</v>
      </c>
      <c r="C143" s="60">
        <v>4</v>
      </c>
      <c r="D143" s="60">
        <v>36</v>
      </c>
      <c r="E143" s="51">
        <v>0</v>
      </c>
      <c r="F143" s="51">
        <v>0</v>
      </c>
      <c r="G143" s="51">
        <v>0</v>
      </c>
      <c r="H143" s="51">
        <v>1</v>
      </c>
      <c r="I143" s="57">
        <f t="shared" si="5"/>
        <v>11.5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37</v>
      </c>
      <c r="B144" s="60">
        <v>188</v>
      </c>
      <c r="C144" s="60">
        <v>5</v>
      </c>
      <c r="D144" s="60">
        <v>36</v>
      </c>
      <c r="E144" s="51">
        <v>0</v>
      </c>
      <c r="F144" s="51">
        <v>0</v>
      </c>
      <c r="G144" s="51">
        <v>0</v>
      </c>
      <c r="H144" s="51">
        <v>1</v>
      </c>
      <c r="I144" s="57">
        <f t="shared" si="5"/>
        <v>11.5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44</v>
      </c>
      <c r="B145" s="60">
        <v>230</v>
      </c>
      <c r="C145" s="60">
        <v>6</v>
      </c>
      <c r="D145" s="60">
        <v>43</v>
      </c>
      <c r="E145" s="51">
        <v>0.3</v>
      </c>
      <c r="F145" s="51">
        <v>0</v>
      </c>
      <c r="G145" s="51">
        <v>0</v>
      </c>
      <c r="H145" s="51">
        <v>0.7</v>
      </c>
      <c r="I145" s="57">
        <f t="shared" si="5"/>
        <v>11.142857142857142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52</v>
      </c>
      <c r="B146" s="60">
        <v>270</v>
      </c>
      <c r="C146" s="60">
        <v>7</v>
      </c>
      <c r="D146" s="60">
        <v>48</v>
      </c>
      <c r="E146" s="51">
        <v>0.3</v>
      </c>
      <c r="F146" s="51">
        <v>0</v>
      </c>
      <c r="G146" s="51">
        <v>0</v>
      </c>
      <c r="H146" s="51">
        <v>0.69999999999999984</v>
      </c>
      <c r="I146" s="57">
        <f t="shared" si="5"/>
        <v>10.375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60</v>
      </c>
      <c r="B147" s="60">
        <v>297</v>
      </c>
      <c r="C147" s="60">
        <v>8</v>
      </c>
      <c r="D147" s="60">
        <v>47</v>
      </c>
      <c r="E147" s="51">
        <v>0.6</v>
      </c>
      <c r="F147" s="51">
        <v>0</v>
      </c>
      <c r="G147" s="51">
        <v>0</v>
      </c>
      <c r="H147" s="51">
        <v>0.4</v>
      </c>
      <c r="I147" s="57">
        <f>IF(A147&lt;&gt;0,(B147-(B146-D146))/(A147-A146),"")</f>
        <v>9.375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69</v>
      </c>
      <c r="B148" s="60">
        <v>328</v>
      </c>
      <c r="C148" s="60">
        <v>9</v>
      </c>
      <c r="D148" s="60">
        <v>328</v>
      </c>
      <c r="E148" s="51">
        <v>0.6</v>
      </c>
      <c r="F148" s="51">
        <v>0</v>
      </c>
      <c r="G148" s="51">
        <v>0</v>
      </c>
      <c r="H148" s="51">
        <v>0.40000000000000008</v>
      </c>
      <c r="I148" s="57">
        <f t="shared" si="5"/>
        <v>8.6666666666666661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6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6" sqref="B1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0.88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0.12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Douglas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Chêne rouge d'Amérique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Alisier torminal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>Merisier</v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4.4000000000000004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16.133333333333336</v>
      </c>
      <c r="H3" s="67">
        <f>(B3+E3+F3)*44/12+(C3+D3)*0.475*44/12</f>
        <v>192.13333333333333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176</v>
      </c>
      <c r="S3" s="59">
        <f ca="1">AVERAGE(OFFSET($R$3,0,0,'Données projet'!$E$9+1,1))-AVERAGE(OFFSET($H$3,0,0,'Données projet'!$E$9+1,1))</f>
        <v>299.45724561493057</v>
      </c>
      <c r="T3" s="59">
        <f>IF('Données projet'!E9&gt;30,$R$33-$H$33,LOOKUP('Données projet'!$E$9,$A$3:$A$203,R3:R203)-LOOKUP('Données projet'!$E$9,$A$3:$A$203,$H$3:$H$203))</f>
        <v>297.63369027443196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176</v>
      </c>
      <c r="AN3" s="59">
        <f ca="1">AVERAGE(OFFSET($AM$3,0,0,'Données projet'!$E$10+1,1))-AVERAGE(OFFSET($H$3,0,0,'Données projet'!$E$10+1,1))</f>
        <v>363.98181065114898</v>
      </c>
      <c r="AO3" s="59">
        <f>IF('Données projet'!E10&gt;30,$AM$33-$H$33,LOOKUP('Données projet'!$E$10,$A$3:$A$203,AM3:AM203)-LOOKUP('Données projet'!$E$10,$A$3:$A$203,$H$3:$H$203))</f>
        <v>410.85213343666396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176</v>
      </c>
      <c r="BI3" s="59">
        <f ca="1">AVERAGE(OFFSET($BH$3,0,0,'Données projet'!$E$11+1,1))-AVERAGE(OFFSET($H$3,0,0,'Données projet'!$E$11+1,1))</f>
        <v>433.6995276469014</v>
      </c>
      <c r="BJ3" s="59">
        <f>IF('Données projet'!E11&gt;30,$BH$33-$H$33,LOOKUP('Données projet'!$E$11,$A$3:$A$203,BH3:BH203)-LOOKUP('Données projet'!$E$11,$A$3:$A$203,$H$3:$H$203))</f>
        <v>306.37969720280557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176</v>
      </c>
      <c r="CD3" s="59">
        <f ca="1">AVERAGE(OFFSET($CC$3,0,0,'Données projet'!$E$12+1,1))-AVERAGE(OFFSET($H$3,0,0,'Données projet'!$E$12+1,1))</f>
        <v>455.95436253828132</v>
      </c>
      <c r="CE3" s="59">
        <f>IF('Données projet'!E12&gt;30,$CC$33-$H$33,LOOKUP('Données projet'!$E$12,$A$3:$A$203,CC3:CC203)-LOOKUP('Données projet'!$E$12,$A$3:$A$203,$H$3:$H$203))</f>
        <v>64.829921296688497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176</v>
      </c>
      <c r="CY3" s="59">
        <f ca="1">AVERAGE(OFFSET($CX$3,0,0,'Données projet'!$E$13+1,1))-AVERAGE(OFFSET($H$3,0,0,'Données projet'!$E$13+1,1))</f>
        <v>306.44760579759713</v>
      </c>
      <c r="CZ3" s="59">
        <f>IF('Données projet'!E13&gt;30,$CX$33-$H$33,LOOKUP('Données projet'!$E$13,$A$3:$A$203,CX3:CX203)-LOOKUP('Données projet'!$E$13,$A$3:$A$203,$H$3:$H$203))</f>
        <v>300.30192123221718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4.4000000000000004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16.133333333333336</v>
      </c>
      <c r="H4" s="67">
        <f t="shared" ref="H4:H67" si="1">(B4+E4+F4)*44/12+(C4+D4)*0.475*44/12</f>
        <v>192.13333333333333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48.381650815368388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2.9666666666666668</v>
      </c>
      <c r="N4" s="13">
        <f>IF('Données projet'!$A$36&gt;35,N3+M4-V3,IF(A4&lt;'Données projet'!$A$36,$K$205^A4,IF(A4='Données projet'!$A$36,'Données projet'!$B$36,N3+M4-V3)))</f>
        <v>1.3467515989204495</v>
      </c>
      <c r="O4" s="13">
        <f>N4*VLOOKUP('Données projet'!$B$9,Paramètres!$A$1:$I$89,3,0)*VLOOKUP('Données projet'!$B$9,Paramètres!$A$1:$I$89,5,0)</f>
        <v>0.80535745615442889</v>
      </c>
      <c r="P4" s="13">
        <f>EXP(-1.0587+0.8836*LN(O4)+0.284)</f>
        <v>0.38061304221949904</v>
      </c>
      <c r="Q4" s="20">
        <f t="shared" ref="Q4:Q34" si="2">(O4+P4)*0.475*44/12</f>
        <v>2.0655652846679247</v>
      </c>
      <c r="R4" s="59">
        <f t="shared" si="0"/>
        <v>180.68717382990755</v>
      </c>
      <c r="S4" s="59">
        <f ca="1">AVERAGE(OFFSET($R$3,0,0,'Données projet'!$E$9+1,1))-AVERAGE(OFFSET($H$3,0,0,'Données projet'!$E$9+1,1))</f>
        <v>299.45724561493057</v>
      </c>
      <c r="T4" s="59">
        <f>$T$3</f>
        <v>297.63369027443196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48.381650815368388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10.119999999999999</v>
      </c>
      <c r="AI4" s="13">
        <f>IF('Données projet'!$A$62&gt;35,AI3+AH4-AQ3,IF(A4&lt;'Données projet'!$A$62,$AF$205^A4,IF(A4='Données projet'!$A$62,'Données projet'!$B$62,AI3+AH4-AQ3)))</f>
        <v>1.2477420770391454</v>
      </c>
      <c r="AJ4" s="13">
        <f>AI4*VLOOKUP('Données projet'!$B$10,Paramètres!$A$1:$I$89,3,0)*VLOOKUP('Données projet'!$B$10,Paramètres!$A$1:$I$89,5,0)</f>
        <v>0.69748782106488227</v>
      </c>
      <c r="AK4" s="13">
        <f>EXP(-1.0587+0.8836*LN(AJ4)+0.284)</f>
        <v>0.33519770001131083</v>
      </c>
      <c r="AL4" s="20">
        <f t="shared" ref="AL4:AL67" si="4">(AJ4+AK4)*0.475*44/12</f>
        <v>1.798593949207703</v>
      </c>
      <c r="AM4" s="59">
        <f t="shared" ref="AM4:AM67" si="5">AL4+(AD4+AE4)*44/12</f>
        <v>180.42020249444735</v>
      </c>
      <c r="AN4" s="59">
        <f ca="1">AVERAGE(OFFSET($AM$3,0,0,'Données projet'!$E$10+1,1))-AVERAGE(OFFSET($H$3,0,0,'Données projet'!$E$10+1,1))</f>
        <v>363.98181065114898</v>
      </c>
      <c r="AO4" s="59">
        <f>$AO$3</f>
        <v>410.85213343666396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48.381650815368388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5.044827586206897</v>
      </c>
      <c r="BD4" s="12">
        <f>IF('Données projet'!$A$88&gt;35,BD3+BC4-BL3,IF(A4&lt;'Données projet'!$A$88,$BA$205^A4,IF(A4='Données projet'!$A$88,'Données projet'!$B$88,BD3+BC4-BL3)))</f>
        <v>1.187581975428267</v>
      </c>
      <c r="BE4" s="13">
        <f>BD4*VLOOKUP('Données projet'!$B$11,Paramètres!$A$1:$I$89,3,0)*VLOOKUP('Données projet'!$B$11,Paramètres!$A$1:$I$89,5,0)</f>
        <v>1.0374716137341342</v>
      </c>
      <c r="BF4" s="13">
        <f>EXP(-1.0587+0.8836*LN(BE4)+0.284)</f>
        <v>0.47606763276559194</v>
      </c>
      <c r="BG4" s="20">
        <f t="shared" ref="BG4:BG67" si="7">(BE4+BF4)*0.475*44/12</f>
        <v>2.636080854320356</v>
      </c>
      <c r="BH4" s="59">
        <f t="shared" ref="BH4:BH67" si="8">BG4+(AY4+AZ4)*44/12</f>
        <v>181.25768939956001</v>
      </c>
      <c r="BI4" s="59">
        <f ca="1">AVERAGE(OFFSET($BH$3,0,0,'Données projet'!$E$11+1,1))-AVERAGE(OFFSET($H$3,0,0,'Données projet'!$E$11+1,1))</f>
        <v>433.6995276469014</v>
      </c>
      <c r="BJ4" s="59">
        <f>$BJ$3</f>
        <v>306.37969720280557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48.381650815368388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0.16216216216216217</v>
      </c>
      <c r="BY4" s="12">
        <f>IF('Données projet'!$A$114&gt;35,BY3+BX4-CG3,IF(A4&lt;'Données projet'!$A$114,$BV$205^A4,IF(A4='Données projet'!$A$114,'Données projet'!$B$114,BY3+BX4-CG3)))</f>
        <v>0.16216216216216217</v>
      </c>
      <c r="BZ4" s="13">
        <f>BY4*VLOOKUP('Données projet'!$B$12,Paramètres!$A$1:$I$89,3,0)*VLOOKUP('Données projet'!$B$12,Paramètres!$A$1:$I$89,5,0)</f>
        <v>0.15684324324324325</v>
      </c>
      <c r="CA4" s="13">
        <f>EXP(-1.0587+0.8836*LN(BZ4)+0.284)</f>
        <v>8.9673817455917709E-2</v>
      </c>
      <c r="CB4" s="20">
        <f t="shared" ref="CB4:CB67" si="10">(BZ4+CA4)*0.475*44/12</f>
        <v>0.42935054738437195</v>
      </c>
      <c r="CC4" s="59">
        <f t="shared" ref="CC4:CC67" si="11">CB4+(BT4+BU4)*44/12</f>
        <v>179.050959092624</v>
      </c>
      <c r="CD4" s="59">
        <f ca="1">AVERAGE(OFFSET($CC$3,0,0,'Données projet'!$E$12+1,1))-AVERAGE(OFFSET($H$3,0,0,'Données projet'!$E$12+1,1))</f>
        <v>455.95436253828132</v>
      </c>
      <c r="CE4" s="59">
        <f>$CE$3</f>
        <v>64.829921296688497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48.381650815368388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2.6666666666666665</v>
      </c>
      <c r="CT4" s="12">
        <f>IF('Données projet'!$A$140&gt;35,CT3+CS4-DB3,IF(A4&lt;'Données projet'!$A$140,$CQ$205^A4,IF(A4='Données projet'!$A$140,'Données projet'!$B$140,CT3+CS4-DB3)))</f>
        <v>1.2788040393997409</v>
      </c>
      <c r="CU4" s="17">
        <f>CT4*VLOOKUP('Données projet'!$B$13,Paramètres!$A$1:$I$89,3,0)*VLOOKUP('Données projet'!$B$13,Paramètres!$A$1:$I$89,5,0)</f>
        <v>0.99746715073179792</v>
      </c>
      <c r="CV4" s="13">
        <f>EXP(-1.0587+0.8836*LN(CU4)+0.284)</f>
        <v>0.45981048445793882</v>
      </c>
      <c r="CW4" s="20">
        <f t="shared" ref="CW4:CW67" si="13">(CU4+CV4)*0.475*44/12</f>
        <v>2.5380918812887914</v>
      </c>
      <c r="CX4" s="59">
        <f t="shared" ref="CX4:CX67" si="14">CW4+(CO4+CP4)*44/12</f>
        <v>181.15970042652842</v>
      </c>
      <c r="CY4" s="59">
        <f ca="1">AVERAGE(OFFSET($CX$3,0,0,'Données projet'!$E$13+1,1))-AVERAGE(OFFSET($H$3,0,0,'Données projet'!$E$13+1,1))</f>
        <v>306.44760579759713</v>
      </c>
      <c r="CZ4" s="59">
        <f>$CZ$3</f>
        <v>300.30192123221718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48.381650815368388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48.381650815368388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48.381650815368388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48.381650815368388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48.381650815368388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4.4000000000000004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16.133333333333336</v>
      </c>
      <c r="H5" s="67">
        <f t="shared" si="1"/>
        <v>192.13333333333333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48.756680842333537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2.9666666666666668</v>
      </c>
      <c r="N5" s="13">
        <f>IF('Données projet'!$A$36&gt;35,N4+M5-V4,IF(A5&lt;'Données projet'!$A$36,$K$205^A5,IF(A5='Données projet'!$A$36,'Données projet'!$B$36,N4+M5-V4)))</f>
        <v>1.8137398691947872</v>
      </c>
      <c r="O5" s="13">
        <f>N5*VLOOKUP('Données projet'!$B$9,Paramètres!$A$1:$I$89,3,0)*VLOOKUP('Données projet'!$B$9,Paramètres!$A$1:$I$89,5,0)</f>
        <v>1.0846164417784829</v>
      </c>
      <c r="P5" s="13">
        <f t="shared" ref="P5:P68" si="33">EXP(-1.0587+0.8836*LN(O5)+0.284)</f>
        <v>0.49513326023470799</v>
      </c>
      <c r="Q5" s="20">
        <f t="shared" si="2"/>
        <v>2.7513973976729744</v>
      </c>
      <c r="R5" s="59">
        <f t="shared" si="0"/>
        <v>183.97033826400704</v>
      </c>
      <c r="S5" s="59">
        <f ca="1">AVERAGE(OFFSET($R$3,0,0,'Données projet'!$E$9+1,1))-AVERAGE(OFFSET($H$3,0,0,'Données projet'!$E$9+1,1))</f>
        <v>299.45724561493057</v>
      </c>
      <c r="T5" s="59">
        <f t="shared" ref="T5:T68" si="34">$T$3</f>
        <v>297.63369027443196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48.756680842333537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10.119999999999999</v>
      </c>
      <c r="AI5" s="13">
        <f>IF('Données projet'!$A$62&gt;35,AI4+AH5-AQ4,IF(A5&lt;'Données projet'!$A$62,$AF$205^A5,IF(A5='Données projet'!$A$62,'Données projet'!$B$62,AI4+AH5-AQ4)))</f>
        <v>1.5568602908139606</v>
      </c>
      <c r="AJ5" s="13">
        <f>AI5*VLOOKUP('Données projet'!$B$10,Paramètres!$A$1:$I$89,3,0)*VLOOKUP('Données projet'!$B$10,Paramètres!$A$1:$I$89,5,0)</f>
        <v>0.8702849025650039</v>
      </c>
      <c r="AK5" s="13">
        <f t="shared" ref="AK5:AK68" si="35">EXP(-1.0587+0.8836*LN(AJ5)+0.284)</f>
        <v>0.40760257758249518</v>
      </c>
      <c r="AL5" s="20">
        <f t="shared" si="4"/>
        <v>2.2256540279235608</v>
      </c>
      <c r="AM5" s="59">
        <f t="shared" si="5"/>
        <v>183.44459489425762</v>
      </c>
      <c r="AN5" s="59">
        <f ca="1">AVERAGE(OFFSET($AM$3,0,0,'Données projet'!$E$10+1,1))-AVERAGE(OFFSET($H$3,0,0,'Données projet'!$E$10+1,1))</f>
        <v>363.98181065114898</v>
      </c>
      <c r="AO5" s="59">
        <f t="shared" ref="AO5:AO68" si="36">$AO$3</f>
        <v>410.85213343666396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48.756680842333537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5.044827586206897</v>
      </c>
      <c r="BD5" s="12">
        <f>IF('Données projet'!$A$88&gt;35,BD4+BC5-BL4,IF(A5&lt;'Données projet'!$A$88,$BA$205^A5,IF(A5='Données projet'!$A$88,'Données projet'!$B$88,BD4+BC5-BL4)))</f>
        <v>1.4103509483621051</v>
      </c>
      <c r="BE5" s="13">
        <f>BD5*VLOOKUP('Données projet'!$B$11,Paramètres!$A$1:$I$89,3,0)*VLOOKUP('Données projet'!$B$11,Paramètres!$A$1:$I$89,5,0)</f>
        <v>1.2320825884891351</v>
      </c>
      <c r="BF5" s="13">
        <f t="shared" ref="BF5:BF68" si="37">EXP(-1.0587+0.8836*LN(BE5)+0.284)</f>
        <v>0.55416795646629724</v>
      </c>
      <c r="BG5" s="20">
        <f t="shared" si="7"/>
        <v>3.1110530324640444</v>
      </c>
      <c r="BH5" s="59">
        <f t="shared" si="8"/>
        <v>184.32999389879811</v>
      </c>
      <c r="BI5" s="59">
        <f ca="1">AVERAGE(OFFSET($BH$3,0,0,'Données projet'!$E$11+1,1))-AVERAGE(OFFSET($H$3,0,0,'Données projet'!$E$11+1,1))</f>
        <v>433.6995276469014</v>
      </c>
      <c r="BJ5" s="59">
        <f t="shared" ref="BJ5:BJ68" si="38">$BJ$3</f>
        <v>306.37969720280557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48.756680842333537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0.16216216216216217</v>
      </c>
      <c r="BY5" s="12">
        <f>IF('Données projet'!$A$114&gt;35,BY4+BX5-CG4,IF(A5&lt;'Données projet'!$A$114,$BV$205^A5,IF(A5='Données projet'!$A$114,'Données projet'!$B$114,BY4+BX5-CG4)))</f>
        <v>0.32432432432432434</v>
      </c>
      <c r="BZ5" s="13">
        <f>BY5*VLOOKUP('Données projet'!$B$12,Paramètres!$A$1:$I$89,3,0)*VLOOKUP('Données projet'!$B$12,Paramètres!$A$1:$I$89,5,0)</f>
        <v>0.3136864864864865</v>
      </c>
      <c r="CA5" s="13">
        <f t="shared" ref="CA5:CA68" si="39">EXP(-1.0587+0.8836*LN(BZ5)+0.284)</f>
        <v>0.1654458060128185</v>
      </c>
      <c r="CB5" s="20">
        <f t="shared" si="10"/>
        <v>0.8344887427696227</v>
      </c>
      <c r="CC5" s="59">
        <f t="shared" si="11"/>
        <v>182.05342960910369</v>
      </c>
      <c r="CD5" s="59">
        <f ca="1">AVERAGE(OFFSET($CC$3,0,0,'Données projet'!$E$12+1,1))-AVERAGE(OFFSET($H$3,0,0,'Données projet'!$E$12+1,1))</f>
        <v>455.95436253828132</v>
      </c>
      <c r="CE5" s="59">
        <f t="shared" ref="CE5:CE68" si="40">$CE$3</f>
        <v>64.829921296688497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48.756680842333537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2.6666666666666665</v>
      </c>
      <c r="CT5" s="12">
        <f>IF('Données projet'!$A$140&gt;35,CT4+CS5-DB4,IF(A5&lt;'Données projet'!$A$140,$CQ$205^A5,IF(A5='Données projet'!$A$140,'Données projet'!$B$140,CT4+CS5-DB4)))</f>
        <v>1.6353397711850939</v>
      </c>
      <c r="CU5" s="17">
        <f>CT5*VLOOKUP('Données projet'!$B$13,Paramètres!$A$1:$I$89,3,0)*VLOOKUP('Données projet'!$B$13,Paramètres!$A$1:$I$89,5,0)</f>
        <v>1.2755650215243732</v>
      </c>
      <c r="CV5" s="13">
        <f t="shared" ref="CV5:CV68" si="41">EXP(-1.0587+0.8836*LN(CU5)+0.284)</f>
        <v>0.57141400910743001</v>
      </c>
      <c r="CW5" s="20">
        <f t="shared" si="13"/>
        <v>3.2168218116837237</v>
      </c>
      <c r="CX5" s="59">
        <f t="shared" si="14"/>
        <v>184.4357626780178</v>
      </c>
      <c r="CY5" s="59">
        <f ca="1">AVERAGE(OFFSET($CX$3,0,0,'Données projet'!$E$13+1,1))-AVERAGE(OFFSET($H$3,0,0,'Données projet'!$E$13+1,1))</f>
        <v>306.44760579759713</v>
      </c>
      <c r="CZ5" s="59">
        <f t="shared" ref="CZ5:CZ68" si="42">$CZ$3</f>
        <v>300.30192123221718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48.756680842333537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48.756680842333537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48.756680842333537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48.756680842333537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48.756680842333537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4.4000000000000004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16.133333333333336</v>
      </c>
      <c r="H6" s="67">
        <f t="shared" si="1"/>
        <v>192.13333333333333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49.12520493677237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2.9666666666666668</v>
      </c>
      <c r="N6" s="13">
        <f>IF('Données projet'!$A$36&gt;35,N5+M6-V5,IF(A6&lt;'Données projet'!$A$36,$K$205^A6,IF(A6='Données projet'!$A$36,'Données projet'!$B$36,N5+M6-V5)))</f>
        <v>2.4426570688638467</v>
      </c>
      <c r="O6" s="13">
        <f>N6*VLOOKUP('Données projet'!$B$9,Paramètres!$A$1:$I$89,3,0)*VLOOKUP('Données projet'!$B$9,Paramètres!$A$1:$I$89,5,0)</f>
        <v>1.4607089271805804</v>
      </c>
      <c r="P6" s="13">
        <f t="shared" si="33"/>
        <v>0.64411073241486383</v>
      </c>
      <c r="Q6" s="20">
        <f t="shared" si="2"/>
        <v>3.6658942404620647</v>
      </c>
      <c r="R6" s="59">
        <f t="shared" si="0"/>
        <v>187.45831234196075</v>
      </c>
      <c r="S6" s="59">
        <f ca="1">AVERAGE(OFFSET($R$3,0,0,'Données projet'!$E$9+1,1))-AVERAGE(OFFSET($H$3,0,0,'Données projet'!$E$9+1,1))</f>
        <v>299.45724561493057</v>
      </c>
      <c r="T6" s="59">
        <f t="shared" si="34"/>
        <v>297.63369027443196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49.12520493677237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10.119999999999999</v>
      </c>
      <c r="AI6" s="13">
        <f>IF('Données projet'!$A$62&gt;35,AI5+AH6-AQ5,IF(A6&lt;'Données projet'!$A$62,$AF$205^A6,IF(A6='Données projet'!$A$62,'Données projet'!$B$62,AI5+AH6-AQ5)))</f>
        <v>1.9425600929199791</v>
      </c>
      <c r="AJ6" s="13">
        <f>AI6*VLOOKUP('Données projet'!$B$10,Paramètres!$A$1:$I$89,3,0)*VLOOKUP('Données projet'!$B$10,Paramètres!$A$1:$I$89,5,0)</f>
        <v>1.0858910919422684</v>
      </c>
      <c r="AK6" s="13">
        <f t="shared" si="35"/>
        <v>0.49564737838680845</v>
      </c>
      <c r="AL6" s="20">
        <f t="shared" si="4"/>
        <v>2.7545128358231423</v>
      </c>
      <c r="AM6" s="59">
        <f t="shared" si="5"/>
        <v>186.54693093732183</v>
      </c>
      <c r="AN6" s="59">
        <f ca="1">AVERAGE(OFFSET($AM$3,0,0,'Données projet'!$E$10+1,1))-AVERAGE(OFFSET($H$3,0,0,'Données projet'!$E$10+1,1))</f>
        <v>363.98181065114898</v>
      </c>
      <c r="AO6" s="59">
        <f t="shared" si="36"/>
        <v>410.85213343666396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49.12520493677237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5.044827586206897</v>
      </c>
      <c r="BD6" s="12">
        <f>IF('Données projet'!$A$88&gt;35,BD5+BC6-BL5,IF(A6&lt;'Données projet'!$A$88,$BA$205^A6,IF(A6='Données projet'!$A$88,'Données projet'!$B$88,BD5+BC6-BL5)))</f>
        <v>1.6749073653029987</v>
      </c>
      <c r="BE6" s="13">
        <f>BD6*VLOOKUP('Données projet'!$B$11,Paramètres!$A$1:$I$89,3,0)*VLOOKUP('Données projet'!$B$11,Paramètres!$A$1:$I$89,5,0)</f>
        <v>1.4631990743286998</v>
      </c>
      <c r="BF6" s="13">
        <f t="shared" si="37"/>
        <v>0.64508087262728098</v>
      </c>
      <c r="BG6" s="20">
        <f t="shared" si="7"/>
        <v>3.6719209076150001</v>
      </c>
      <c r="BH6" s="59">
        <f t="shared" si="8"/>
        <v>187.4643390091137</v>
      </c>
      <c r="BI6" s="59">
        <f ca="1">AVERAGE(OFFSET($BH$3,0,0,'Données projet'!$E$11+1,1))-AVERAGE(OFFSET($H$3,0,0,'Données projet'!$E$11+1,1))</f>
        <v>433.6995276469014</v>
      </c>
      <c r="BJ6" s="59">
        <f t="shared" si="38"/>
        <v>306.37969720280557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49.12520493677237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0.16216216216216217</v>
      </c>
      <c r="BY6" s="12">
        <f>IF('Données projet'!$A$114&gt;35,BY5+BX6-CG5,IF(A6&lt;'Données projet'!$A$114,$BV$205^A6,IF(A6='Données projet'!$A$114,'Données projet'!$B$114,BY5+BX6-CG5)))</f>
        <v>0.48648648648648651</v>
      </c>
      <c r="BZ6" s="13">
        <f>BY6*VLOOKUP('Données projet'!$B$12,Paramètres!$A$1:$I$89,3,0)*VLOOKUP('Données projet'!$B$12,Paramètres!$A$1:$I$89,5,0)</f>
        <v>0.47052972972972978</v>
      </c>
      <c r="CA6" s="13">
        <f t="shared" si="39"/>
        <v>0.23672820166349412</v>
      </c>
      <c r="CB6" s="20">
        <f t="shared" si="10"/>
        <v>1.2318075638431984</v>
      </c>
      <c r="CC6" s="59">
        <f t="shared" si="11"/>
        <v>185.0242256653419</v>
      </c>
      <c r="CD6" s="59">
        <f ca="1">AVERAGE(OFFSET($CC$3,0,0,'Données projet'!$E$12+1,1))-AVERAGE(OFFSET($H$3,0,0,'Données projet'!$E$12+1,1))</f>
        <v>455.95436253828132</v>
      </c>
      <c r="CE6" s="59">
        <f t="shared" si="40"/>
        <v>64.829921296688497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49.12520493677237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2.6666666666666665</v>
      </c>
      <c r="CT6" s="12">
        <f>IF('Données projet'!$A$140&gt;35,CT5+CS6-DB5,IF(A6&lt;'Données projet'!$A$140,$CQ$205^A6,IF(A6='Données projet'!$A$140,'Données projet'!$B$140,CT5+CS6-DB5)))</f>
        <v>2.0912791051825459</v>
      </c>
      <c r="CU6" s="17">
        <f>CT6*VLOOKUP('Données projet'!$B$13,Paramètres!$A$1:$I$89,3,0)*VLOOKUP('Données projet'!$B$13,Paramètres!$A$1:$I$89,5,0)</f>
        <v>1.6311977020423858</v>
      </c>
      <c r="CV6" s="13">
        <f t="shared" si="41"/>
        <v>0.71010553443370616</v>
      </c>
      <c r="CW6" s="20">
        <f t="shared" si="13"/>
        <v>4.0777698035291934</v>
      </c>
      <c r="CX6" s="59">
        <f t="shared" si="14"/>
        <v>187.87018790502788</v>
      </c>
      <c r="CY6" s="59">
        <f ca="1">AVERAGE(OFFSET($CX$3,0,0,'Données projet'!$E$13+1,1))-AVERAGE(OFFSET($H$3,0,0,'Données projet'!$E$13+1,1))</f>
        <v>306.44760579759713</v>
      </c>
      <c r="CZ6" s="59">
        <f t="shared" si="42"/>
        <v>300.30192123221718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49.12520493677237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49.12520493677237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49.12520493677237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49.12520493677237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49.12520493677237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4.4000000000000004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16.133333333333336</v>
      </c>
      <c r="H7" s="67">
        <f t="shared" si="1"/>
        <v>192.13333333333333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49.487335962069132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2.9666666666666668</v>
      </c>
      <c r="N7" s="13">
        <f>IF('Données projet'!$A$36&gt;35,N6+M7-V6,IF(A7&lt;'Données projet'!$A$36,$K$205^A7,IF(A7='Données projet'!$A$36,'Données projet'!$B$36,N6+M7-V6)))</f>
        <v>3.2896523131067239</v>
      </c>
      <c r="O7" s="13">
        <f>N7*VLOOKUP('Données projet'!$B$9,Paramètres!$A$1:$I$89,3,0)*VLOOKUP('Données projet'!$B$9,Paramètres!$A$1:$I$89,5,0)</f>
        <v>1.967212083237821</v>
      </c>
      <c r="P7" s="13">
        <f t="shared" si="33"/>
        <v>0.83791308104680229</v>
      </c>
      <c r="Q7" s="20">
        <f t="shared" si="2"/>
        <v>4.8855929944623862</v>
      </c>
      <c r="R7" s="59">
        <f t="shared" si="0"/>
        <v>191.22804707760477</v>
      </c>
      <c r="S7" s="59">
        <f ca="1">AVERAGE(OFFSET($R$3,0,0,'Données projet'!$E$9+1,1))-AVERAGE(OFFSET($H$3,0,0,'Données projet'!$E$9+1,1))</f>
        <v>299.45724561493057</v>
      </c>
      <c r="T7" s="59">
        <f t="shared" si="34"/>
        <v>297.63369027443196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49.487335962069132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10.119999999999999</v>
      </c>
      <c r="AI7" s="13">
        <f>IF('Données projet'!$A$62&gt;35,AI6+AH7-AQ6,IF(A7&lt;'Données projet'!$A$62,$AF$205^A7,IF(A7='Données projet'!$A$62,'Données projet'!$B$62,AI6+AH7-AQ6)))</f>
        <v>2.4238139651133301</v>
      </c>
      <c r="AJ7" s="13">
        <f>AI7*VLOOKUP('Données projet'!$B$10,Paramètres!$A$1:$I$89,3,0)*VLOOKUP('Données projet'!$B$10,Paramètres!$A$1:$I$89,5,0)</f>
        <v>1.3549120064983515</v>
      </c>
      <c r="AK7" s="13">
        <f t="shared" si="35"/>
        <v>0.60271042729604751</v>
      </c>
      <c r="AL7" s="20">
        <f t="shared" si="4"/>
        <v>3.4095257388585782</v>
      </c>
      <c r="AM7" s="59">
        <f t="shared" si="5"/>
        <v>189.75197982200095</v>
      </c>
      <c r="AN7" s="59">
        <f ca="1">AVERAGE(OFFSET($AM$3,0,0,'Données projet'!$E$10+1,1))-AVERAGE(OFFSET($H$3,0,0,'Données projet'!$E$10+1,1))</f>
        <v>363.98181065114898</v>
      </c>
      <c r="AO7" s="59">
        <f t="shared" si="36"/>
        <v>410.85213343666396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49.487335962069132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5.044827586206897</v>
      </c>
      <c r="BD7" s="12">
        <f>IF('Données projet'!$A$88&gt;35,BD6+BC7-BL6,IF(A7&lt;'Données projet'!$A$88,$BA$205^A7,IF(A7='Données projet'!$A$88,'Données projet'!$B$88,BD6+BC7-BL6)))</f>
        <v>1.9890897975458892</v>
      </c>
      <c r="BE7" s="13">
        <f>BD7*VLOOKUP('Données projet'!$B$11,Paramètres!$A$1:$I$89,3,0)*VLOOKUP('Données projet'!$B$11,Paramètres!$A$1:$I$89,5,0)</f>
        <v>1.737668847136089</v>
      </c>
      <c r="BF7" s="13">
        <f t="shared" si="37"/>
        <v>0.75090832548864994</v>
      </c>
      <c r="BG7" s="20">
        <f t="shared" si="7"/>
        <v>4.3342719089880859</v>
      </c>
      <c r="BH7" s="59">
        <f t="shared" si="8"/>
        <v>190.67672599213046</v>
      </c>
      <c r="BI7" s="59">
        <f ca="1">AVERAGE(OFFSET($BH$3,0,0,'Données projet'!$E$11+1,1))-AVERAGE(OFFSET($H$3,0,0,'Données projet'!$E$11+1,1))</f>
        <v>433.6995276469014</v>
      </c>
      <c r="BJ7" s="59">
        <f t="shared" si="38"/>
        <v>306.37969720280557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49.487335962069132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0.16216216216216217</v>
      </c>
      <c r="BY7" s="12">
        <f>IF('Données projet'!$A$114&gt;35,BY6+BX7-CG6,IF(A7&lt;'Données projet'!$A$114,$BV$205^A7,IF(A7='Données projet'!$A$114,'Données projet'!$B$114,BY6+BX7-CG6)))</f>
        <v>0.64864864864864868</v>
      </c>
      <c r="BZ7" s="13">
        <f>BY7*VLOOKUP('Données projet'!$B$12,Paramètres!$A$1:$I$89,3,0)*VLOOKUP('Données projet'!$B$12,Paramètres!$A$1:$I$89,5,0)</f>
        <v>0.62737297297297301</v>
      </c>
      <c r="CA7" s="13">
        <f t="shared" si="39"/>
        <v>0.30524310778546898</v>
      </c>
      <c r="CB7" s="20">
        <f t="shared" si="10"/>
        <v>1.6243063406542866</v>
      </c>
      <c r="CC7" s="59">
        <f t="shared" si="11"/>
        <v>187.96676042379667</v>
      </c>
      <c r="CD7" s="59">
        <f ca="1">AVERAGE(OFFSET($CC$3,0,0,'Données projet'!$E$12+1,1))-AVERAGE(OFFSET($H$3,0,0,'Données projet'!$E$12+1,1))</f>
        <v>455.95436253828132</v>
      </c>
      <c r="CE7" s="59">
        <f t="shared" si="40"/>
        <v>64.829921296688497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49.487335962069132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2.6666666666666665</v>
      </c>
      <c r="CT7" s="12">
        <f>IF('Données projet'!$A$140&gt;35,CT6+CS7-DB6,IF(A7&lt;'Données projet'!$A$140,$CQ$205^A7,IF(A7='Données projet'!$A$140,'Données projet'!$B$140,CT6+CS7-DB6)))</f>
        <v>2.6743361672197152</v>
      </c>
      <c r="CU7" s="17">
        <f>CT7*VLOOKUP('Données projet'!$B$13,Paramètres!$A$1:$I$89,3,0)*VLOOKUP('Données projet'!$B$13,Paramètres!$A$1:$I$89,5,0)</f>
        <v>2.0859822104313781</v>
      </c>
      <c r="CV7" s="13">
        <f t="shared" si="41"/>
        <v>0.88245976121767966</v>
      </c>
      <c r="CW7" s="20">
        <f t="shared" si="13"/>
        <v>5.1700364339554419</v>
      </c>
      <c r="CX7" s="59">
        <f t="shared" si="14"/>
        <v>191.5124905170978</v>
      </c>
      <c r="CY7" s="59">
        <f ca="1">AVERAGE(OFFSET($CX$3,0,0,'Données projet'!$E$13+1,1))-AVERAGE(OFFSET($H$3,0,0,'Données projet'!$E$13+1,1))</f>
        <v>306.44760579759713</v>
      </c>
      <c r="CZ7" s="59">
        <f t="shared" si="42"/>
        <v>300.30192123221718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49.487335962069132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49.487335962069132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49.487335962069132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49.487335962069132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49.487335962069132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4.4000000000000004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16.133333333333336</v>
      </c>
      <c r="H8" s="67">
        <f t="shared" si="1"/>
        <v>192.13333333333333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49.843184823680694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2.9666666666666668</v>
      </c>
      <c r="N8" s="13">
        <f>IF('Données projet'!$A$36&gt;35,N7+M8-V7,IF(A8&lt;'Données projet'!$A$36,$K$205^A8,IF(A8='Données projet'!$A$36,'Données projet'!$B$36,N7+M8-V7)))</f>
        <v>4.4303445125688352</v>
      </c>
      <c r="O8" s="13">
        <f>N8*VLOOKUP('Données projet'!$B$9,Paramètres!$A$1:$I$89,3,0)*VLOOKUP('Données projet'!$B$9,Paramètres!$A$1:$I$89,5,0)</f>
        <v>2.6493460185161637</v>
      </c>
      <c r="P8" s="13">
        <f t="shared" si="33"/>
        <v>1.090027375816387</v>
      </c>
      <c r="Q8" s="20">
        <f t="shared" si="2"/>
        <v>6.5127419951291925</v>
      </c>
      <c r="R8" s="59">
        <f t="shared" si="0"/>
        <v>195.38219745973618</v>
      </c>
      <c r="S8" s="59">
        <f ca="1">AVERAGE(OFFSET($R$3,0,0,'Données projet'!$E$9+1,1))-AVERAGE(OFFSET($H$3,0,0,'Données projet'!$E$9+1,1))</f>
        <v>299.45724561493057</v>
      </c>
      <c r="T8" s="59">
        <f t="shared" si="34"/>
        <v>297.63369027443196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49.843184823680694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10.119999999999999</v>
      </c>
      <c r="AI8" s="13">
        <f>IF('Données projet'!$A$62&gt;35,AI7+AH8-AQ7,IF(A8&lt;'Données projet'!$A$62,$AF$205^A8,IF(A8='Données projet'!$A$62,'Données projet'!$B$62,AI7+AH8-AQ7)))</f>
        <v>3.0242946711869934</v>
      </c>
      <c r="AJ8" s="13">
        <f>AI8*VLOOKUP('Données projet'!$B$10,Paramètres!$A$1:$I$89,3,0)*VLOOKUP('Données projet'!$B$10,Paramètres!$A$1:$I$89,5,0)</f>
        <v>1.6905807211935295</v>
      </c>
      <c r="AK8" s="13">
        <f t="shared" si="35"/>
        <v>0.7328997892689193</v>
      </c>
      <c r="AL8" s="20">
        <f t="shared" si="4"/>
        <v>4.2208952223887648</v>
      </c>
      <c r="AM8" s="59">
        <f t="shared" si="5"/>
        <v>193.09035068699575</v>
      </c>
      <c r="AN8" s="59">
        <f ca="1">AVERAGE(OFFSET($AM$3,0,0,'Données projet'!$E$10+1,1))-AVERAGE(OFFSET($H$3,0,0,'Données projet'!$E$10+1,1))</f>
        <v>363.98181065114898</v>
      </c>
      <c r="AO8" s="59">
        <f t="shared" si="36"/>
        <v>410.85213343666396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49.843184823680694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5.044827586206897</v>
      </c>
      <c r="BD8" s="12">
        <f>IF('Données projet'!$A$88&gt;35,BD7+BC8-BL7,IF(A8&lt;'Données projet'!$A$88,$BA$205^A8,IF(A8='Données projet'!$A$88,'Données projet'!$B$88,BD7+BC8-BL7)))</f>
        <v>2.3622071910737588</v>
      </c>
      <c r="BE8" s="13">
        <f>BD8*VLOOKUP('Données projet'!$B$11,Paramètres!$A$1:$I$89,3,0)*VLOOKUP('Données projet'!$B$11,Paramètres!$A$1:$I$89,5,0)</f>
        <v>2.0636242021220359</v>
      </c>
      <c r="BF8" s="13">
        <f t="shared" si="37"/>
        <v>0.87409708955044585</v>
      </c>
      <c r="BG8" s="20">
        <f t="shared" si="7"/>
        <v>5.1165312496629056</v>
      </c>
      <c r="BH8" s="59">
        <f t="shared" si="8"/>
        <v>193.98598671426987</v>
      </c>
      <c r="BI8" s="59">
        <f ca="1">AVERAGE(OFFSET($BH$3,0,0,'Données projet'!$E$11+1,1))-AVERAGE(OFFSET($H$3,0,0,'Données projet'!$E$11+1,1))</f>
        <v>433.6995276469014</v>
      </c>
      <c r="BJ8" s="59">
        <f t="shared" si="38"/>
        <v>306.37969720280557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49.843184823680694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0.16216216216216217</v>
      </c>
      <c r="BY8" s="12">
        <f>IF('Données projet'!$A$114&gt;35,BY7+BX8-CG7,IF(A8&lt;'Données projet'!$A$114,$BV$205^A8,IF(A8='Données projet'!$A$114,'Données projet'!$B$114,BY7+BX8-CG7)))</f>
        <v>0.81081081081081086</v>
      </c>
      <c r="BZ8" s="13">
        <f>BY8*VLOOKUP('Données projet'!$B$12,Paramètres!$A$1:$I$89,3,0)*VLOOKUP('Données projet'!$B$12,Paramètres!$A$1:$I$89,5,0)</f>
        <v>0.78421621621621618</v>
      </c>
      <c r="CA8" s="13">
        <f t="shared" si="39"/>
        <v>0.3717710380837187</v>
      </c>
      <c r="CB8" s="20">
        <f t="shared" si="10"/>
        <v>2.01334446790572</v>
      </c>
      <c r="CC8" s="59">
        <f t="shared" si="11"/>
        <v>190.88279993251268</v>
      </c>
      <c r="CD8" s="59">
        <f ca="1">AVERAGE(OFFSET($CC$3,0,0,'Données projet'!$E$12+1,1))-AVERAGE(OFFSET($H$3,0,0,'Données projet'!$E$12+1,1))</f>
        <v>455.95436253828132</v>
      </c>
      <c r="CE8" s="59">
        <f t="shared" si="40"/>
        <v>64.829921296688497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49.843184823680694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2.6666666666666665</v>
      </c>
      <c r="CT8" s="12">
        <f>IF('Données projet'!$A$140&gt;35,CT7+CS8-DB7,IF(A8&lt;'Données projet'!$A$140,$CQ$205^A8,IF(A8='Données projet'!$A$140,'Données projet'!$B$140,CT7+CS8-DB7)))</f>
        <v>3.4199518933533928</v>
      </c>
      <c r="CU8" s="17">
        <f>CT8*VLOOKUP('Données projet'!$B$13,Paramètres!$A$1:$I$89,3,0)*VLOOKUP('Données projet'!$B$13,Paramètres!$A$1:$I$89,5,0)</f>
        <v>2.6675624768156463</v>
      </c>
      <c r="CV8" s="13">
        <f t="shared" si="41"/>
        <v>1.0966471776471767</v>
      </c>
      <c r="CW8" s="20">
        <f t="shared" si="13"/>
        <v>6.5559984815227494</v>
      </c>
      <c r="CX8" s="59">
        <f t="shared" si="14"/>
        <v>195.42545394612972</v>
      </c>
      <c r="CY8" s="59">
        <f ca="1">AVERAGE(OFFSET($CX$3,0,0,'Données projet'!$E$13+1,1))-AVERAGE(OFFSET($H$3,0,0,'Données projet'!$E$13+1,1))</f>
        <v>306.44760579759713</v>
      </c>
      <c r="CZ8" s="59">
        <f t="shared" si="42"/>
        <v>300.30192123221718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49.843184823680694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49.843184823680694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49.843184823680694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49.843184823680694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49.843184823680694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4.4000000000000004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16.133333333333336</v>
      </c>
      <c r="H9" s="67">
        <f t="shared" si="1"/>
        <v>192.13333333333333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50.192860503102153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2.9666666666666668</v>
      </c>
      <c r="N9" s="13">
        <f>IF('Données projet'!$A$36&gt;35,N8+M9-V8,IF(A9&lt;'Données projet'!$A$36,$K$205^A9,IF(A9='Données projet'!$A$36,'Données projet'!$B$36,N8+M9-V8)))</f>
        <v>5.9665735560705189</v>
      </c>
      <c r="O9" s="13">
        <f>N9*VLOOKUP('Données projet'!$B$9,Paramètres!$A$1:$I$89,3,0)*VLOOKUP('Données projet'!$B$9,Paramètres!$A$1:$I$89,5,0)</f>
        <v>3.5680109865301701</v>
      </c>
      <c r="P9" s="13">
        <f t="shared" si="33"/>
        <v>1.4179987243364132</v>
      </c>
      <c r="Q9" s="20">
        <f t="shared" si="2"/>
        <v>8.6839669130926342</v>
      </c>
      <c r="R9" s="59">
        <f t="shared" si="0"/>
        <v>200.05778875780052</v>
      </c>
      <c r="S9" s="59">
        <f ca="1">AVERAGE(OFFSET($R$3,0,0,'Données projet'!$E$9+1,1))-AVERAGE(OFFSET($H$3,0,0,'Données projet'!$E$9+1,1))</f>
        <v>299.45724561493057</v>
      </c>
      <c r="T9" s="59">
        <f t="shared" si="34"/>
        <v>297.63369027443196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50.192860503102153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10.119999999999999</v>
      </c>
      <c r="AI9" s="13">
        <f>IF('Données projet'!$A$62&gt;35,AI8+AH9-AQ8,IF(A9&lt;'Données projet'!$A$62,$AF$205^A9,IF(A9='Données projet'!$A$62,'Données projet'!$B$62,AI8+AH9-AQ8)))</f>
        <v>3.773539714605278</v>
      </c>
      <c r="AJ9" s="13">
        <f>AI9*VLOOKUP('Données projet'!$B$10,Paramètres!$A$1:$I$89,3,0)*VLOOKUP('Données projet'!$B$10,Paramètres!$A$1:$I$89,5,0)</f>
        <v>2.1094087004643503</v>
      </c>
      <c r="AK9" s="13">
        <f t="shared" si="35"/>
        <v>0.89121089794350827</v>
      </c>
      <c r="AL9" s="20">
        <f t="shared" si="4"/>
        <v>5.2260791338936876</v>
      </c>
      <c r="AM9" s="59">
        <f t="shared" si="5"/>
        <v>196.59990097860157</v>
      </c>
      <c r="AN9" s="59">
        <f ca="1">AVERAGE(OFFSET($AM$3,0,0,'Données projet'!$E$10+1,1))-AVERAGE(OFFSET($H$3,0,0,'Données projet'!$E$10+1,1))</f>
        <v>363.98181065114898</v>
      </c>
      <c r="AO9" s="59">
        <f t="shared" si="36"/>
        <v>410.85213343666396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50.192860503102153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5.044827586206897</v>
      </c>
      <c r="BD9" s="12">
        <f>IF('Données projet'!$A$88&gt;35,BD8+BC9-BL8,IF(A9&lt;'Données projet'!$A$88,$BA$205^A9,IF(A9='Données projet'!$A$88,'Données projet'!$B$88,BD8+BC9-BL8)))</f>
        <v>2.8053146823462325</v>
      </c>
      <c r="BE9" s="13">
        <f>BD9*VLOOKUP('Données projet'!$B$11,Paramètres!$A$1:$I$89,3,0)*VLOOKUP('Données projet'!$B$11,Paramètres!$A$1:$I$89,5,0)</f>
        <v>2.4507229064976688</v>
      </c>
      <c r="BF9" s="13">
        <f t="shared" si="37"/>
        <v>1.0174953400115267</v>
      </c>
      <c r="BG9" s="20">
        <f t="shared" si="7"/>
        <v>6.0404801126701813</v>
      </c>
      <c r="BH9" s="59">
        <f t="shared" si="8"/>
        <v>197.41430195737809</v>
      </c>
      <c r="BI9" s="59">
        <f ca="1">AVERAGE(OFFSET($BH$3,0,0,'Données projet'!$E$11+1,1))-AVERAGE(OFFSET($H$3,0,0,'Données projet'!$E$11+1,1))</f>
        <v>433.6995276469014</v>
      </c>
      <c r="BJ9" s="59">
        <f t="shared" si="38"/>
        <v>306.37969720280557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50.192860503102153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0.16216216216216217</v>
      </c>
      <c r="BY9" s="12">
        <f>IF('Données projet'!$A$114&gt;35,BY8+BX9-CG8,IF(A9&lt;'Données projet'!$A$114,$BV$205^A9,IF(A9='Données projet'!$A$114,'Données projet'!$B$114,BY8+BX9-CG8)))</f>
        <v>0.97297297297297303</v>
      </c>
      <c r="BZ9" s="13">
        <f>BY9*VLOOKUP('Données projet'!$B$12,Paramètres!$A$1:$I$89,3,0)*VLOOKUP('Données projet'!$B$12,Paramètres!$A$1:$I$89,5,0)</f>
        <v>0.94105945945945957</v>
      </c>
      <c r="CA9" s="13">
        <f t="shared" si="39"/>
        <v>0.43675723016291884</v>
      </c>
      <c r="CB9" s="20">
        <f t="shared" si="10"/>
        <v>2.3996974010923089</v>
      </c>
      <c r="CC9" s="59">
        <f t="shared" si="11"/>
        <v>193.7735192458002</v>
      </c>
      <c r="CD9" s="59">
        <f ca="1">AVERAGE(OFFSET($CC$3,0,0,'Données projet'!$E$12+1,1))-AVERAGE(OFFSET($H$3,0,0,'Données projet'!$E$12+1,1))</f>
        <v>455.95436253828132</v>
      </c>
      <c r="CE9" s="59">
        <f t="shared" si="40"/>
        <v>64.829921296688497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50.192860503102153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2.6666666666666665</v>
      </c>
      <c r="CT9" s="12">
        <f>IF('Données projet'!$A$140&gt;35,CT8+CS9-DB8,IF(A9&lt;'Données projet'!$A$140,$CQ$205^A9,IF(A9='Données projet'!$A$140,'Données projet'!$B$140,CT8+CS9-DB8)))</f>
        <v>4.3734482957731098</v>
      </c>
      <c r="CU9" s="17">
        <f>CT9*VLOOKUP('Données projet'!$B$13,Paramètres!$A$1:$I$89,3,0)*VLOOKUP('Données projet'!$B$13,Paramètres!$A$1:$I$89,5,0)</f>
        <v>3.4112896707030256</v>
      </c>
      <c r="CV9" s="13">
        <f t="shared" si="41"/>
        <v>1.3628213830192535</v>
      </c>
      <c r="CW9" s="20">
        <f t="shared" si="13"/>
        <v>8.3149100852329703</v>
      </c>
      <c r="CX9" s="59">
        <f t="shared" si="14"/>
        <v>199.68873192994087</v>
      </c>
      <c r="CY9" s="59">
        <f ca="1">AVERAGE(OFFSET($CX$3,0,0,'Données projet'!$E$13+1,1))-AVERAGE(OFFSET($H$3,0,0,'Données projet'!$E$13+1,1))</f>
        <v>306.44760579759713</v>
      </c>
      <c r="CZ9" s="59">
        <f t="shared" si="42"/>
        <v>300.30192123221718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50.192860503102153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50.192860503102153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50.192860503102153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50.192860503102153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50.192860503102153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4.4000000000000004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16.133333333333336</v>
      </c>
      <c r="H10" s="67">
        <f t="shared" si="1"/>
        <v>192.13333333333333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50.536470091243359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2.9666666666666668</v>
      </c>
      <c r="N10" s="13">
        <f>IF('Données projet'!$A$36&gt;35,N9+M10-V9,IF(A10&lt;'Données projet'!$A$36,$K$205^A10,IF(A10='Données projet'!$A$36,'Données projet'!$B$36,N9+M10-V9)))</f>
        <v>8.0354924767144436</v>
      </c>
      <c r="O10" s="13">
        <f>N10*VLOOKUP('Données projet'!$B$9,Paramètres!$A$1:$I$89,3,0)*VLOOKUP('Données projet'!$B$9,Paramètres!$A$1:$I$89,5,0)</f>
        <v>4.8052245010752381</v>
      </c>
      <c r="P10" s="13">
        <f t="shared" si="33"/>
        <v>1.8446512691607819</v>
      </c>
      <c r="Q10" s="20">
        <f t="shared" si="2"/>
        <v>11.581866966494403</v>
      </c>
      <c r="R10" s="59">
        <f t="shared" si="0"/>
        <v>205.43781285660896</v>
      </c>
      <c r="S10" s="59">
        <f ca="1">AVERAGE(OFFSET($R$3,0,0,'Données projet'!$E$9+1,1))-AVERAGE(OFFSET($H$3,0,0,'Données projet'!$E$9+1,1))</f>
        <v>299.45724561493057</v>
      </c>
      <c r="T10" s="59">
        <f t="shared" si="34"/>
        <v>297.63369027443196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50.536470091243359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10.119999999999999</v>
      </c>
      <c r="AI10" s="13">
        <f>IF('Données projet'!$A$62&gt;35,AI9+AH10-AQ9,IF(A10&lt;'Données projet'!$A$62,$AF$205^A10,IF(A10='Données projet'!$A$62,'Données projet'!$B$62,AI9+AH10-AQ9)))</f>
        <v>4.7084042812912932</v>
      </c>
      <c r="AJ10" s="13">
        <f>AI10*VLOOKUP('Données projet'!$B$10,Paramètres!$A$1:$I$89,3,0)*VLOOKUP('Données projet'!$B$10,Paramètres!$A$1:$I$89,5,0)</f>
        <v>2.6319979932418329</v>
      </c>
      <c r="AK10" s="13">
        <f t="shared" si="35"/>
        <v>1.0837182330282291</v>
      </c>
      <c r="AL10" s="20">
        <f t="shared" si="4"/>
        <v>6.4715390940870243</v>
      </c>
      <c r="AM10" s="59">
        <f t="shared" si="5"/>
        <v>200.32748498420159</v>
      </c>
      <c r="AN10" s="59">
        <f ca="1">AVERAGE(OFFSET($AM$3,0,0,'Données projet'!$E$10+1,1))-AVERAGE(OFFSET($H$3,0,0,'Données projet'!$E$10+1,1))</f>
        <v>363.98181065114898</v>
      </c>
      <c r="AO10" s="59">
        <f t="shared" si="36"/>
        <v>410.85213343666396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50.536470091243359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5.044827586206897</v>
      </c>
      <c r="BD10" s="12">
        <f>IF('Données projet'!$A$88&gt;35,BD9+BC10-BL9,IF(A10&lt;'Données projet'!$A$88,$BA$205^A10,IF(A10='Données projet'!$A$88,'Données projet'!$B$88,BD9+BC10-BL9)))</f>
        <v>3.3315411521586604</v>
      </c>
      <c r="BE10" s="13">
        <f>BD10*VLOOKUP('Données projet'!$B$11,Paramètres!$A$1:$I$89,3,0)*VLOOKUP('Données projet'!$B$11,Paramètres!$A$1:$I$89,5,0)</f>
        <v>2.9104343505258061</v>
      </c>
      <c r="BF10" s="13">
        <f t="shared" si="37"/>
        <v>1.1844185037586994</v>
      </c>
      <c r="BG10" s="20">
        <f t="shared" si="7"/>
        <v>7.1318687212121814</v>
      </c>
      <c r="BH10" s="59">
        <f t="shared" si="8"/>
        <v>200.98781461132674</v>
      </c>
      <c r="BI10" s="59">
        <f ca="1">AVERAGE(OFFSET($BH$3,0,0,'Données projet'!$E$11+1,1))-AVERAGE(OFFSET($H$3,0,0,'Données projet'!$E$11+1,1))</f>
        <v>433.6995276469014</v>
      </c>
      <c r="BJ10" s="59">
        <f t="shared" si="38"/>
        <v>306.37969720280557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50.536470091243359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0.16216216216216217</v>
      </c>
      <c r="BY10" s="12">
        <f>IF('Données projet'!$A$114&gt;35,BY9+BX10-CG9,IF(A10&lt;'Données projet'!$A$114,$BV$205^A10,IF(A10='Données projet'!$A$114,'Données projet'!$B$114,BY9+BX10-CG9)))</f>
        <v>1.1351351351351351</v>
      </c>
      <c r="BZ10" s="13">
        <f>BY10*VLOOKUP('Données projet'!$B$12,Paramètres!$A$1:$I$89,3,0)*VLOOKUP('Données projet'!$B$12,Paramètres!$A$1:$I$89,5,0)</f>
        <v>1.0979027027027026</v>
      </c>
      <c r="CA10" s="13">
        <f t="shared" si="39"/>
        <v>0.50048871149144047</v>
      </c>
      <c r="CB10" s="20">
        <f t="shared" si="10"/>
        <v>2.7838650463881329</v>
      </c>
      <c r="CC10" s="59">
        <f t="shared" si="11"/>
        <v>196.6398109365027</v>
      </c>
      <c r="CD10" s="59">
        <f ca="1">AVERAGE(OFFSET($CC$3,0,0,'Données projet'!$E$12+1,1))-AVERAGE(OFFSET($H$3,0,0,'Données projet'!$E$12+1,1))</f>
        <v>455.95436253828132</v>
      </c>
      <c r="CE10" s="59">
        <f t="shared" si="40"/>
        <v>64.829921296688497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50.536470091243359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2.6666666666666665</v>
      </c>
      <c r="CT10" s="12">
        <f>IF('Données projet'!$A$140&gt;35,CT9+CS10-DB9,IF(A10&lt;'Données projet'!$A$140,$CQ$205^A10,IF(A10='Données projet'!$A$140,'Données projet'!$B$140,CT9+CS10-DB9)))</f>
        <v>5.5927833467405659</v>
      </c>
      <c r="CU10" s="17">
        <f>CT10*VLOOKUP('Données projet'!$B$13,Paramètres!$A$1:$I$89,3,0)*VLOOKUP('Données projet'!$B$13,Paramètres!$A$1:$I$89,5,0)</f>
        <v>4.3623710104576414</v>
      </c>
      <c r="CV10" s="13">
        <f t="shared" si="41"/>
        <v>1.6936004212396314</v>
      </c>
      <c r="CW10" s="20">
        <f t="shared" si="13"/>
        <v>10.54748357687275</v>
      </c>
      <c r="CX10" s="59">
        <f t="shared" si="14"/>
        <v>204.40342946698729</v>
      </c>
      <c r="CY10" s="59">
        <f ca="1">AVERAGE(OFFSET($CX$3,0,0,'Données projet'!$E$13+1,1))-AVERAGE(OFFSET($H$3,0,0,'Données projet'!$E$13+1,1))</f>
        <v>306.44760579759713</v>
      </c>
      <c r="CZ10" s="59">
        <f t="shared" si="42"/>
        <v>300.30192123221718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50.536470091243359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50.536470091243359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50.536470091243359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50.536470091243359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50.536470091243359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4.4000000000000004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16.133333333333336</v>
      </c>
      <c r="H11" s="67">
        <f t="shared" si="1"/>
        <v>192.13333333333333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50.874118821226276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2.9666666666666668</v>
      </c>
      <c r="N11" s="13">
        <f>IF('Données projet'!$A$36&gt;35,N10+M11-V10,IF(A11&lt;'Données projet'!$A$36,$K$205^A11,IF(A11='Données projet'!$A$36,'Données projet'!$B$36,N10+M11-V10)))</f>
        <v>10.821812341128419</v>
      </c>
      <c r="O11" s="13">
        <f>N11*VLOOKUP('Données projet'!$B$9,Paramètres!$A$1:$I$89,3,0)*VLOOKUP('Données projet'!$B$9,Paramètres!$A$1:$I$89,5,0)</f>
        <v>6.4714437799947948</v>
      </c>
      <c r="P11" s="13">
        <f t="shared" si="33"/>
        <v>2.3996765627619849</v>
      </c>
      <c r="Q11" s="20">
        <f t="shared" si="2"/>
        <v>15.450534596968057</v>
      </c>
      <c r="R11" s="59">
        <f t="shared" si="0"/>
        <v>211.76674805257551</v>
      </c>
      <c r="S11" s="59">
        <f ca="1">AVERAGE(OFFSET($R$3,0,0,'Données projet'!$E$9+1,1))-AVERAGE(OFFSET($H$3,0,0,'Données projet'!$E$9+1,1))</f>
        <v>299.45724561493057</v>
      </c>
      <c r="T11" s="59">
        <f t="shared" si="34"/>
        <v>297.63369027443196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50.874118821226276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10.119999999999999</v>
      </c>
      <c r="AI11" s="13">
        <f>IF('Données projet'!$A$62&gt;35,AI10+AH11-AQ10,IF(A11&lt;'Données projet'!$A$62,$AF$205^A11,IF(A11='Données projet'!$A$62,'Données projet'!$B$62,AI10+AH11-AQ10)))</f>
        <v>5.8748741374784039</v>
      </c>
      <c r="AJ11" s="13">
        <f>AI11*VLOOKUP('Données projet'!$B$10,Paramètres!$A$1:$I$89,3,0)*VLOOKUP('Données projet'!$B$10,Paramètres!$A$1:$I$89,5,0)</f>
        <v>3.2840546428504278</v>
      </c>
      <c r="AK11" s="13">
        <f t="shared" si="35"/>
        <v>1.3178084012525983</v>
      </c>
      <c r="AL11" s="20">
        <f t="shared" si="4"/>
        <v>8.0149114684794363</v>
      </c>
      <c r="AM11" s="59">
        <f t="shared" si="5"/>
        <v>204.33112492408688</v>
      </c>
      <c r="AN11" s="59">
        <f ca="1">AVERAGE(OFFSET($AM$3,0,0,'Données projet'!$E$10+1,1))-AVERAGE(OFFSET($H$3,0,0,'Données projet'!$E$10+1,1))</f>
        <v>363.98181065114898</v>
      </c>
      <c r="AO11" s="59">
        <f t="shared" si="36"/>
        <v>410.85213343666396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50.874118821226276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5.044827586206897</v>
      </c>
      <c r="BD11" s="12">
        <f>IF('Données projet'!$A$88&gt;35,BD10+BC11-BL10,IF(A11&lt;'Données projet'!$A$88,$BA$205^A11,IF(A11='Données projet'!$A$88,'Données projet'!$B$88,BD10+BC11-BL10)))</f>
        <v>3.9564782227011466</v>
      </c>
      <c r="BE11" s="13">
        <f>BD11*VLOOKUP('Données projet'!$B$11,Paramètres!$A$1:$I$89,3,0)*VLOOKUP('Données projet'!$B$11,Paramètres!$A$1:$I$89,5,0)</f>
        <v>3.4563793753517222</v>
      </c>
      <c r="BF11" s="13">
        <f t="shared" si="37"/>
        <v>1.3787259134082159</v>
      </c>
      <c r="BG11" s="20">
        <f t="shared" si="7"/>
        <v>8.421141711256892</v>
      </c>
      <c r="BH11" s="59">
        <f t="shared" si="8"/>
        <v>204.73735516686435</v>
      </c>
      <c r="BI11" s="59">
        <f ca="1">AVERAGE(OFFSET($BH$3,0,0,'Données projet'!$E$11+1,1))-AVERAGE(OFFSET($H$3,0,0,'Données projet'!$E$11+1,1))</f>
        <v>433.6995276469014</v>
      </c>
      <c r="BJ11" s="59">
        <f t="shared" si="38"/>
        <v>306.37969720280557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50.874118821226276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0.16216216216216217</v>
      </c>
      <c r="BY11" s="12">
        <f>IF('Données projet'!$A$114&gt;35,BY10+BX11-CG10,IF(A11&lt;'Données projet'!$A$114,$BV$205^A11,IF(A11='Données projet'!$A$114,'Données projet'!$B$114,BY10+BX11-CG10)))</f>
        <v>1.2972972972972974</v>
      </c>
      <c r="BZ11" s="13">
        <f>BY11*VLOOKUP('Données projet'!$B$12,Paramètres!$A$1:$I$89,3,0)*VLOOKUP('Données projet'!$B$12,Paramètres!$A$1:$I$89,5,0)</f>
        <v>1.254745945945946</v>
      </c>
      <c r="CA11" s="13">
        <f t="shared" si="39"/>
        <v>0.56316540803284254</v>
      </c>
      <c r="CB11" s="20">
        <f t="shared" si="10"/>
        <v>3.1661956081797231</v>
      </c>
      <c r="CC11" s="59">
        <f t="shared" si="11"/>
        <v>199.48240906378717</v>
      </c>
      <c r="CD11" s="59">
        <f ca="1">AVERAGE(OFFSET($CC$3,0,0,'Données projet'!$E$12+1,1))-AVERAGE(OFFSET($H$3,0,0,'Données projet'!$E$12+1,1))</f>
        <v>455.95436253828132</v>
      </c>
      <c r="CE11" s="59">
        <f t="shared" si="40"/>
        <v>64.829921296688497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50.874118821226276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2.6666666666666665</v>
      </c>
      <c r="CT11" s="12">
        <f>IF('Données projet'!$A$140&gt;35,CT10+CS11-DB10,IF(A11&lt;'Données projet'!$A$140,$CQ$205^A11,IF(A11='Données projet'!$A$140,'Données projet'!$B$140,CT10+CS11-DB10)))</f>
        <v>7.1520739352994367</v>
      </c>
      <c r="CU11" s="17">
        <f>CT11*VLOOKUP('Données projet'!$B$13,Paramètres!$A$1:$I$89,3,0)*VLOOKUP('Données projet'!$B$13,Paramètres!$A$1:$I$89,5,0)</f>
        <v>5.5786176695335605</v>
      </c>
      <c r="CV11" s="13">
        <f t="shared" si="41"/>
        <v>2.1046649418345189</v>
      </c>
      <c r="CW11" s="20">
        <f t="shared" si="13"/>
        <v>13.381717214799407</v>
      </c>
      <c r="CX11" s="59">
        <f t="shared" si="14"/>
        <v>209.69793067040686</v>
      </c>
      <c r="CY11" s="59">
        <f ca="1">AVERAGE(OFFSET($CX$3,0,0,'Données projet'!$E$13+1,1))-AVERAGE(OFFSET($H$3,0,0,'Données projet'!$E$13+1,1))</f>
        <v>306.44760579759713</v>
      </c>
      <c r="CZ11" s="59">
        <f t="shared" si="42"/>
        <v>300.30192123221718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50.874118821226276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50.874118821226276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50.874118821226276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50.874118821226276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50.874118821226276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4.4000000000000004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16.133333333333336</v>
      </c>
      <c r="H12" s="67">
        <f t="shared" si="1"/>
        <v>192.13333333333333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51.205910100613451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2.9666666666666668</v>
      </c>
      <c r="N12" s="13">
        <f>IF('Données projet'!$A$36&gt;35,N11+M12-V11,IF(A12&lt;'Données projet'!$A$36,$K$205^A12,IF(A12='Données projet'!$A$36,'Données projet'!$B$36,N11+M12-V11)))</f>
        <v>14.574293073631752</v>
      </c>
      <c r="O12" s="13">
        <f>N12*VLOOKUP('Données projet'!$B$9,Paramètres!$A$1:$I$89,3,0)*VLOOKUP('Données projet'!$B$9,Paramètres!$A$1:$I$89,5,0)</f>
        <v>8.715427258031788</v>
      </c>
      <c r="P12" s="13">
        <f t="shared" si="33"/>
        <v>3.1216998584718731</v>
      </c>
      <c r="Q12" s="20">
        <f t="shared" si="2"/>
        <v>20.616329727910539</v>
      </c>
      <c r="R12" s="59">
        <f t="shared" si="0"/>
        <v>219.37133343015984</v>
      </c>
      <c r="S12" s="59">
        <f ca="1">AVERAGE(OFFSET($R$3,0,0,'Données projet'!$E$9+1,1))-AVERAGE(OFFSET($H$3,0,0,'Données projet'!$E$9+1,1))</f>
        <v>299.45724561493057</v>
      </c>
      <c r="T12" s="59">
        <f t="shared" si="34"/>
        <v>297.63369027443196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51.205910100613451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10.119999999999999</v>
      </c>
      <c r="AI12" s="13">
        <f>IF('Données projet'!$A$62&gt;35,AI11+AH12-AQ11,IF(A12&lt;'Données projet'!$A$62,$AF$205^A12,IF(A12='Données projet'!$A$62,'Données projet'!$B$62,AI11+AH12-AQ11)))</f>
        <v>7.3303276586408614</v>
      </c>
      <c r="AJ12" s="13">
        <f>AI12*VLOOKUP('Données projet'!$B$10,Paramètres!$A$1:$I$89,3,0)*VLOOKUP('Données projet'!$B$10,Paramètres!$A$1:$I$89,5,0)</f>
        <v>4.0976531611802418</v>
      </c>
      <c r="AK12" s="13">
        <f t="shared" si="35"/>
        <v>1.6024635643153309</v>
      </c>
      <c r="AL12" s="20">
        <f t="shared" si="4"/>
        <v>9.927703296904788</v>
      </c>
      <c r="AM12" s="59">
        <f t="shared" si="5"/>
        <v>208.68270699915408</v>
      </c>
      <c r="AN12" s="59">
        <f ca="1">AVERAGE(OFFSET($AM$3,0,0,'Données projet'!$E$10+1,1))-AVERAGE(OFFSET($H$3,0,0,'Données projet'!$E$10+1,1))</f>
        <v>363.98181065114898</v>
      </c>
      <c r="AO12" s="59">
        <f t="shared" si="36"/>
        <v>410.85213343666396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51.205910100613451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5.044827586206897</v>
      </c>
      <c r="BD12" s="12">
        <f>IF('Données projet'!$A$88&gt;35,BD11+BC12-BL11,IF(A12&lt;'Données projet'!$A$88,$BA$205^A12,IF(A12='Données projet'!$A$88,'Données projet'!$B$88,BD11+BC12-BL11)))</f>
        <v>4.698642223454347</v>
      </c>
      <c r="BE12" s="13">
        <f>BD12*VLOOKUP('Données projet'!$B$11,Paramètres!$A$1:$I$89,3,0)*VLOOKUP('Données projet'!$B$11,Paramètres!$A$1:$I$89,5,0)</f>
        <v>4.1047338464097178</v>
      </c>
      <c r="BF12" s="13">
        <f t="shared" si="37"/>
        <v>1.604910036672802</v>
      </c>
      <c r="BG12" s="20">
        <f t="shared" si="7"/>
        <v>9.9442964297020549</v>
      </c>
      <c r="BH12" s="59">
        <f t="shared" si="8"/>
        <v>208.69930013195136</v>
      </c>
      <c r="BI12" s="59">
        <f ca="1">AVERAGE(OFFSET($BH$3,0,0,'Données projet'!$E$11+1,1))-AVERAGE(OFFSET($H$3,0,0,'Données projet'!$E$11+1,1))</f>
        <v>433.6995276469014</v>
      </c>
      <c r="BJ12" s="59">
        <f t="shared" si="38"/>
        <v>306.37969720280557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51.205910100613451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0.16216216216216217</v>
      </c>
      <c r="BY12" s="12">
        <f>IF('Données projet'!$A$114&gt;35,BY11+BX12-CG11,IF(A12&lt;'Données projet'!$A$114,$BV$205^A12,IF(A12='Données projet'!$A$114,'Données projet'!$B$114,BY11+BX12-CG11)))</f>
        <v>1.4594594594594597</v>
      </c>
      <c r="BZ12" s="13">
        <f>BY12*VLOOKUP('Données projet'!$B$12,Paramètres!$A$1:$I$89,3,0)*VLOOKUP('Données projet'!$B$12,Paramètres!$A$1:$I$89,5,0)</f>
        <v>1.4115891891891894</v>
      </c>
      <c r="CA12" s="13">
        <f t="shared" si="39"/>
        <v>0.62493426791360229</v>
      </c>
      <c r="CB12" s="20">
        <f t="shared" si="10"/>
        <v>3.5469450211206954</v>
      </c>
      <c r="CC12" s="59">
        <f t="shared" si="11"/>
        <v>202.30194872337</v>
      </c>
      <c r="CD12" s="59">
        <f ca="1">AVERAGE(OFFSET($CC$3,0,0,'Données projet'!$E$12+1,1))-AVERAGE(OFFSET($H$3,0,0,'Données projet'!$E$12+1,1))</f>
        <v>455.95436253828132</v>
      </c>
      <c r="CE12" s="59">
        <f t="shared" si="40"/>
        <v>64.829921296688497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51.205910100613451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2.6666666666666665</v>
      </c>
      <c r="CT12" s="12">
        <f>IF('Données projet'!$A$140&gt;35,CT11+CS12-DB11,IF(A12&lt;'Données projet'!$A$140,$CQ$205^A12,IF(A12='Données projet'!$A$140,'Données projet'!$B$140,CT11+CS12-DB11)))</f>
        <v>9.1461010385465205</v>
      </c>
      <c r="CU12" s="17">
        <f>CT12*VLOOKUP('Données projet'!$B$13,Paramètres!$A$1:$I$89,3,0)*VLOOKUP('Données projet'!$B$13,Paramètres!$A$1:$I$89,5,0)</f>
        <v>7.1339588100662858</v>
      </c>
      <c r="CV12" s="13">
        <f t="shared" si="41"/>
        <v>2.6155015444227643</v>
      </c>
      <c r="CW12" s="20">
        <f t="shared" si="13"/>
        <v>16.980310117401761</v>
      </c>
      <c r="CX12" s="59">
        <f t="shared" si="14"/>
        <v>215.73531381965105</v>
      </c>
      <c r="CY12" s="59">
        <f ca="1">AVERAGE(OFFSET($CX$3,0,0,'Données projet'!$E$13+1,1))-AVERAGE(OFFSET($H$3,0,0,'Données projet'!$E$13+1,1))</f>
        <v>306.44760579759713</v>
      </c>
      <c r="CZ12" s="59">
        <f t="shared" si="42"/>
        <v>300.30192123221718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51.205910100613451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51.205910100613451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51.205910100613451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51.205910100613451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51.205910100613451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4.4000000000000004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16.133333333333336</v>
      </c>
      <c r="H13" s="67">
        <f t="shared" si="1"/>
        <v>192.13333333333333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51.531945543077441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2.9666666666666668</v>
      </c>
      <c r="N13" s="13">
        <f>IF('Données projet'!$A$36&gt;35,N12+M13-V12,IF(A13&lt;'Données projet'!$A$36,$K$205^A13,IF(A13='Données projet'!$A$36,'Données projet'!$B$36,N12+M13-V12)))</f>
        <v>19.627952500048792</v>
      </c>
      <c r="O13" s="13">
        <f>N13*VLOOKUP('Données projet'!$B$9,Paramètres!$A$1:$I$89,3,0)*VLOOKUP('Données projet'!$B$9,Paramètres!$A$1:$I$89,5,0)</f>
        <v>11.73751559502918</v>
      </c>
      <c r="P13" s="13">
        <f t="shared" si="33"/>
        <v>4.0609681144558003</v>
      </c>
      <c r="Q13" s="20">
        <f t="shared" si="2"/>
        <v>27.515692460686338</v>
      </c>
      <c r="R13" s="59">
        <f t="shared" si="0"/>
        <v>228.6883816741925</v>
      </c>
      <c r="S13" s="59">
        <f ca="1">AVERAGE(OFFSET($R$3,0,0,'Données projet'!$E$9+1,1))-AVERAGE(OFFSET($H$3,0,0,'Données projet'!$E$9+1,1))</f>
        <v>299.45724561493057</v>
      </c>
      <c r="T13" s="59">
        <f t="shared" si="34"/>
        <v>297.63369027443196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51.531945543077441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10.119999999999999</v>
      </c>
      <c r="AI13" s="13">
        <f>IF('Données projet'!$A$62&gt;35,AI12+AH13-AQ12,IF(A13&lt;'Données projet'!$A$62,$AF$205^A13,IF(A13='Données projet'!$A$62,'Données projet'!$B$62,AI12+AH13-AQ12)))</f>
        <v>9.1463582581700447</v>
      </c>
      <c r="AJ13" s="13">
        <f>AI13*VLOOKUP('Données projet'!$B$10,Paramètres!$A$1:$I$89,3,0)*VLOOKUP('Données projet'!$B$10,Paramètres!$A$1:$I$89,5,0)</f>
        <v>5.1128142663170548</v>
      </c>
      <c r="AK13" s="13">
        <f t="shared" si="35"/>
        <v>1.9486060891077752</v>
      </c>
      <c r="AL13" s="20">
        <f t="shared" si="4"/>
        <v>12.298640452364912</v>
      </c>
      <c r="AM13" s="59">
        <f t="shared" si="5"/>
        <v>213.47132966587108</v>
      </c>
      <c r="AN13" s="59">
        <f ca="1">AVERAGE(OFFSET($AM$3,0,0,'Données projet'!$E$10+1,1))-AVERAGE(OFFSET($H$3,0,0,'Données projet'!$E$10+1,1))</f>
        <v>363.98181065114898</v>
      </c>
      <c r="AO13" s="59">
        <f t="shared" si="36"/>
        <v>410.85213343666396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51.531945543077441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5.044827586206897</v>
      </c>
      <c r="BD13" s="12">
        <f>IF('Données projet'!$A$88&gt;35,BD12+BC13-BL12,IF(A13&lt;'Données projet'!$A$88,$BA$205^A13,IF(A13='Données projet'!$A$88,'Données projet'!$B$88,BD12+BC13-BL12)))</f>
        <v>5.5800228135605776</v>
      </c>
      <c r="BE13" s="13">
        <f>BD13*VLOOKUP('Données projet'!$B$11,Paramètres!$A$1:$I$89,3,0)*VLOOKUP('Données projet'!$B$11,Paramètres!$A$1:$I$89,5,0)</f>
        <v>4.8747079299265215</v>
      </c>
      <c r="BF13" s="13">
        <f t="shared" si="37"/>
        <v>1.8682003440740915</v>
      </c>
      <c r="BG13" s="20">
        <f t="shared" si="7"/>
        <v>11.743898577217735</v>
      </c>
      <c r="BH13" s="59">
        <f t="shared" si="8"/>
        <v>212.9165877907239</v>
      </c>
      <c r="BI13" s="59">
        <f ca="1">AVERAGE(OFFSET($BH$3,0,0,'Données projet'!$E$11+1,1))-AVERAGE(OFFSET($H$3,0,0,'Données projet'!$E$11+1,1))</f>
        <v>433.6995276469014</v>
      </c>
      <c r="BJ13" s="59">
        <f t="shared" si="38"/>
        <v>306.37969720280557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51.531945543077441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0.16216216216216217</v>
      </c>
      <c r="BY13" s="12">
        <f>IF('Données projet'!$A$114&gt;35,BY12+BX13-CG12,IF(A13&lt;'Données projet'!$A$114,$BV$205^A13,IF(A13='Données projet'!$A$114,'Données projet'!$B$114,BY12+BX13-CG12)))</f>
        <v>1.6216216216216219</v>
      </c>
      <c r="BZ13" s="13">
        <f>BY13*VLOOKUP('Données projet'!$B$12,Paramètres!$A$1:$I$89,3,0)*VLOOKUP('Données projet'!$B$12,Paramètres!$A$1:$I$89,5,0)</f>
        <v>1.5684324324324328</v>
      </c>
      <c r="CA13" s="13">
        <f t="shared" si="39"/>
        <v>0.68590766840298134</v>
      </c>
      <c r="CB13" s="20">
        <f t="shared" si="10"/>
        <v>3.9263090089550126</v>
      </c>
      <c r="CC13" s="59">
        <f t="shared" si="11"/>
        <v>205.09899822246118</v>
      </c>
      <c r="CD13" s="59">
        <f ca="1">AVERAGE(OFFSET($CC$3,0,0,'Données projet'!$E$12+1,1))-AVERAGE(OFFSET($H$3,0,0,'Données projet'!$E$12+1,1))</f>
        <v>455.95436253828132</v>
      </c>
      <c r="CE13" s="59">
        <f t="shared" si="40"/>
        <v>64.829921296688497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51.531945543077441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2.6666666666666665</v>
      </c>
      <c r="CT13" s="12">
        <f>IF('Données projet'!$A$140&gt;35,CT12+CS13-DB12,IF(A13&lt;'Données projet'!$A$140,$CQ$205^A13,IF(A13='Données projet'!$A$140,'Données projet'!$B$140,CT12+CS13-DB12)))</f>
        <v>11.696070952851455</v>
      </c>
      <c r="CU13" s="17">
        <f>CT13*VLOOKUP('Données projet'!$B$13,Paramètres!$A$1:$I$89,3,0)*VLOOKUP('Données projet'!$B$13,Paramètres!$A$1:$I$89,5,0)</f>
        <v>9.1229353432241354</v>
      </c>
      <c r="CV13" s="13">
        <f t="shared" si="41"/>
        <v>3.2503265450485803</v>
      </c>
      <c r="CW13" s="20">
        <f t="shared" si="13"/>
        <v>21.550097788741649</v>
      </c>
      <c r="CX13" s="59">
        <f t="shared" si="14"/>
        <v>222.72278700224783</v>
      </c>
      <c r="CY13" s="59">
        <f ca="1">AVERAGE(OFFSET($CX$3,0,0,'Données projet'!$E$13+1,1))-AVERAGE(OFFSET($H$3,0,0,'Données projet'!$E$13+1,1))</f>
        <v>306.44760579759713</v>
      </c>
      <c r="CZ13" s="59">
        <f t="shared" si="42"/>
        <v>300.30192123221718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51.531945543077441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51.531945543077441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51.531945543077441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51.531945543077441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51.531945543077441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4.4000000000000004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16.133333333333336</v>
      </c>
      <c r="H14" s="67">
        <f t="shared" si="1"/>
        <v>192.13333333333333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51.852324999520725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2.9666666666666668</v>
      </c>
      <c r="N14" s="13">
        <f>IF('Données projet'!$A$36&gt;35,N13+M14-V13,IF(A14&lt;'Données projet'!$A$36,$K$205^A14,IF(A14='Données projet'!$A$36,'Données projet'!$B$36,N13+M14-V13)))</f>
        <v>26.433976412975348</v>
      </c>
      <c r="O14" s="13">
        <f>N14*VLOOKUP('Données projet'!$B$9,Paramètres!$A$1:$I$89,3,0)*VLOOKUP('Données projet'!$B$9,Paramètres!$A$1:$I$89,5,0)</f>
        <v>15.807517894959259</v>
      </c>
      <c r="P14" s="13">
        <f t="shared" si="33"/>
        <v>5.2828467739687062</v>
      </c>
      <c r="Q14" s="20">
        <f t="shared" si="2"/>
        <v>36.732385131716207</v>
      </c>
      <c r="R14" s="59">
        <f t="shared" si="0"/>
        <v>240.30202124106995</v>
      </c>
      <c r="S14" s="59">
        <f ca="1">AVERAGE(OFFSET($R$3,0,0,'Données projet'!$E$9+1,1))-AVERAGE(OFFSET($H$3,0,0,'Données projet'!$E$9+1,1))</f>
        <v>299.45724561493057</v>
      </c>
      <c r="T14" s="59">
        <f t="shared" si="34"/>
        <v>297.63369027443196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51.852324999520725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10.119999999999999</v>
      </c>
      <c r="AI14" s="13">
        <f>IF('Données projet'!$A$62&gt;35,AI13+AH14-AQ13,IF(A14&lt;'Données projet'!$A$62,$AF$205^A14,IF(A14='Données projet'!$A$62,'Données projet'!$B$62,AI13+AH14-AQ13)))</f>
        <v>11.41229605039323</v>
      </c>
      <c r="AJ14" s="13">
        <f>AI14*VLOOKUP('Données projet'!$B$10,Paramètres!$A$1:$I$89,3,0)*VLOOKUP('Données projet'!$B$10,Paramètres!$A$1:$I$89,5,0)</f>
        <v>6.379473492169816</v>
      </c>
      <c r="AK14" s="13">
        <f t="shared" si="35"/>
        <v>2.3695176446212898</v>
      </c>
      <c r="AL14" s="20">
        <f t="shared" si="4"/>
        <v>15.237826229911176</v>
      </c>
      <c r="AM14" s="59">
        <f t="shared" si="5"/>
        <v>218.80746233926493</v>
      </c>
      <c r="AN14" s="59">
        <f ca="1">AVERAGE(OFFSET($AM$3,0,0,'Données projet'!$E$10+1,1))-AVERAGE(OFFSET($H$3,0,0,'Données projet'!$E$10+1,1))</f>
        <v>363.98181065114898</v>
      </c>
      <c r="AO14" s="59">
        <f t="shared" si="36"/>
        <v>410.85213343666396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51.852324999520725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5.044827586206897</v>
      </c>
      <c r="BD14" s="12">
        <f>IF('Données projet'!$A$88&gt;35,BD13+BC14-BL13,IF(A14&lt;'Données projet'!$A$88,$BA$205^A14,IF(A14='Données projet'!$A$88,'Données projet'!$B$88,BD13+BC14-BL13)))</f>
        <v>6.6267345158630686</v>
      </c>
      <c r="BE14" s="13">
        <f>BD14*VLOOKUP('Données projet'!$B$11,Paramètres!$A$1:$I$89,3,0)*VLOOKUP('Données projet'!$B$11,Paramètres!$A$1:$I$89,5,0)</f>
        <v>5.7891152730579769</v>
      </c>
      <c r="BF14" s="13">
        <f t="shared" si="37"/>
        <v>2.1746842164649669</v>
      </c>
      <c r="BG14" s="20">
        <f t="shared" si="7"/>
        <v>13.870284110919128</v>
      </c>
      <c r="BH14" s="59">
        <f t="shared" si="8"/>
        <v>217.43992022027288</v>
      </c>
      <c r="BI14" s="59">
        <f ca="1">AVERAGE(OFFSET($BH$3,0,0,'Données projet'!$E$11+1,1))-AVERAGE(OFFSET($H$3,0,0,'Données projet'!$E$11+1,1))</f>
        <v>433.6995276469014</v>
      </c>
      <c r="BJ14" s="59">
        <f t="shared" si="38"/>
        <v>306.37969720280557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51.852324999520725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0.16216216216216217</v>
      </c>
      <c r="BY14" s="12">
        <f>IF('Données projet'!$A$114&gt;35,BY13+BX14-CG13,IF(A14&lt;'Données projet'!$A$114,$BV$205^A14,IF(A14='Données projet'!$A$114,'Données projet'!$B$114,BY13+BX14-CG13)))</f>
        <v>1.7837837837837842</v>
      </c>
      <c r="BZ14" s="13">
        <f>BY14*VLOOKUP('Données projet'!$B$12,Paramètres!$A$1:$I$89,3,0)*VLOOKUP('Données projet'!$B$12,Paramètres!$A$1:$I$89,5,0)</f>
        <v>1.7252756756756762</v>
      </c>
      <c r="CA14" s="13">
        <f t="shared" si="39"/>
        <v>0.7461742107219439</v>
      </c>
      <c r="CB14" s="20">
        <f t="shared" si="10"/>
        <v>4.3044418854758542</v>
      </c>
      <c r="CC14" s="59">
        <f t="shared" si="11"/>
        <v>207.87407799482961</v>
      </c>
      <c r="CD14" s="59">
        <f ca="1">AVERAGE(OFFSET($CC$3,0,0,'Données projet'!$E$12+1,1))-AVERAGE(OFFSET($H$3,0,0,'Données projet'!$E$12+1,1))</f>
        <v>455.95436253828132</v>
      </c>
      <c r="CE14" s="59">
        <f t="shared" si="40"/>
        <v>64.829921296688497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51.852324999520725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2.6666666666666665</v>
      </c>
      <c r="CT14" s="12">
        <f>IF('Données projet'!$A$140&gt;35,CT13+CS14-DB13,IF(A14&lt;'Données projet'!$A$140,$CQ$205^A14,IF(A14='Données projet'!$A$140,'Données projet'!$B$140,CT13+CS14-DB13)))</f>
        <v>14.956982779612416</v>
      </c>
      <c r="CU14" s="17">
        <f>CT14*VLOOKUP('Données projet'!$B$13,Paramètres!$A$1:$I$89,3,0)*VLOOKUP('Données projet'!$B$13,Paramètres!$A$1:$I$89,5,0)</f>
        <v>11.666446568097685</v>
      </c>
      <c r="CV14" s="13">
        <f t="shared" si="41"/>
        <v>4.0392339557111736</v>
      </c>
      <c r="CW14" s="20">
        <f t="shared" si="13"/>
        <v>27.354060245633761</v>
      </c>
      <c r="CX14" s="59">
        <f t="shared" si="14"/>
        <v>230.9236963549875</v>
      </c>
      <c r="CY14" s="59">
        <f ca="1">AVERAGE(OFFSET($CX$3,0,0,'Données projet'!$E$13+1,1))-AVERAGE(OFFSET($H$3,0,0,'Données projet'!$E$13+1,1))</f>
        <v>306.44760579759713</v>
      </c>
      <c r="CZ14" s="59">
        <f t="shared" si="42"/>
        <v>300.30192123221718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51.852324999520725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51.852324999520725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51.852324999520725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51.852324999520725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51.852324999520725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4.4000000000000004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16.133333333333336</v>
      </c>
      <c r="H15" s="67">
        <f t="shared" si="1"/>
        <v>192.13333333333333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52.167146588655882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35.6</v>
      </c>
      <c r="L15" s="12">
        <f>VLOOKUP(A15,'Données projet'!$A$35:$I$55,9,0)</f>
        <v>2.9666666666666668</v>
      </c>
      <c r="M15" s="12">
        <f t="array" ref="M15">INDEX(L:L,MIN(IF(ISNUMBER(L15:L211),ROW(L15:L211),"")))</f>
        <v>2.9666666666666668</v>
      </c>
      <c r="N15" s="13">
        <f>IF('Données projet'!$A$36&gt;35,N14+M15-V14,IF(A15&lt;'Données projet'!$A$36,$K$205^A15,IF(A15='Données projet'!$A$36,'Données projet'!$B$36,N14+M15-V14)))</f>
        <v>35.6</v>
      </c>
      <c r="O15" s="13">
        <f>N15*VLOOKUP('Données projet'!$B$9,Paramètres!$A$1:$I$89,3,0)*VLOOKUP('Données projet'!$B$9,Paramètres!$A$1:$I$89,5,0)</f>
        <v>21.288800000000002</v>
      </c>
      <c r="P15" s="13">
        <f t="shared" si="33"/>
        <v>6.8723686694032304</v>
      </c>
      <c r="Q15" s="20">
        <f t="shared" si="2"/>
        <v>49.047368765877287</v>
      </c>
      <c r="R15" s="59">
        <f t="shared" si="0"/>
        <v>254.9935729242822</v>
      </c>
      <c r="S15" s="59">
        <f ca="1">AVERAGE(OFFSET($R$3,0,0,'Données projet'!$E$9+1,1))-AVERAGE(OFFSET($H$3,0,0,'Données projet'!$E$9+1,1))</f>
        <v>299.45724561493057</v>
      </c>
      <c r="T15" s="59">
        <f t="shared" si="34"/>
        <v>297.63369027443196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0.45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52.167146588655882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10.119999999999999</v>
      </c>
      <c r="AI15" s="13">
        <f>IF('Données projet'!$A$62&gt;35,AI14+AH15-AQ14,IF(A15&lt;'Données projet'!$A$62,$AF$205^A15,IF(A15='Données projet'!$A$62,'Données projet'!$B$62,AI14+AH15-AQ14)))</f>
        <v>14.239601977703286</v>
      </c>
      <c r="AJ15" s="13">
        <f>AI15*VLOOKUP('Données projet'!$B$10,Paramètres!$A$1:$I$89,3,0)*VLOOKUP('Données projet'!$B$10,Paramètres!$A$1:$I$89,5,0)</f>
        <v>7.9599375055361374</v>
      </c>
      <c r="AK15" s="13">
        <f t="shared" si="35"/>
        <v>2.8813488265052238</v>
      </c>
      <c r="AL15" s="20">
        <f t="shared" si="4"/>
        <v>18.88190702830537</v>
      </c>
      <c r="AM15" s="59">
        <f t="shared" si="5"/>
        <v>224.82811118671029</v>
      </c>
      <c r="AN15" s="59">
        <f ca="1">AVERAGE(OFFSET($AM$3,0,0,'Données projet'!$E$10+1,1))-AVERAGE(OFFSET($H$3,0,0,'Données projet'!$E$10+1,1))</f>
        <v>363.98181065114898</v>
      </c>
      <c r="AO15" s="59">
        <f t="shared" si="36"/>
        <v>410.85213343666396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52.167146588655882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5.044827586206897</v>
      </c>
      <c r="BD15" s="12">
        <f>IF('Données projet'!$A$88&gt;35,BD14+BC15-BL14,IF(A15&lt;'Données projet'!$A$88,$BA$205^A15,IF(A15='Données projet'!$A$88,'Données projet'!$B$88,BD14+BC15-BL14)))</f>
        <v>7.8697904669873431</v>
      </c>
      <c r="BE15" s="13">
        <f>BD15*VLOOKUP('Données projet'!$B$11,Paramètres!$A$1:$I$89,3,0)*VLOOKUP('Données projet'!$B$11,Paramètres!$A$1:$I$89,5,0)</f>
        <v>6.8750489519601441</v>
      </c>
      <c r="BF15" s="13">
        <f t="shared" si="37"/>
        <v>2.53144768779375</v>
      </c>
      <c r="BG15" s="20">
        <f t="shared" si="7"/>
        <v>16.382981647571366</v>
      </c>
      <c r="BH15" s="59">
        <f t="shared" si="8"/>
        <v>222.32918580597629</v>
      </c>
      <c r="BI15" s="59">
        <f ca="1">AVERAGE(OFFSET($BH$3,0,0,'Données projet'!$E$11+1,1))-AVERAGE(OFFSET($H$3,0,0,'Données projet'!$E$11+1,1))</f>
        <v>433.6995276469014</v>
      </c>
      <c r="BJ15" s="59">
        <f t="shared" si="38"/>
        <v>306.37969720280557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52.167146588655882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0.16216216216216217</v>
      </c>
      <c r="BY15" s="12">
        <f>IF('Données projet'!$A$114&gt;35,BY14+BX15-CG14,IF(A15&lt;'Données projet'!$A$114,$BV$205^A15,IF(A15='Données projet'!$A$114,'Données projet'!$B$114,BY14+BX15-CG14)))</f>
        <v>1.9459459459459465</v>
      </c>
      <c r="BZ15" s="13">
        <f>BY15*VLOOKUP('Données projet'!$B$12,Paramètres!$A$1:$I$89,3,0)*VLOOKUP('Données projet'!$B$12,Paramètres!$A$1:$I$89,5,0)</f>
        <v>1.8821189189189196</v>
      </c>
      <c r="CA15" s="13">
        <f t="shared" si="39"/>
        <v>0.80580546280135712</v>
      </c>
      <c r="CB15" s="20">
        <f t="shared" si="10"/>
        <v>4.6814682981628151</v>
      </c>
      <c r="CC15" s="59">
        <f t="shared" si="11"/>
        <v>210.62767245656775</v>
      </c>
      <c r="CD15" s="59">
        <f ca="1">AVERAGE(OFFSET($CC$3,0,0,'Données projet'!$E$12+1,1))-AVERAGE(OFFSET($H$3,0,0,'Données projet'!$E$12+1,1))</f>
        <v>455.95436253828132</v>
      </c>
      <c r="CE15" s="59">
        <f t="shared" si="40"/>
        <v>64.829921296688497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52.167146588655882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2.6666666666666665</v>
      </c>
      <c r="CT15" s="12">
        <f>IF('Données projet'!$A$140&gt;35,CT14+CS15-DB14,IF(A15&lt;'Données projet'!$A$140,$CQ$205^A15,IF(A15='Données projet'!$A$140,'Données projet'!$B$140,CT14+CS15-DB14)))</f>
        <v>19.127049995800721</v>
      </c>
      <c r="CU15" s="17">
        <f>CT15*VLOOKUP('Données projet'!$B$13,Paramètres!$A$1:$I$89,3,0)*VLOOKUP('Données projet'!$B$13,Paramètres!$A$1:$I$89,5,0)</f>
        <v>14.919098996724562</v>
      </c>
      <c r="CV15" s="13">
        <f t="shared" si="41"/>
        <v>5.019622097301081</v>
      </c>
      <c r="CW15" s="20">
        <f t="shared" si="13"/>
        <v>34.726605905427995</v>
      </c>
      <c r="CX15" s="59">
        <f t="shared" si="14"/>
        <v>240.67281006383291</v>
      </c>
      <c r="CY15" s="59">
        <f ca="1">AVERAGE(OFFSET($CX$3,0,0,'Données projet'!$E$13+1,1))-AVERAGE(OFFSET($H$3,0,0,'Données projet'!$E$13+1,1))</f>
        <v>306.44760579759713</v>
      </c>
      <c r="CZ15" s="59">
        <f t="shared" si="42"/>
        <v>300.30192123221718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52.167146588655882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52.167146588655882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52.167146588655882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52.167146588655882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52.167146588655882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4.4000000000000004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16.133333333333336</v>
      </c>
      <c r="H16" s="67">
        <f t="shared" si="1"/>
        <v>192.13333333333333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52.476506727055181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11.374999999999998</v>
      </c>
      <c r="N16" s="13">
        <f>IF('Données projet'!$A$36&gt;35,N15+M16-V15,IF(A16&lt;'Données projet'!$A$36,$K$205^A16,IF(A16='Données projet'!$A$36,'Données projet'!$B$36,N15+M16-V15)))</f>
        <v>46.975000000000001</v>
      </c>
      <c r="O16" s="13">
        <f>N16*VLOOKUP('Données projet'!$B$9,Paramètres!$A$1:$I$89,3,0)*VLOOKUP('Données projet'!$B$9,Paramètres!$A$1:$I$89,5,0)</f>
        <v>28.091050000000006</v>
      </c>
      <c r="P16" s="13">
        <f t="shared" si="33"/>
        <v>8.7802468431764513</v>
      </c>
      <c r="Q16" s="20">
        <f t="shared" si="2"/>
        <v>64.217508668532318</v>
      </c>
      <c r="R16" s="59">
        <f t="shared" si="0"/>
        <v>272.52025555662351</v>
      </c>
      <c r="S16" s="59">
        <f ca="1">AVERAGE(OFFSET($R$3,0,0,'Données projet'!$E$9+1,1))-AVERAGE(OFFSET($H$3,0,0,'Données projet'!$E$9+1,1))</f>
        <v>299.45724561493057</v>
      </c>
      <c r="T16" s="59">
        <f t="shared" si="34"/>
        <v>297.63369027443196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52.476506727055181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10.119999999999999</v>
      </c>
      <c r="AI16" s="13">
        <f>IF('Données projet'!$A$62&gt;35,AI15+AH16-AQ15,IF(A16&lt;'Données projet'!$A$62,$AF$205^A16,IF(A16='Données projet'!$A$62,'Données projet'!$B$62,AI15+AH16-AQ15)))</f>
        <v>17.767350547870222</v>
      </c>
      <c r="AJ16" s="13">
        <f>AI16*VLOOKUP('Données projet'!$B$10,Paramètres!$A$1:$I$89,3,0)*VLOOKUP('Données projet'!$B$10,Paramètres!$A$1:$I$89,5,0)</f>
        <v>9.9319489562594541</v>
      </c>
      <c r="AK16" s="13">
        <f t="shared" si="35"/>
        <v>3.5037388638352742</v>
      </c>
      <c r="AL16" s="20">
        <f t="shared" si="4"/>
        <v>23.400489619998314</v>
      </c>
      <c r="AM16" s="59">
        <f t="shared" si="5"/>
        <v>231.70323650808953</v>
      </c>
      <c r="AN16" s="59">
        <f ca="1">AVERAGE(OFFSET($AM$3,0,0,'Données projet'!$E$10+1,1))-AVERAGE(OFFSET($H$3,0,0,'Données projet'!$E$10+1,1))</f>
        <v>363.98181065114898</v>
      </c>
      <c r="AO16" s="59">
        <f t="shared" si="36"/>
        <v>410.85213343666396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52.476506727055181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5.044827586206897</v>
      </c>
      <c r="BD16" s="12">
        <f>IF('Données projet'!$A$88&gt;35,BD15+BC16-BL15,IF(A16&lt;'Données projet'!$A$88,$BA$205^A16,IF(A16='Données projet'!$A$88,'Données projet'!$B$88,BD15+BC16-BL15)))</f>
        <v>9.3460213089913733</v>
      </c>
      <c r="BE16" s="13">
        <f>BD16*VLOOKUP('Données projet'!$B$11,Paramètres!$A$1:$I$89,3,0)*VLOOKUP('Données projet'!$B$11,Paramètres!$A$1:$I$89,5,0)</f>
        <v>8.1646842155348658</v>
      </c>
      <c r="BF16" s="13">
        <f t="shared" si="37"/>
        <v>2.9467392771411864</v>
      </c>
      <c r="BG16" s="20">
        <f t="shared" si="7"/>
        <v>19.352395916410792</v>
      </c>
      <c r="BH16" s="59">
        <f t="shared" si="8"/>
        <v>227.65514280450199</v>
      </c>
      <c r="BI16" s="59">
        <f ca="1">AVERAGE(OFFSET($BH$3,0,0,'Données projet'!$E$11+1,1))-AVERAGE(OFFSET($H$3,0,0,'Données projet'!$E$11+1,1))</f>
        <v>433.6995276469014</v>
      </c>
      <c r="BJ16" s="59">
        <f t="shared" si="38"/>
        <v>306.37969720280557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52.476506727055181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0.16216216216216217</v>
      </c>
      <c r="BY16" s="12">
        <f>IF('Données projet'!$A$114&gt;35,BY15+BX16-CG15,IF(A16&lt;'Données projet'!$A$114,$BV$205^A16,IF(A16='Données projet'!$A$114,'Données projet'!$B$114,BY15+BX16-CG15)))</f>
        <v>2.1081081081081088</v>
      </c>
      <c r="BZ16" s="13">
        <f>BY16*VLOOKUP('Données projet'!$B$12,Paramètres!$A$1:$I$89,3,0)*VLOOKUP('Données projet'!$B$12,Paramètres!$A$1:$I$89,5,0)</f>
        <v>2.038962162162163</v>
      </c>
      <c r="CA16" s="13">
        <f t="shared" si="39"/>
        <v>0.86486038439937951</v>
      </c>
      <c r="CB16" s="20">
        <f t="shared" si="10"/>
        <v>5.0574909352613533</v>
      </c>
      <c r="CC16" s="59">
        <f t="shared" si="11"/>
        <v>213.36023782335255</v>
      </c>
      <c r="CD16" s="59">
        <f ca="1">AVERAGE(OFFSET($CC$3,0,0,'Données projet'!$E$12+1,1))-AVERAGE(OFFSET($H$3,0,0,'Données projet'!$E$12+1,1))</f>
        <v>455.95436253828132</v>
      </c>
      <c r="CE16" s="59">
        <f t="shared" si="40"/>
        <v>64.829921296688497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52.476506727055181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2.6666666666666665</v>
      </c>
      <c r="CT16" s="12">
        <f>IF('Données projet'!$A$140&gt;35,CT15+CS16-DB15,IF(A16&lt;'Données projet'!$A$140,$CQ$205^A16,IF(A16='Données projet'!$A$140,'Données projet'!$B$140,CT15+CS16-DB15)))</f>
        <v>24.459748796430759</v>
      </c>
      <c r="CU16" s="17">
        <f>CT16*VLOOKUP('Données projet'!$B$13,Paramètres!$A$1:$I$89,3,0)*VLOOKUP('Données projet'!$B$13,Paramètres!$A$1:$I$89,5,0)</f>
        <v>19.078604061215994</v>
      </c>
      <c r="CV16" s="13">
        <f t="shared" si="41"/>
        <v>6.2379664748280286</v>
      </c>
      <c r="CW16" s="20">
        <f t="shared" si="13"/>
        <v>44.093027016943331</v>
      </c>
      <c r="CX16" s="59">
        <f t="shared" si="14"/>
        <v>252.39577390503453</v>
      </c>
      <c r="CY16" s="59">
        <f ca="1">AVERAGE(OFFSET($CX$3,0,0,'Données projet'!$E$13+1,1))-AVERAGE(OFFSET($H$3,0,0,'Données projet'!$E$13+1,1))</f>
        <v>306.44760579759713</v>
      </c>
      <c r="CZ16" s="59">
        <f t="shared" si="42"/>
        <v>300.30192123221718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52.476506727055181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52.476506727055181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52.476506727055181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52.476506727055181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52.476506727055181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4.4000000000000004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16.133333333333336</v>
      </c>
      <c r="H17" s="67">
        <f t="shared" si="1"/>
        <v>192.13333333333333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52.780500158678905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11.374999999999998</v>
      </c>
      <c r="N17" s="13">
        <f>IF('Données projet'!$A$36&gt;35,N16+M17-V16,IF(A17&lt;'Données projet'!$A$36,$K$205^A17,IF(A17='Données projet'!$A$36,'Données projet'!$B$36,N16+M17-V16)))</f>
        <v>58.35</v>
      </c>
      <c r="O17" s="13">
        <f>N17*VLOOKUP('Données projet'!$B$9,Paramètres!$A$1:$I$89,3,0)*VLOOKUP('Données projet'!$B$9,Paramètres!$A$1:$I$89,5,0)</f>
        <v>34.893300000000004</v>
      </c>
      <c r="P17" s="13">
        <f t="shared" si="33"/>
        <v>10.634545537938871</v>
      </c>
      <c r="Q17" s="20">
        <f t="shared" si="2"/>
        <v>79.294330978576866</v>
      </c>
      <c r="R17" s="59">
        <f t="shared" si="0"/>
        <v>289.93394267151064</v>
      </c>
      <c r="S17" s="59">
        <f ca="1">AVERAGE(OFFSET($R$3,0,0,'Données projet'!$E$9+1,1))-AVERAGE(OFFSET($H$3,0,0,'Données projet'!$E$9+1,1))</f>
        <v>299.45724561493057</v>
      </c>
      <c r="T17" s="59">
        <f t="shared" si="34"/>
        <v>297.63369027443196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52.780500158678905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10.119999999999999</v>
      </c>
      <c r="AI17" s="13">
        <f>IF('Données projet'!$A$62&gt;35,AI16+AH17-AQ16,IF(A17&lt;'Données projet'!$A$62,$AF$205^A17,IF(A17='Données projet'!$A$62,'Données projet'!$B$62,AI16+AH17-AQ16)))</f>
        <v>22.169070876082184</v>
      </c>
      <c r="AJ17" s="13">
        <f>AI17*VLOOKUP('Données projet'!$B$10,Paramètres!$A$1:$I$89,3,0)*VLOOKUP('Données projet'!$B$10,Paramètres!$A$1:$I$89,5,0)</f>
        <v>12.392510619729942</v>
      </c>
      <c r="AK17" s="13">
        <f t="shared" si="35"/>
        <v>4.260569186563723</v>
      </c>
      <c r="AL17" s="20">
        <f t="shared" si="4"/>
        <v>29.004113995961465</v>
      </c>
      <c r="AM17" s="59">
        <f t="shared" si="5"/>
        <v>239.64372568889522</v>
      </c>
      <c r="AN17" s="59">
        <f ca="1">AVERAGE(OFFSET($AM$3,0,0,'Données projet'!$E$10+1,1))-AVERAGE(OFFSET($H$3,0,0,'Données projet'!$E$10+1,1))</f>
        <v>363.98181065114898</v>
      </c>
      <c r="AO17" s="59">
        <f t="shared" si="36"/>
        <v>410.85213343666396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52.780500158678905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5.044827586206897</v>
      </c>
      <c r="BD17" s="12">
        <f>IF('Données projet'!$A$88&gt;35,BD16+BC17-BL16,IF(A17&lt;'Données projet'!$A$88,$BA$205^A17,IF(A17='Données projet'!$A$88,'Données projet'!$B$88,BD16+BC17-BL16)))</f>
        <v>11.099166448526654</v>
      </c>
      <c r="BE17" s="13">
        <f>BD17*VLOOKUP('Données projet'!$B$11,Paramètres!$A$1:$I$89,3,0)*VLOOKUP('Données projet'!$B$11,Paramètres!$A$1:$I$89,5,0)</f>
        <v>9.6962318094328861</v>
      </c>
      <c r="BF17" s="13">
        <f t="shared" si="37"/>
        <v>3.430160697894709</v>
      </c>
      <c r="BG17" s="20">
        <f t="shared" si="7"/>
        <v>22.861800283595556</v>
      </c>
      <c r="BH17" s="59">
        <f t="shared" si="8"/>
        <v>233.50141197652931</v>
      </c>
      <c r="BI17" s="59">
        <f ca="1">AVERAGE(OFFSET($BH$3,0,0,'Données projet'!$E$11+1,1))-AVERAGE(OFFSET($H$3,0,0,'Données projet'!$E$11+1,1))</f>
        <v>433.6995276469014</v>
      </c>
      <c r="BJ17" s="59">
        <f t="shared" si="38"/>
        <v>306.37969720280557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52.780500158678905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0.16216216216216217</v>
      </c>
      <c r="BY17" s="12">
        <f>IF('Données projet'!$A$114&gt;35,BY16+BX17-CG16,IF(A17&lt;'Données projet'!$A$114,$BV$205^A17,IF(A17='Données projet'!$A$114,'Données projet'!$B$114,BY16+BX17-CG16)))</f>
        <v>2.2702702702702711</v>
      </c>
      <c r="BZ17" s="13">
        <f>BY17*VLOOKUP('Données projet'!$B$12,Paramètres!$A$1:$I$89,3,0)*VLOOKUP('Données projet'!$B$12,Paramètres!$A$1:$I$89,5,0)</f>
        <v>2.1958054054054061</v>
      </c>
      <c r="CA17" s="13">
        <f t="shared" si="39"/>
        <v>0.9233883492661995</v>
      </c>
      <c r="CB17" s="20">
        <f t="shared" si="10"/>
        <v>5.4325957893863794</v>
      </c>
      <c r="CC17" s="59">
        <f t="shared" si="11"/>
        <v>216.07220748232012</v>
      </c>
      <c r="CD17" s="59">
        <f ca="1">AVERAGE(OFFSET($CC$3,0,0,'Données projet'!$E$12+1,1))-AVERAGE(OFFSET($H$3,0,0,'Données projet'!$E$12+1,1))</f>
        <v>455.95436253828132</v>
      </c>
      <c r="CE17" s="59">
        <f t="shared" si="40"/>
        <v>64.829921296688497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52.780500158678905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2.6666666666666665</v>
      </c>
      <c r="CT17" s="12">
        <f>IF('Données projet'!$A$140&gt;35,CT16+CS17-DB16,IF(A17&lt;'Données projet'!$A$140,$CQ$205^A17,IF(A17='Données projet'!$A$140,'Données projet'!$B$140,CT16+CS17-DB16)))</f>
        <v>31.279225563578599</v>
      </c>
      <c r="CU17" s="17">
        <f>CT17*VLOOKUP('Données projet'!$B$13,Paramètres!$A$1:$I$89,3,0)*VLOOKUP('Données projet'!$B$13,Paramètres!$A$1:$I$89,5,0)</f>
        <v>24.397795939591308</v>
      </c>
      <c r="CV17" s="13">
        <f t="shared" si="41"/>
        <v>7.75202295846145</v>
      </c>
      <c r="CW17" s="20">
        <f t="shared" si="13"/>
        <v>55.994267914108548</v>
      </c>
      <c r="CX17" s="59">
        <f t="shared" si="14"/>
        <v>266.63387960704233</v>
      </c>
      <c r="CY17" s="59">
        <f ca="1">AVERAGE(OFFSET($CX$3,0,0,'Données projet'!$E$13+1,1))-AVERAGE(OFFSET($H$3,0,0,'Données projet'!$E$13+1,1))</f>
        <v>306.44760579759713</v>
      </c>
      <c r="CZ17" s="59">
        <f t="shared" si="42"/>
        <v>300.30192123221718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52.780500158678905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52.780500158678905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52.780500158678905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52.780500158678905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52.780500158678905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4.4000000000000004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16.133333333333336</v>
      </c>
      <c r="H18" s="67">
        <f t="shared" si="1"/>
        <v>192.13333333333333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53.079219983891448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11.374999999999998</v>
      </c>
      <c r="N18" s="13">
        <f>IF('Données projet'!$A$36&gt;35,N17+M18-V17,IF(A18&lt;'Données projet'!$A$36,$K$205^A18,IF(A18='Données projet'!$A$36,'Données projet'!$B$36,N17+M18-V17)))</f>
        <v>69.724999999999994</v>
      </c>
      <c r="O18" s="13">
        <f>N18*VLOOKUP('Données projet'!$B$9,Paramètres!$A$1:$I$89,3,0)*VLOOKUP('Données projet'!$B$9,Paramètres!$A$1:$I$89,5,0)</f>
        <v>41.695549999999997</v>
      </c>
      <c r="P18" s="13">
        <f t="shared" si="33"/>
        <v>12.44696103243596</v>
      </c>
      <c r="Q18" s="20">
        <f t="shared" si="2"/>
        <v>94.298206714825952</v>
      </c>
      <c r="R18" s="59">
        <f t="shared" si="0"/>
        <v>307.25534665576129</v>
      </c>
      <c r="S18" s="59">
        <f ca="1">AVERAGE(OFFSET($R$3,0,0,'Données projet'!$E$9+1,1))-AVERAGE(OFFSET($H$3,0,0,'Données projet'!$E$9+1,1))</f>
        <v>299.45724561493057</v>
      </c>
      <c r="T18" s="59">
        <f t="shared" si="34"/>
        <v>297.63369027443196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53.079219983891448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10.119999999999999</v>
      </c>
      <c r="AI18" s="13">
        <f>IF('Données projet'!$A$62&gt;35,AI17+AH18-AQ17,IF(A18&lt;'Données projet'!$A$62,$AF$205^A18,IF(A18='Données projet'!$A$62,'Données projet'!$B$62,AI17+AH18-AQ17)))</f>
        <v>27.661282540950811</v>
      </c>
      <c r="AJ18" s="13">
        <f>AI18*VLOOKUP('Données projet'!$B$10,Paramètres!$A$1:$I$89,3,0)*VLOOKUP('Données projet'!$B$10,Paramètres!$A$1:$I$89,5,0)</f>
        <v>15.462656940391502</v>
      </c>
      <c r="AK18" s="13">
        <f t="shared" si="35"/>
        <v>5.1808797684271957</v>
      </c>
      <c r="AL18" s="20">
        <f t="shared" si="4"/>
        <v>35.954159767859231</v>
      </c>
      <c r="AM18" s="59">
        <f t="shared" si="5"/>
        <v>248.91129970879456</v>
      </c>
      <c r="AN18" s="59">
        <f ca="1">AVERAGE(OFFSET($AM$3,0,0,'Données projet'!$E$10+1,1))-AVERAGE(OFFSET($H$3,0,0,'Données projet'!$E$10+1,1))</f>
        <v>363.98181065114898</v>
      </c>
      <c r="AO18" s="59">
        <f t="shared" si="36"/>
        <v>410.85213343666396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53.079219983891448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5.044827586206897</v>
      </c>
      <c r="BD18" s="12">
        <f>IF('Données projet'!$A$88&gt;35,BD17+BC18-BL17,IF(A18&lt;'Données projet'!$A$88,$BA$205^A18,IF(A18='Données projet'!$A$88,'Données projet'!$B$88,BD17+BC18-BL17)))</f>
        <v>13.181170016548426</v>
      </c>
      <c r="BE18" s="13">
        <f>BD18*VLOOKUP('Données projet'!$B$11,Paramètres!$A$1:$I$89,3,0)*VLOOKUP('Données projet'!$B$11,Paramètres!$A$1:$I$89,5,0)</f>
        <v>11.515070126456708</v>
      </c>
      <c r="BF18" s="13">
        <f t="shared" si="37"/>
        <v>3.9928888533350158</v>
      </c>
      <c r="BG18" s="20">
        <f t="shared" si="7"/>
        <v>27.009695223137253</v>
      </c>
      <c r="BH18" s="59">
        <f t="shared" si="8"/>
        <v>239.96683516407256</v>
      </c>
      <c r="BI18" s="59">
        <f ca="1">AVERAGE(OFFSET($BH$3,0,0,'Données projet'!$E$11+1,1))-AVERAGE(OFFSET($H$3,0,0,'Données projet'!$E$11+1,1))</f>
        <v>433.6995276469014</v>
      </c>
      <c r="BJ18" s="59">
        <f t="shared" si="38"/>
        <v>306.37969720280557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53.079219983891448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0.16216216216216217</v>
      </c>
      <c r="BY18" s="12">
        <f>IF('Données projet'!$A$114&gt;35,BY17+BX18-CG17,IF(A18&lt;'Données projet'!$A$114,$BV$205^A18,IF(A18='Données projet'!$A$114,'Données projet'!$B$114,BY17+BX18-CG17)))</f>
        <v>2.4324324324324333</v>
      </c>
      <c r="BZ18" s="13">
        <f>BY18*VLOOKUP('Données projet'!$B$12,Paramètres!$A$1:$I$89,3,0)*VLOOKUP('Données projet'!$B$12,Paramètres!$A$1:$I$89,5,0)</f>
        <v>2.3526486486486498</v>
      </c>
      <c r="CA18" s="13">
        <f t="shared" si="39"/>
        <v>0.9814312780806157</v>
      </c>
      <c r="CB18" s="20">
        <f t="shared" si="10"/>
        <v>5.8068558723868025</v>
      </c>
      <c r="CC18" s="59">
        <f t="shared" si="11"/>
        <v>218.76399581332211</v>
      </c>
      <c r="CD18" s="59">
        <f ca="1">AVERAGE(OFFSET($CC$3,0,0,'Données projet'!$E$12+1,1))-AVERAGE(OFFSET($H$3,0,0,'Données projet'!$E$12+1,1))</f>
        <v>455.95436253828132</v>
      </c>
      <c r="CE18" s="59">
        <f t="shared" si="40"/>
        <v>64.829921296688497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53.079219983891448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40</v>
      </c>
      <c r="CR18" s="12">
        <f>VLOOKUP(A18,'Données projet'!$A$139:$I$159,9,0)</f>
        <v>2.6666666666666665</v>
      </c>
      <c r="CS18" s="12">
        <f t="array" ref="CS18">INDEX(CR:CR,MIN(IF(ISNUMBER(CR18:CR214),ROW(CR18:CR214),"")))</f>
        <v>2.6666666666666665</v>
      </c>
      <c r="CT18" s="12">
        <f>IF('Données projet'!$A$140&gt;35,CT17+CS18-DB17,IF(A18&lt;'Données projet'!$A$140,$CQ$205^A18,IF(A18='Données projet'!$A$140,'Données projet'!$B$140,CT17+CS18-DB17)))</f>
        <v>40</v>
      </c>
      <c r="CU18" s="17">
        <f>CT18*VLOOKUP('Données projet'!$B$13,Paramètres!$A$1:$I$89,3,0)*VLOOKUP('Données projet'!$B$13,Paramètres!$A$1:$I$89,5,0)</f>
        <v>31.200000000000003</v>
      </c>
      <c r="CV18" s="13">
        <f t="shared" si="41"/>
        <v>9.6335657126419925</v>
      </c>
      <c r="CW18" s="20">
        <f t="shared" si="13"/>
        <v>71.118460282851473</v>
      </c>
      <c r="CX18" s="59">
        <f t="shared" si="14"/>
        <v>284.07560022378681</v>
      </c>
      <c r="CY18" s="59">
        <f ca="1">AVERAGE(OFFSET($CX$3,0,0,'Données projet'!$E$13+1,1))-AVERAGE(OFFSET($H$3,0,0,'Données projet'!$E$13+1,1))</f>
        <v>306.44760579759713</v>
      </c>
      <c r="CZ18" s="59">
        <f t="shared" si="42"/>
        <v>300.30192123221718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3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53.079219983891448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53.079219983891448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53.079219983891448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53.079219983891448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53.079219983891448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4.4000000000000004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16.133333333333336</v>
      </c>
      <c r="H19" s="67">
        <f t="shared" si="1"/>
        <v>192.13333333333333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53.372757687974037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81.099999999999994</v>
      </c>
      <c r="L19" s="12">
        <f>VLOOKUP(A19,'Données projet'!$A$35:$I$55,9,0)</f>
        <v>11.374999999999998</v>
      </c>
      <c r="M19" s="12">
        <f t="array" ref="M19">INDEX(L:L,MIN(IF(ISNUMBER(L19:L215),ROW(L19:L215),"")))</f>
        <v>11.374999999999998</v>
      </c>
      <c r="N19" s="13">
        <f>IF('Données projet'!$A$36&gt;35,N18+M19-V18,IF(A19&lt;'Données projet'!$A$36,$K$205^A19,IF(A19='Données projet'!$A$36,'Données projet'!$B$36,N18+M19-V18)))</f>
        <v>81.099999999999994</v>
      </c>
      <c r="O19" s="13">
        <f>N19*VLOOKUP('Données projet'!$B$9,Paramètres!$A$1:$I$89,3,0)*VLOOKUP('Données projet'!$B$9,Paramètres!$A$1:$I$89,5,0)</f>
        <v>48.497799999999998</v>
      </c>
      <c r="P19" s="13">
        <f t="shared" si="33"/>
        <v>14.225123901948342</v>
      </c>
      <c r="Q19" s="20">
        <f t="shared" si="2"/>
        <v>109.24242579589337</v>
      </c>
      <c r="R19" s="59">
        <f t="shared" si="0"/>
        <v>324.49809287402036</v>
      </c>
      <c r="S19" s="59">
        <f ca="1">AVERAGE(OFFSET($R$3,0,0,'Données projet'!$E$9+1,1))-AVERAGE(OFFSET($H$3,0,0,'Données projet'!$E$9+1,1))</f>
        <v>299.45724561493057</v>
      </c>
      <c r="T19" s="59">
        <f t="shared" si="34"/>
        <v>297.63369027443196</v>
      </c>
      <c r="U19" s="15">
        <f>IF(ISNA(VLOOKUP(A19,'Données projet'!$A$35:$I$55,3,0)),0,VLOOKUP(A19,'Données projet'!$A$35:$I$55,3,0))</f>
        <v>1</v>
      </c>
      <c r="V19" s="15">
        <f>IF(ISNA(VLOOKUP(A19,'Données projet'!$A$35:$I$55,4,0)),0,VLOOKUP(A19,'Données projet'!$A$35:$I$55,4,0))</f>
        <v>14.8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0.45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5.2624794321489281</v>
      </c>
      <c r="AB19" s="21">
        <f>EXP(-LN(2)/2)*AB18+(1-EXP(-LN(2)/2))/(LN(2)/2)*V19*Y19*VLOOKUP('Données projet'!$B$9,Paramètres!$A$1:$I$89,3,0)*0.475*44/12</f>
        <v>0</v>
      </c>
      <c r="AC19" s="22">
        <f t="shared" si="3"/>
        <v>5.2624794321489281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53.372757687974037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10.119999999999999</v>
      </c>
      <c r="AI19" s="13">
        <f>IF('Données projet'!$A$62&gt;35,AI18+AH19-AQ18,IF(A19&lt;'Données projet'!$A$62,$AF$205^A19,IF(A19='Données projet'!$A$62,'Données projet'!$B$62,AI18+AH19-AQ18)))</f>
        <v>34.51414613121262</v>
      </c>
      <c r="AJ19" s="13">
        <f>AI19*VLOOKUP('Données projet'!$B$10,Paramètres!$A$1:$I$89,3,0)*VLOOKUP('Données projet'!$B$10,Paramètres!$A$1:$I$89,5,0)</f>
        <v>19.293407687347855</v>
      </c>
      <c r="AK19" s="13">
        <f t="shared" si="35"/>
        <v>6.2999834058666524</v>
      </c>
      <c r="AL19" s="20">
        <f t="shared" si="4"/>
        <v>44.575156154015268</v>
      </c>
      <c r="AM19" s="59">
        <f t="shared" si="5"/>
        <v>259.83082323214228</v>
      </c>
      <c r="AN19" s="59">
        <f ca="1">AVERAGE(OFFSET($AM$3,0,0,'Données projet'!$E$10+1,1))-AVERAGE(OFFSET($H$3,0,0,'Données projet'!$E$10+1,1))</f>
        <v>363.98181065114898</v>
      </c>
      <c r="AO19" s="59">
        <f t="shared" si="36"/>
        <v>410.85213343666396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53.372757687974037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5.044827586206897</v>
      </c>
      <c r="BD19" s="12">
        <f>IF('Données projet'!$A$88&gt;35,BD18+BC19-BL18,IF(A19&lt;'Données projet'!$A$88,$BA$205^A19,IF(A19='Données projet'!$A$88,'Données projet'!$B$88,BD18+BC19-BL18)))</f>
        <v>15.653719926708424</v>
      </c>
      <c r="BE19" s="13">
        <f>BD19*VLOOKUP('Données projet'!$B$11,Paramètres!$A$1:$I$89,3,0)*VLOOKUP('Données projet'!$B$11,Paramètres!$A$1:$I$89,5,0)</f>
        <v>13.67508972797248</v>
      </c>
      <c r="BF19" s="13">
        <f t="shared" si="37"/>
        <v>4.6479342512647479</v>
      </c>
      <c r="BG19" s="20">
        <f t="shared" si="7"/>
        <v>31.912600097171502</v>
      </c>
      <c r="BH19" s="59">
        <f t="shared" si="8"/>
        <v>247.1682671752985</v>
      </c>
      <c r="BI19" s="59">
        <f ca="1">AVERAGE(OFFSET($BH$3,0,0,'Données projet'!$E$11+1,1))-AVERAGE(OFFSET($H$3,0,0,'Données projet'!$E$11+1,1))</f>
        <v>433.6995276469014</v>
      </c>
      <c r="BJ19" s="59">
        <f t="shared" si="38"/>
        <v>306.37969720280557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53.372757687974037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0.16216216216216217</v>
      </c>
      <c r="BY19" s="12">
        <f>IF('Données projet'!$A$114&gt;35,BY18+BX19-CG18,IF(A19&lt;'Données projet'!$A$114,$BV$205^A19,IF(A19='Données projet'!$A$114,'Données projet'!$B$114,BY18+BX19-CG18)))</f>
        <v>2.5945945945945956</v>
      </c>
      <c r="BZ19" s="13">
        <f>BY19*VLOOKUP('Données projet'!$B$12,Paramètres!$A$1:$I$89,3,0)*VLOOKUP('Données projet'!$B$12,Paramètres!$A$1:$I$89,5,0)</f>
        <v>2.5094918918918929</v>
      </c>
      <c r="CA19" s="13">
        <f t="shared" si="39"/>
        <v>1.0390251858780748</v>
      </c>
      <c r="CB19" s="20">
        <f t="shared" si="10"/>
        <v>6.1803339104493604</v>
      </c>
      <c r="CC19" s="59">
        <f t="shared" si="11"/>
        <v>221.43600098857635</v>
      </c>
      <c r="CD19" s="59">
        <f ca="1">AVERAGE(OFFSET($CC$3,0,0,'Données projet'!$E$12+1,1))-AVERAGE(OFFSET($H$3,0,0,'Données projet'!$E$12+1,1))</f>
        <v>455.95436253828132</v>
      </c>
      <c r="CE19" s="59">
        <f t="shared" si="40"/>
        <v>64.829921296688497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53.372757687974037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9.6</v>
      </c>
      <c r="CT19" s="12">
        <f>IF('Données projet'!$A$140&gt;35,CT18+CS19-DB18,IF(A19&lt;'Données projet'!$A$140,$CQ$205^A19,IF(A19='Données projet'!$A$140,'Données projet'!$B$140,CT18+CS19-DB18)))</f>
        <v>46.6</v>
      </c>
      <c r="CU19" s="17">
        <f>CT19*VLOOKUP('Données projet'!$B$13,Paramètres!$A$1:$I$89,3,0)*VLOOKUP('Données projet'!$B$13,Paramètres!$A$1:$I$89,5,0)</f>
        <v>36.347999999999999</v>
      </c>
      <c r="CV19" s="13">
        <f t="shared" si="41"/>
        <v>11.025356771848859</v>
      </c>
      <c r="CW19" s="20">
        <f t="shared" si="13"/>
        <v>82.508596377636763</v>
      </c>
      <c r="CX19" s="59">
        <f t="shared" si="14"/>
        <v>297.76426345576374</v>
      </c>
      <c r="CY19" s="59">
        <f ca="1">AVERAGE(OFFSET($CX$3,0,0,'Données projet'!$E$13+1,1))-AVERAGE(OFFSET($H$3,0,0,'Données projet'!$E$13+1,1))</f>
        <v>306.44760579759713</v>
      </c>
      <c r="CZ19" s="59">
        <f t="shared" si="42"/>
        <v>300.30192123221718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53.372757687974037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53.372757687974037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53.372757687974037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53.372757687974037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53.372757687974037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4.4000000000000004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16.133333333333336</v>
      </c>
      <c r="H20" s="67">
        <f t="shared" si="1"/>
        <v>192.13333333333333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53.661203169142787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13.25</v>
      </c>
      <c r="N20" s="13">
        <f>IF('Données projet'!$A$36&gt;35,N19+M20-V19,IF(A20&lt;'Données projet'!$A$36,$K$205^A20,IF(A20='Données projet'!$A$36,'Données projet'!$B$36,N19+M20-V19)))</f>
        <v>79.55</v>
      </c>
      <c r="O20" s="13">
        <f>N20*VLOOKUP('Données projet'!$B$9,Paramètres!$A$1:$I$89,3,0)*VLOOKUP('Données projet'!$B$9,Paramètres!$A$1:$I$89,5,0)</f>
        <v>47.570900000000009</v>
      </c>
      <c r="P20" s="13">
        <f t="shared" si="33"/>
        <v>13.984627332058947</v>
      </c>
      <c r="Q20" s="20">
        <f t="shared" si="2"/>
        <v>107.20921010333602</v>
      </c>
      <c r="R20" s="59">
        <f t="shared" si="0"/>
        <v>324.74473283463732</v>
      </c>
      <c r="S20" s="59">
        <f ca="1">AVERAGE(OFFSET($R$3,0,0,'Données projet'!$E$9+1,1))-AVERAGE(OFFSET($H$3,0,0,'Données projet'!$E$9+1,1))</f>
        <v>299.45724561493057</v>
      </c>
      <c r="T20" s="59">
        <f t="shared" si="34"/>
        <v>297.63369027443196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5.1185766553350502</v>
      </c>
      <c r="AB20" s="21">
        <f>EXP(-LN(2)/2)*AB19+(1-EXP(-LN(2)/2))/(LN(2)/2)*V20*Y20*VLOOKUP('Données projet'!$B$9,Paramètres!$A$1:$I$89,3,0)*0.475*44/12</f>
        <v>0</v>
      </c>
      <c r="AC20" s="22">
        <f t="shared" si="3"/>
        <v>5.1185766553350502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53.661203169142787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10.119999999999999</v>
      </c>
      <c r="AI20" s="13">
        <f>IF('Données projet'!$A$62&gt;35,AI19+AH20-AQ19,IF(A20&lt;'Données projet'!$A$62,$AF$205^A20,IF(A20='Données projet'!$A$62,'Données projet'!$B$62,AI19+AH20-AQ19)))</f>
        <v>43.06475238099182</v>
      </c>
      <c r="AJ20" s="13">
        <f>AI20*VLOOKUP('Données projet'!$B$10,Paramètres!$A$1:$I$89,3,0)*VLOOKUP('Données projet'!$B$10,Paramètres!$A$1:$I$89,5,0)</f>
        <v>24.073196580974429</v>
      </c>
      <c r="AK20" s="13">
        <f t="shared" si="35"/>
        <v>7.6608206884222216</v>
      </c>
      <c r="AL20" s="20">
        <f t="shared" si="4"/>
        <v>55.270080077532498</v>
      </c>
      <c r="AM20" s="59">
        <f t="shared" si="5"/>
        <v>272.80560280883378</v>
      </c>
      <c r="AN20" s="59">
        <f ca="1">AVERAGE(OFFSET($AM$3,0,0,'Données projet'!$E$10+1,1))-AVERAGE(OFFSET($H$3,0,0,'Données projet'!$E$10+1,1))</f>
        <v>363.98181065114898</v>
      </c>
      <c r="AO20" s="59">
        <f t="shared" si="36"/>
        <v>410.85213343666396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53.661203169142787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5.044827586206897</v>
      </c>
      <c r="BD20" s="12">
        <f>IF('Données projet'!$A$88&gt;35,BD19+BC20-BL19,IF(A20&lt;'Données projet'!$A$88,$BA$205^A20,IF(A20='Données projet'!$A$88,'Données projet'!$B$88,BD19+BC20-BL19)))</f>
        <v>18.590075633361216</v>
      </c>
      <c r="BE20" s="13">
        <f>BD20*VLOOKUP('Données projet'!$B$11,Paramètres!$A$1:$I$89,3,0)*VLOOKUP('Données projet'!$B$11,Paramètres!$A$1:$I$89,5,0)</f>
        <v>16.240290073304358</v>
      </c>
      <c r="BF20" s="13">
        <f t="shared" si="37"/>
        <v>5.4104418123324631</v>
      </c>
      <c r="BG20" s="20">
        <f t="shared" si="7"/>
        <v>37.708358034150798</v>
      </c>
      <c r="BH20" s="59">
        <f t="shared" si="8"/>
        <v>255.2438807654521</v>
      </c>
      <c r="BI20" s="59">
        <f ca="1">AVERAGE(OFFSET($BH$3,0,0,'Données projet'!$E$11+1,1))-AVERAGE(OFFSET($H$3,0,0,'Données projet'!$E$11+1,1))</f>
        <v>433.6995276469014</v>
      </c>
      <c r="BJ20" s="59">
        <f t="shared" si="38"/>
        <v>306.37969720280557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53.661203169142787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0.16216216216216217</v>
      </c>
      <c r="BY20" s="12">
        <f>IF('Données projet'!$A$114&gt;35,BY19+BX20-CG19,IF(A20&lt;'Données projet'!$A$114,$BV$205^A20,IF(A20='Données projet'!$A$114,'Données projet'!$B$114,BY19+BX20-CG19)))</f>
        <v>2.7567567567567579</v>
      </c>
      <c r="BZ20" s="13">
        <f>BY20*VLOOKUP('Données projet'!$B$12,Paramètres!$A$1:$I$89,3,0)*VLOOKUP('Données projet'!$B$12,Paramètres!$A$1:$I$89,5,0)</f>
        <v>2.6663351351351365</v>
      </c>
      <c r="CA20" s="13">
        <f t="shared" si="39"/>
        <v>1.096201331367548</v>
      </c>
      <c r="CB20" s="20">
        <f t="shared" si="10"/>
        <v>6.5530843458255079</v>
      </c>
      <c r="CC20" s="59">
        <f t="shared" si="11"/>
        <v>224.08860707712682</v>
      </c>
      <c r="CD20" s="59">
        <f ca="1">AVERAGE(OFFSET($CC$3,0,0,'Données projet'!$E$12+1,1))-AVERAGE(OFFSET($H$3,0,0,'Données projet'!$E$12+1,1))</f>
        <v>455.95436253828132</v>
      </c>
      <c r="CE20" s="59">
        <f t="shared" si="40"/>
        <v>64.829921296688497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53.661203169142787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9.6</v>
      </c>
      <c r="CT20" s="12">
        <f>IF('Données projet'!$A$140&gt;35,CT19+CS20-DB19,IF(A20&lt;'Données projet'!$A$140,$CQ$205^A20,IF(A20='Données projet'!$A$140,'Données projet'!$B$140,CT19+CS20-DB19)))</f>
        <v>56.2</v>
      </c>
      <c r="CU20" s="17">
        <f>CT20*VLOOKUP('Données projet'!$B$13,Paramètres!$A$1:$I$89,3,0)*VLOOKUP('Données projet'!$B$13,Paramètres!$A$1:$I$89,5,0)</f>
        <v>43.836000000000006</v>
      </c>
      <c r="CV20" s="13">
        <f t="shared" si="41"/>
        <v>13.009897179721728</v>
      </c>
      <c r="CW20" s="20">
        <f t="shared" si="13"/>
        <v>99.006604254682017</v>
      </c>
      <c r="CX20" s="59">
        <f t="shared" si="14"/>
        <v>316.54212698598332</v>
      </c>
      <c r="CY20" s="59">
        <f ca="1">AVERAGE(OFFSET($CX$3,0,0,'Données projet'!$E$13+1,1))-AVERAGE(OFFSET($H$3,0,0,'Données projet'!$E$13+1,1))</f>
        <v>306.44760579759713</v>
      </c>
      <c r="CZ20" s="59">
        <f t="shared" si="42"/>
        <v>300.30192123221718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53.661203169142787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53.661203169142787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53.661203169142787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53.661203169142787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53.661203169142787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4.4000000000000004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16.133333333333336</v>
      </c>
      <c r="H21" s="67">
        <f t="shared" si="1"/>
        <v>192.13333333333333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53.944644766080749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13.25</v>
      </c>
      <c r="N21" s="13">
        <f>IF('Données projet'!$A$36&gt;35,N20+M21-V20,IF(A21&lt;'Données projet'!$A$36,$K$205^A21,IF(A21='Données projet'!$A$36,'Données projet'!$B$36,N20+M21-V20)))</f>
        <v>92.8</v>
      </c>
      <c r="O21" s="13">
        <f>N21*VLOOKUP('Données projet'!$B$9,Paramètres!$A$1:$I$89,3,0)*VLOOKUP('Données projet'!$B$9,Paramètres!$A$1:$I$89,5,0)</f>
        <v>55.494400000000006</v>
      </c>
      <c r="P21" s="13">
        <f t="shared" si="33"/>
        <v>16.023988434505792</v>
      </c>
      <c r="Q21" s="20">
        <f t="shared" si="2"/>
        <v>124.5611931900976</v>
      </c>
      <c r="R21" s="59">
        <f t="shared" si="0"/>
        <v>344.35822399906033</v>
      </c>
      <c r="S21" s="59">
        <f ca="1">AVERAGE(OFFSET($R$3,0,0,'Données projet'!$E$9+1,1))-AVERAGE(OFFSET($H$3,0,0,'Données projet'!$E$9+1,1))</f>
        <v>299.45724561493057</v>
      </c>
      <c r="T21" s="59">
        <f t="shared" si="34"/>
        <v>297.63369027443196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4.9786089075206661</v>
      </c>
      <c r="AB21" s="21">
        <f>EXP(-LN(2)/2)*AB20+(1-EXP(-LN(2)/2))/(LN(2)/2)*V21*Y21*VLOOKUP('Données projet'!$B$9,Paramètres!$A$1:$I$89,3,0)*0.475*44/12</f>
        <v>0</v>
      </c>
      <c r="AC21" s="22">
        <f t="shared" si="3"/>
        <v>4.9786089075206661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53.944644766080749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10.119999999999999</v>
      </c>
      <c r="AI21" s="13">
        <f>IF('Données projet'!$A$62&gt;35,AI20+AH21-AQ20,IF(A21&lt;'Données projet'!$A$62,$AF$205^A21,IF(A21='Données projet'!$A$62,'Données projet'!$B$62,AI20+AH21-AQ20)))</f>
        <v>53.733703583035215</v>
      </c>
      <c r="AJ21" s="13">
        <f>AI21*VLOOKUP('Données projet'!$B$10,Paramètres!$A$1:$I$89,3,0)*VLOOKUP('Données projet'!$B$10,Paramètres!$A$1:$I$89,5,0)</f>
        <v>30.037140302916686</v>
      </c>
      <c r="AK21" s="13">
        <f t="shared" si="35"/>
        <v>9.315607651522777</v>
      </c>
      <c r="AL21" s="20">
        <f t="shared" si="4"/>
        <v>68.539369353982067</v>
      </c>
      <c r="AM21" s="59">
        <f t="shared" si="5"/>
        <v>288.33640016294481</v>
      </c>
      <c r="AN21" s="59">
        <f ca="1">AVERAGE(OFFSET($AM$3,0,0,'Données projet'!$E$10+1,1))-AVERAGE(OFFSET($H$3,0,0,'Données projet'!$E$10+1,1))</f>
        <v>363.98181065114898</v>
      </c>
      <c r="AO21" s="59">
        <f t="shared" si="36"/>
        <v>410.85213343666396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53.944644766080749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5.044827586206897</v>
      </c>
      <c r="BD21" s="12">
        <f>IF('Données projet'!$A$88&gt;35,BD20+BC21-BL20,IF(A21&lt;'Données projet'!$A$88,$BA$205^A21,IF(A21='Données projet'!$A$88,'Données projet'!$B$88,BD20+BC21-BL20)))</f>
        <v>22.077238744028008</v>
      </c>
      <c r="BE21" s="13">
        <f>BD21*VLOOKUP('Données projet'!$B$11,Paramètres!$A$1:$I$89,3,0)*VLOOKUP('Données projet'!$B$11,Paramètres!$A$1:$I$89,5,0)</f>
        <v>19.286675766782871</v>
      </c>
      <c r="BF21" s="13">
        <f t="shared" si="37"/>
        <v>6.2980410268647766</v>
      </c>
      <c r="BG21" s="20">
        <f t="shared" si="7"/>
        <v>44.560048415602985</v>
      </c>
      <c r="BH21" s="59">
        <f t="shared" si="8"/>
        <v>264.35707922456572</v>
      </c>
      <c r="BI21" s="59">
        <f ca="1">AVERAGE(OFFSET($BH$3,0,0,'Données projet'!$E$11+1,1))-AVERAGE(OFFSET($H$3,0,0,'Données projet'!$E$11+1,1))</f>
        <v>433.6995276469014</v>
      </c>
      <c r="BJ21" s="59">
        <f t="shared" si="38"/>
        <v>306.37969720280557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53.944644766080749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0.16216216216216217</v>
      </c>
      <c r="BY21" s="12">
        <f>IF('Données projet'!$A$114&gt;35,BY20+BX21-CG20,IF(A21&lt;'Données projet'!$A$114,$BV$205^A21,IF(A21='Données projet'!$A$114,'Données projet'!$B$114,BY20+BX21-CG20)))</f>
        <v>2.9189189189189202</v>
      </c>
      <c r="BZ21" s="13">
        <f>BY21*VLOOKUP('Données projet'!$B$12,Paramètres!$A$1:$I$89,3,0)*VLOOKUP('Données projet'!$B$12,Paramètres!$A$1:$I$89,5,0)</f>
        <v>2.8231783783783797</v>
      </c>
      <c r="CA21" s="13">
        <f t="shared" si="39"/>
        <v>1.1529870880184498</v>
      </c>
      <c r="CB21" s="20">
        <f t="shared" si="10"/>
        <v>6.9251548539744787</v>
      </c>
      <c r="CC21" s="59">
        <f t="shared" si="11"/>
        <v>226.72218566293722</v>
      </c>
      <c r="CD21" s="59">
        <f ca="1">AVERAGE(OFFSET($CC$3,0,0,'Données projet'!$E$12+1,1))-AVERAGE(OFFSET($H$3,0,0,'Données projet'!$E$12+1,1))</f>
        <v>455.95436253828132</v>
      </c>
      <c r="CE21" s="59">
        <f t="shared" si="40"/>
        <v>64.829921296688497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53.944644766080749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9.6</v>
      </c>
      <c r="CT21" s="12">
        <f>IF('Données projet'!$A$140&gt;35,CT20+CS21-DB20,IF(A21&lt;'Données projet'!$A$140,$CQ$205^A21,IF(A21='Données projet'!$A$140,'Données projet'!$B$140,CT20+CS21-DB20)))</f>
        <v>65.8</v>
      </c>
      <c r="CU21" s="17">
        <f>CT21*VLOOKUP('Données projet'!$B$13,Paramètres!$A$1:$I$89,3,0)*VLOOKUP('Données projet'!$B$13,Paramètres!$A$1:$I$89,5,0)</f>
        <v>51.323999999999998</v>
      </c>
      <c r="CV21" s="13">
        <f t="shared" si="41"/>
        <v>14.95516659950003</v>
      </c>
      <c r="CW21" s="20">
        <f t="shared" si="13"/>
        <v>115.43621516079588</v>
      </c>
      <c r="CX21" s="59">
        <f t="shared" si="14"/>
        <v>335.23324596975863</v>
      </c>
      <c r="CY21" s="59">
        <f ca="1">AVERAGE(OFFSET($CX$3,0,0,'Données projet'!$E$13+1,1))-AVERAGE(OFFSET($H$3,0,0,'Données projet'!$E$13+1,1))</f>
        <v>306.44760579759713</v>
      </c>
      <c r="CZ21" s="59">
        <f t="shared" si="42"/>
        <v>300.30192123221718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53.944644766080749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53.944644766080749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53.944644766080749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53.944644766080749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53.944644766080749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4.4000000000000004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16.133333333333336</v>
      </c>
      <c r="H22" s="67">
        <f t="shared" si="1"/>
        <v>192.13333333333333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54.223169284992316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13.25</v>
      </c>
      <c r="N22" s="13">
        <f>IF('Données projet'!$A$36&gt;35,N21+M22-V21,IF(A22&lt;'Données projet'!$A$36,$K$205^A22,IF(A22='Données projet'!$A$36,'Données projet'!$B$36,N21+M22-V21)))</f>
        <v>106.05</v>
      </c>
      <c r="O22" s="13">
        <f>N22*VLOOKUP('Données projet'!$B$9,Paramètres!$A$1:$I$89,3,0)*VLOOKUP('Données projet'!$B$9,Paramètres!$A$1:$I$89,5,0)</f>
        <v>63.417900000000003</v>
      </c>
      <c r="P22" s="13">
        <f t="shared" si="33"/>
        <v>18.029615355832913</v>
      </c>
      <c r="Q22" s="20">
        <f t="shared" si="2"/>
        <v>141.85442257807566</v>
      </c>
      <c r="R22" s="59">
        <f t="shared" si="0"/>
        <v>363.89493217860303</v>
      </c>
      <c r="S22" s="59">
        <f ca="1">AVERAGE(OFFSET($R$3,0,0,'Données projet'!$E$9+1,1))-AVERAGE(OFFSET($H$3,0,0,'Données projet'!$E$9+1,1))</f>
        <v>299.45724561493057</v>
      </c>
      <c r="T22" s="59">
        <f t="shared" si="34"/>
        <v>297.63369027443196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4.8424685851308498</v>
      </c>
      <c r="AB22" s="21">
        <f>EXP(-LN(2)/2)*AB21+(1-EXP(-LN(2)/2))/(LN(2)/2)*V22*Y22*VLOOKUP('Données projet'!$B$9,Paramètres!$A$1:$I$89,3,0)*0.475*44/12</f>
        <v>0</v>
      </c>
      <c r="AC22" s="22">
        <f t="shared" si="3"/>
        <v>4.8424685851308498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54.223169284992316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10.119999999999999</v>
      </c>
      <c r="AI22" s="13">
        <f>IF('Données projet'!$A$62&gt;35,AI21+AH22-AQ21,IF(A22&lt;'Données projet'!$A$62,$AF$205^A22,IF(A22='Données projet'!$A$62,'Données projet'!$B$62,AI21+AH22-AQ21)))</f>
        <v>67.045802915702126</v>
      </c>
      <c r="AJ22" s="13">
        <f>AI22*VLOOKUP('Données projet'!$B$10,Paramètres!$A$1:$I$89,3,0)*VLOOKUP('Données projet'!$B$10,Paramètres!$A$1:$I$89,5,0)</f>
        <v>37.478603829877493</v>
      </c>
      <c r="AK22" s="13">
        <f t="shared" si="35"/>
        <v>11.3278393329661</v>
      </c>
      <c r="AL22" s="20">
        <f t="shared" si="4"/>
        <v>85.004555175285915</v>
      </c>
      <c r="AM22" s="59">
        <f t="shared" si="5"/>
        <v>307.04506477581327</v>
      </c>
      <c r="AN22" s="59">
        <f ca="1">AVERAGE(OFFSET($AM$3,0,0,'Données projet'!$E$10+1,1))-AVERAGE(OFFSET($H$3,0,0,'Données projet'!$E$10+1,1))</f>
        <v>363.98181065114898</v>
      </c>
      <c r="AO22" s="59">
        <f t="shared" si="36"/>
        <v>410.85213343666396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54.223169284992316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5.044827586206897</v>
      </c>
      <c r="BD22" s="12">
        <f>IF('Données projet'!$A$88&gt;35,BD21+BC22-BL21,IF(A22&lt;'Données projet'!$A$88,$BA$205^A22,IF(A22='Données projet'!$A$88,'Données projet'!$B$88,BD21+BC22-BL21)))</f>
        <v>26.218530799634255</v>
      </c>
      <c r="BE22" s="13">
        <f>BD22*VLOOKUP('Données projet'!$B$11,Paramètres!$A$1:$I$89,3,0)*VLOOKUP('Données projet'!$B$11,Paramètres!$A$1:$I$89,5,0)</f>
        <v>22.904508506560489</v>
      </c>
      <c r="BF22" s="13">
        <f t="shared" si="37"/>
        <v>7.3312535559775398</v>
      </c>
      <c r="BG22" s="20">
        <f t="shared" si="7"/>
        <v>52.660618925587066</v>
      </c>
      <c r="BH22" s="59">
        <f t="shared" si="8"/>
        <v>274.70112852611442</v>
      </c>
      <c r="BI22" s="59">
        <f ca="1">AVERAGE(OFFSET($BH$3,0,0,'Données projet'!$E$11+1,1))-AVERAGE(OFFSET($H$3,0,0,'Données projet'!$E$11+1,1))</f>
        <v>433.6995276469014</v>
      </c>
      <c r="BJ22" s="59">
        <f t="shared" si="38"/>
        <v>306.37969720280557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54.223169284992316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0.16216216216216217</v>
      </c>
      <c r="BY22" s="12">
        <f>IF('Données projet'!$A$114&gt;35,BY21+BX22-CG21,IF(A22&lt;'Données projet'!$A$114,$BV$205^A22,IF(A22='Données projet'!$A$114,'Données projet'!$B$114,BY21+BX22-CG21)))</f>
        <v>3.0810810810810825</v>
      </c>
      <c r="BZ22" s="13">
        <f>BY22*VLOOKUP('Données projet'!$B$12,Paramètres!$A$1:$I$89,3,0)*VLOOKUP('Données projet'!$B$12,Paramètres!$A$1:$I$89,5,0)</f>
        <v>2.9800216216216233</v>
      </c>
      <c r="CA22" s="13">
        <f t="shared" si="39"/>
        <v>1.2094066160230705</v>
      </c>
      <c r="CB22" s="20">
        <f t="shared" si="10"/>
        <v>7.2965875138978413</v>
      </c>
      <c r="CC22" s="59">
        <f t="shared" si="11"/>
        <v>229.33709711442521</v>
      </c>
      <c r="CD22" s="59">
        <f ca="1">AVERAGE(OFFSET($CC$3,0,0,'Données projet'!$E$12+1,1))-AVERAGE(OFFSET($H$3,0,0,'Données projet'!$E$12+1,1))</f>
        <v>455.95436253828132</v>
      </c>
      <c r="CE22" s="59">
        <f t="shared" si="40"/>
        <v>64.829921296688497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54.223169284992316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9.6</v>
      </c>
      <c r="CT22" s="12">
        <f>IF('Données projet'!$A$140&gt;35,CT21+CS22-DB21,IF(A22&lt;'Données projet'!$A$140,$CQ$205^A22,IF(A22='Données projet'!$A$140,'Données projet'!$B$140,CT21+CS22-DB21)))</f>
        <v>75.399999999999991</v>
      </c>
      <c r="CU22" s="17">
        <f>CT22*VLOOKUP('Données projet'!$B$13,Paramètres!$A$1:$I$89,3,0)*VLOOKUP('Données projet'!$B$13,Paramètres!$A$1:$I$89,5,0)</f>
        <v>58.811999999999998</v>
      </c>
      <c r="CV22" s="13">
        <f t="shared" si="41"/>
        <v>16.86755663452599</v>
      </c>
      <c r="CW22" s="20">
        <f t="shared" si="13"/>
        <v>131.8085611384661</v>
      </c>
      <c r="CX22" s="59">
        <f t="shared" si="14"/>
        <v>353.84907073899348</v>
      </c>
      <c r="CY22" s="59">
        <f ca="1">AVERAGE(OFFSET($CX$3,0,0,'Données projet'!$E$13+1,1))-AVERAGE(OFFSET($H$3,0,0,'Données projet'!$E$13+1,1))</f>
        <v>306.44760579759713</v>
      </c>
      <c r="CZ22" s="59">
        <f t="shared" si="42"/>
        <v>300.30192123221718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54.223169284992316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54.223169284992316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54.223169284992316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54.223169284992316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54.223169284992316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4.4000000000000004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16.133333333333336</v>
      </c>
      <c r="H23" s="67">
        <f t="shared" si="1"/>
        <v>192.13333333333333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54.496862026188303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119.3</v>
      </c>
      <c r="L23" s="12">
        <f>VLOOKUP(A23,'Données projet'!$A$35:$I$55,9,0)</f>
        <v>13.25</v>
      </c>
      <c r="M23" s="12">
        <f t="array" ref="M23">INDEX(L:L,MIN(IF(ISNUMBER(L23:L219),ROW(L23:L219),"")))</f>
        <v>13.25</v>
      </c>
      <c r="N23" s="13">
        <f>IF('Données projet'!$A$36&gt;35,N22+M23-V22,IF(A23&lt;'Données projet'!$A$36,$K$205^A23,IF(A23='Données projet'!$A$36,'Données projet'!$B$36,N22+M23-V22)))</f>
        <v>119.3</v>
      </c>
      <c r="O23" s="13">
        <f>N23*VLOOKUP('Données projet'!$B$9,Paramètres!$A$1:$I$89,3,0)*VLOOKUP('Données projet'!$B$9,Paramètres!$A$1:$I$89,5,0)</f>
        <v>71.341400000000007</v>
      </c>
      <c r="P23" s="13">
        <f t="shared" si="33"/>
        <v>20.006205573016342</v>
      </c>
      <c r="Q23" s="20">
        <f t="shared" si="2"/>
        <v>159.09707970633681</v>
      </c>
      <c r="R23" s="59">
        <f t="shared" si="0"/>
        <v>383.36335158013833</v>
      </c>
      <c r="S23" s="59">
        <f ca="1">AVERAGE(OFFSET($R$3,0,0,'Données projet'!$E$9+1,1))-AVERAGE(OFFSET($H$3,0,0,'Données projet'!$E$9+1,1))</f>
        <v>299.45724561493057</v>
      </c>
      <c r="T23" s="59">
        <f t="shared" si="34"/>
        <v>297.63369027443196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22.1</v>
      </c>
      <c r="W23" s="16">
        <f>IF(ISNA(VLOOKUP(A23,'Données projet'!$A$35:$I$55,5,0)),0%,VLOOKUP(A23,'Données projet'!$A$35:$I$55,5,0)*VLOOKUP('Données projet'!$B$9,Paramètres!$A$1:$I$89,7,0))</f>
        <v>4.5000000000000005E-2</v>
      </c>
      <c r="X23" s="16">
        <f>IF(ISNA(VLOOKUP(A23,'Données projet'!$A$35:$I$55,6,0)),0%,VLOOKUP(A23,'Données projet'!$A$35:$I$55,6,0)*VLOOKUP('Données projet'!$B$9,Paramètres!$A$1:$I$89,7,0))</f>
        <v>0.36000000000000004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0.78892247385890446</v>
      </c>
      <c r="AA23" s="21">
        <f>EXP(-LN(2)/25)*AA22+(1-EXP(-LN(2)/25))/(LN(2)/25)*Calculateur!V23*Calculateur!X23*VLOOKUP('Données projet'!$B$9,Paramètres!$A$1:$I$89,3,0)*0.475*44/12</f>
        <v>10.996580510826433</v>
      </c>
      <c r="AB23" s="21">
        <f>EXP(-LN(2)/2)*AB22+(1-EXP(-LN(2)/2))/(LN(2)/2)*V23*Y23*VLOOKUP('Données projet'!$B$9,Paramètres!$A$1:$I$89,3,0)*0.475*44/12</f>
        <v>0</v>
      </c>
      <c r="AC23" s="22">
        <f t="shared" si="3"/>
        <v>11.785502984685337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54.496862026188303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10.119999999999999</v>
      </c>
      <c r="AI23" s="13">
        <f>IF('Données projet'!$A$62&gt;35,AI22+AH23-AQ22,IF(A23&lt;'Données projet'!$A$62,$AF$205^A23,IF(A23='Données projet'!$A$62,'Données projet'!$B$62,AI22+AH23-AQ22)))</f>
        <v>83.655869386795359</v>
      </c>
      <c r="AJ23" s="13">
        <f>AI23*VLOOKUP('Données projet'!$B$10,Paramètres!$A$1:$I$89,3,0)*VLOOKUP('Données projet'!$B$10,Paramètres!$A$1:$I$89,5,0)</f>
        <v>46.763630987218605</v>
      </c>
      <c r="AK23" s="13">
        <f t="shared" si="35"/>
        <v>13.774726110595493</v>
      </c>
      <c r="AL23" s="20">
        <f t="shared" si="4"/>
        <v>105.43763861202622</v>
      </c>
      <c r="AM23" s="59">
        <f t="shared" si="5"/>
        <v>329.70391048582775</v>
      </c>
      <c r="AN23" s="59">
        <f ca="1">AVERAGE(OFFSET($AM$3,0,0,'Données projet'!$E$10+1,1))-AVERAGE(OFFSET($H$3,0,0,'Données projet'!$E$10+1,1))</f>
        <v>363.98181065114898</v>
      </c>
      <c r="AO23" s="59">
        <f t="shared" si="36"/>
        <v>410.85213343666396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54.496862026188303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5.044827586206897</v>
      </c>
      <c r="BD23" s="12">
        <f>IF('Données projet'!$A$88&gt;35,BD22+BC23-BL22,IF(A23&lt;'Données projet'!$A$88,$BA$205^A23,IF(A23='Données projet'!$A$88,'Données projet'!$B$88,BD22+BC23-BL22)))</f>
        <v>31.136654599856513</v>
      </c>
      <c r="BE23" s="13">
        <f>BD23*VLOOKUP('Données projet'!$B$11,Paramètres!$A$1:$I$89,3,0)*VLOOKUP('Données projet'!$B$11,Paramètres!$A$1:$I$89,5,0)</f>
        <v>27.200981458434654</v>
      </c>
      <c r="BF23" s="13">
        <f t="shared" si="37"/>
        <v>8.5339677008724042</v>
      </c>
      <c r="BG23" s="20">
        <f t="shared" si="7"/>
        <v>62.238369785793118</v>
      </c>
      <c r="BH23" s="59">
        <f t="shared" si="8"/>
        <v>286.50464165959465</v>
      </c>
      <c r="BI23" s="59">
        <f ca="1">AVERAGE(OFFSET($BH$3,0,0,'Données projet'!$E$11+1,1))-AVERAGE(OFFSET($H$3,0,0,'Données projet'!$E$11+1,1))</f>
        <v>433.6995276469014</v>
      </c>
      <c r="BJ23" s="59">
        <f t="shared" si="38"/>
        <v>306.37969720280557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54.496862026188303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0.16216216216216217</v>
      </c>
      <c r="BY23" s="12">
        <f>IF('Données projet'!$A$114&gt;35,BY22+BX23-CG22,IF(A23&lt;'Données projet'!$A$114,$BV$205^A23,IF(A23='Données projet'!$A$114,'Données projet'!$B$114,BY22+BX23-CG22)))</f>
        <v>3.2432432432432448</v>
      </c>
      <c r="BZ23" s="13">
        <f>BY23*VLOOKUP('Données projet'!$B$12,Paramètres!$A$1:$I$89,3,0)*VLOOKUP('Données projet'!$B$12,Paramètres!$A$1:$I$89,5,0)</f>
        <v>3.136864864864866</v>
      </c>
      <c r="CA23" s="13">
        <f t="shared" si="39"/>
        <v>1.2654813887575331</v>
      </c>
      <c r="CB23" s="20">
        <f t="shared" si="10"/>
        <v>7.6674197250590117</v>
      </c>
      <c r="CC23" s="59">
        <f t="shared" si="11"/>
        <v>231.93369159886055</v>
      </c>
      <c r="CD23" s="59">
        <f ca="1">AVERAGE(OFFSET($CC$3,0,0,'Données projet'!$E$12+1,1))-AVERAGE(OFFSET($H$3,0,0,'Données projet'!$E$12+1,1))</f>
        <v>455.95436253828132</v>
      </c>
      <c r="CE23" s="59">
        <f t="shared" si="40"/>
        <v>64.829921296688497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54.496862026188303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85</v>
      </c>
      <c r="CR23" s="12">
        <f>VLOOKUP(A23,'Données projet'!$A$139:$I$159,9,0)</f>
        <v>9.6</v>
      </c>
      <c r="CS23" s="12">
        <f t="array" ref="CS23">INDEX(CR:CR,MIN(IF(ISNUMBER(CR23:CR219),ROW(CR23:CR219),"")))</f>
        <v>9.6</v>
      </c>
      <c r="CT23" s="12">
        <f>IF('Données projet'!$A$140&gt;35,CT22+CS23-DB22,IF(A23&lt;'Données projet'!$A$140,$CQ$205^A23,IF(A23='Données projet'!$A$140,'Données projet'!$B$140,CT22+CS23-DB22)))</f>
        <v>84.999999999999986</v>
      </c>
      <c r="CU23" s="17">
        <f>CT23*VLOOKUP('Données projet'!$B$13,Paramètres!$A$1:$I$89,3,0)*VLOOKUP('Données projet'!$B$13,Paramètres!$A$1:$I$89,5,0)</f>
        <v>66.3</v>
      </c>
      <c r="CV23" s="13">
        <f t="shared" si="41"/>
        <v>18.751733344032118</v>
      </c>
      <c r="CW23" s="20">
        <f t="shared" si="13"/>
        <v>148.13176890752257</v>
      </c>
      <c r="CX23" s="59">
        <f t="shared" si="14"/>
        <v>372.39804078132408</v>
      </c>
      <c r="CY23" s="59">
        <f ca="1">AVERAGE(OFFSET($CX$3,0,0,'Données projet'!$E$13+1,1))-AVERAGE(OFFSET($H$3,0,0,'Données projet'!$E$13+1,1))</f>
        <v>306.44760579759713</v>
      </c>
      <c r="CZ23" s="59">
        <f t="shared" si="42"/>
        <v>300.30192123221718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25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54.496862026188303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54.496862026188303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54.496862026188303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54.496862026188303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54.496862026188303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4.4000000000000004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16.133333333333336</v>
      </c>
      <c r="H24" s="67">
        <f t="shared" si="1"/>
        <v>192.13333333333333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54.765806810209845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14.825000000000003</v>
      </c>
      <c r="N24" s="13">
        <f>IF('Données projet'!$A$36&gt;35,N23+M24-V23,IF(A24&lt;'Données projet'!$A$36,$K$205^A24,IF(A24='Données projet'!$A$36,'Données projet'!$B$36,N23+M24-V23)))</f>
        <v>112.02500000000001</v>
      </c>
      <c r="O24" s="13">
        <f>N24*VLOOKUP('Données projet'!$B$9,Paramètres!$A$1:$I$89,3,0)*VLOOKUP('Données projet'!$B$9,Paramètres!$A$1:$I$89,5,0)</f>
        <v>66.990950000000012</v>
      </c>
      <c r="P24" s="13">
        <f t="shared" si="33"/>
        <v>18.924304314053057</v>
      </c>
      <c r="Q24" s="20">
        <f t="shared" si="2"/>
        <v>149.63573459697577</v>
      </c>
      <c r="R24" s="59">
        <f t="shared" si="0"/>
        <v>376.11035956774521</v>
      </c>
      <c r="S24" s="59">
        <f ca="1">AVERAGE(OFFSET($R$3,0,0,'Données projet'!$E$9+1,1))-AVERAGE(OFFSET($H$3,0,0,'Données projet'!$E$9+1,1))</f>
        <v>299.45724561493057</v>
      </c>
      <c r="T24" s="59">
        <f t="shared" si="34"/>
        <v>297.63369027443196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0.77345218534172633</v>
      </c>
      <c r="AA24" s="21">
        <f>EXP(-LN(2)/25)*AA23+(1-EXP(-LN(2)/25))/(LN(2)/25)*Calculateur!V24*Calculateur!X24*VLOOKUP('Données projet'!$B$9,Paramètres!$A$1:$I$89,3,0)*0.475*44/12</f>
        <v>10.695878438472848</v>
      </c>
      <c r="AB24" s="21">
        <f>EXP(-LN(2)/2)*AB23+(1-EXP(-LN(2)/2))/(LN(2)/2)*V24*Y24*VLOOKUP('Données projet'!$B$9,Paramètres!$A$1:$I$89,3,0)*0.475*44/12</f>
        <v>0</v>
      </c>
      <c r="AC24" s="22">
        <f t="shared" si="3"/>
        <v>11.469330623814574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54.765806810209845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10.119999999999999</v>
      </c>
      <c r="AI24" s="13">
        <f>IF('Données projet'!$A$62&gt;35,AI23+AH24-AQ23,IF(A24&lt;'Données projet'!$A$62,$AF$205^A24,IF(A24='Données projet'!$A$62,'Données projet'!$B$62,AI23+AH24-AQ23)))</f>
        <v>104.38094822519551</v>
      </c>
      <c r="AJ24" s="13">
        <f>AI24*VLOOKUP('Données projet'!$B$10,Paramètres!$A$1:$I$89,3,0)*VLOOKUP('Données projet'!$B$10,Paramètres!$A$1:$I$89,5,0)</f>
        <v>58.348950057884295</v>
      </c>
      <c r="AK24" s="13">
        <f t="shared" si="35"/>
        <v>16.750156304718573</v>
      </c>
      <c r="AL24" s="20">
        <f t="shared" si="4"/>
        <v>130.79761024819999</v>
      </c>
      <c r="AM24" s="59">
        <f t="shared" si="5"/>
        <v>357.2722352189694</v>
      </c>
      <c r="AN24" s="59">
        <f ca="1">AVERAGE(OFFSET($AM$3,0,0,'Données projet'!$E$10+1,1))-AVERAGE(OFFSET($H$3,0,0,'Données projet'!$E$10+1,1))</f>
        <v>363.98181065114898</v>
      </c>
      <c r="AO24" s="59">
        <f t="shared" si="36"/>
        <v>410.85213343666396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54.765806810209845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5.044827586206897</v>
      </c>
      <c r="BD24" s="12">
        <f>IF('Données projet'!$A$88&gt;35,BD23+BC24-BL23,IF(A24&lt;'Données projet'!$A$88,$BA$205^A24,IF(A24='Données projet'!$A$88,'Données projet'!$B$88,BD23+BC24-BL23)))</f>
        <v>36.977329777925235</v>
      </c>
      <c r="BE24" s="13">
        <f>BD24*VLOOKUP('Données projet'!$B$11,Paramètres!$A$1:$I$89,3,0)*VLOOKUP('Données projet'!$B$11,Paramètres!$A$1:$I$89,5,0)</f>
        <v>32.303395293995493</v>
      </c>
      <c r="BF24" s="13">
        <f t="shared" si="37"/>
        <v>9.933990710245272</v>
      </c>
      <c r="BG24" s="20">
        <f t="shared" si="7"/>
        <v>73.56344729071931</v>
      </c>
      <c r="BH24" s="59">
        <f t="shared" si="8"/>
        <v>300.03807226148876</v>
      </c>
      <c r="BI24" s="59">
        <f ca="1">AVERAGE(OFFSET($BH$3,0,0,'Données projet'!$E$11+1,1))-AVERAGE(OFFSET($H$3,0,0,'Données projet'!$E$11+1,1))</f>
        <v>433.6995276469014</v>
      </c>
      <c r="BJ24" s="59">
        <f t="shared" si="38"/>
        <v>306.37969720280557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54.765806810209845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0.16216216216216217</v>
      </c>
      <c r="BY24" s="12">
        <f>IF('Données projet'!$A$114&gt;35,BY23+BX24-CG23,IF(A24&lt;'Données projet'!$A$114,$BV$205^A24,IF(A24='Données projet'!$A$114,'Données projet'!$B$114,BY23+BX24-CG23)))</f>
        <v>3.405405405405407</v>
      </c>
      <c r="BZ24" s="13">
        <f>BY24*VLOOKUP('Données projet'!$B$12,Paramètres!$A$1:$I$89,3,0)*VLOOKUP('Données projet'!$B$12,Paramètres!$A$1:$I$89,5,0)</f>
        <v>3.2937081081081101</v>
      </c>
      <c r="CA24" s="13">
        <f t="shared" si="39"/>
        <v>1.3212306109583325</v>
      </c>
      <c r="CB24" s="20">
        <f t="shared" si="10"/>
        <v>8.0376849357073858</v>
      </c>
      <c r="CC24" s="59">
        <f t="shared" si="11"/>
        <v>234.51230990647682</v>
      </c>
      <c r="CD24" s="59">
        <f ca="1">AVERAGE(OFFSET($CC$3,0,0,'Données projet'!$E$12+1,1))-AVERAGE(OFFSET($H$3,0,0,'Données projet'!$E$12+1,1))</f>
        <v>455.95436253828132</v>
      </c>
      <c r="CE24" s="59">
        <f t="shared" si="40"/>
        <v>64.829921296688497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54.765806810209845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10.6</v>
      </c>
      <c r="CT24" s="12">
        <f>IF('Données projet'!$A$140&gt;35,CT23+CS24-DB23,IF(A24&lt;'Données projet'!$A$140,$CQ$205^A24,IF(A24='Données projet'!$A$140,'Données projet'!$B$140,CT23+CS24-DB23)))</f>
        <v>70.59999999999998</v>
      </c>
      <c r="CU24" s="17">
        <f>CT24*VLOOKUP('Données projet'!$B$13,Paramètres!$A$1:$I$89,3,0)*VLOOKUP('Données projet'!$B$13,Paramètres!$A$1:$I$89,5,0)</f>
        <v>55.067999999999984</v>
      </c>
      <c r="CV24" s="13">
        <f t="shared" si="41"/>
        <v>15.915148294580479</v>
      </c>
      <c r="CW24" s="20">
        <f t="shared" si="13"/>
        <v>123.62898327972762</v>
      </c>
      <c r="CX24" s="59">
        <f t="shared" si="14"/>
        <v>350.10360825049708</v>
      </c>
      <c r="CY24" s="59">
        <f ca="1">AVERAGE(OFFSET($CX$3,0,0,'Données projet'!$E$13+1,1))-AVERAGE(OFFSET($H$3,0,0,'Données projet'!$E$13+1,1))</f>
        <v>306.44760579759713</v>
      </c>
      <c r="CZ24" s="59">
        <f t="shared" si="42"/>
        <v>300.30192123221718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54.765806810209845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54.765806810209845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54.765806810209845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54.765806810209845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54.765806810209845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4.4000000000000004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16.133333333333336</v>
      </c>
      <c r="H25" s="67">
        <f t="shared" si="1"/>
        <v>192.13333333333333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55.030086003499072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14.825000000000003</v>
      </c>
      <c r="N25" s="13">
        <f>IF('Données projet'!$A$36&gt;35,N24+M25-V24,IF(A25&lt;'Données projet'!$A$36,$K$205^A25,IF(A25='Données projet'!$A$36,'Données projet'!$B$36,N24+M25-V24)))</f>
        <v>126.85000000000001</v>
      </c>
      <c r="O25" s="13">
        <f>N25*VLOOKUP('Données projet'!$B$9,Paramètres!$A$1:$I$89,3,0)*VLOOKUP('Données projet'!$B$9,Paramètres!$A$1:$I$89,5,0)</f>
        <v>75.856300000000005</v>
      </c>
      <c r="P25" s="13">
        <f t="shared" si="33"/>
        <v>21.120913197721471</v>
      </c>
      <c r="Q25" s="20">
        <f t="shared" si="2"/>
        <v>168.90197965269823</v>
      </c>
      <c r="R25" s="59">
        <f t="shared" si="0"/>
        <v>397.56785055441708</v>
      </c>
      <c r="S25" s="59">
        <f ca="1">AVERAGE(OFFSET($R$3,0,0,'Données projet'!$E$9+1,1))-AVERAGE(OFFSET($H$3,0,0,'Données projet'!$E$9+1,1))</f>
        <v>299.45724561493057</v>
      </c>
      <c r="T25" s="59">
        <f t="shared" si="34"/>
        <v>297.63369027443196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0.7582852597464258</v>
      </c>
      <c r="AA25" s="21">
        <f>EXP(-LN(2)/25)*AA24+(1-EXP(-LN(2)/25))/(LN(2)/25)*Calculateur!V25*Calculateur!X25*VLOOKUP('Données projet'!$B$9,Paramètres!$A$1:$I$89,3,0)*0.475*44/12</f>
        <v>10.403399080101007</v>
      </c>
      <c r="AB25" s="21">
        <f>EXP(-LN(2)/2)*AB24+(1-EXP(-LN(2)/2))/(LN(2)/2)*V25*Y25*VLOOKUP('Données projet'!$B$9,Paramètres!$A$1:$I$89,3,0)*0.475*44/12</f>
        <v>0</v>
      </c>
      <c r="AC25" s="22">
        <f t="shared" si="3"/>
        <v>11.161684339847433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55.030086003499072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10.119999999999999</v>
      </c>
      <c r="AI25" s="13">
        <f>IF('Données projet'!$A$62&gt;35,AI24+AH25-AQ24,IF(A25&lt;'Données projet'!$A$62,$AF$205^A25,IF(A25='Données projet'!$A$62,'Données projet'!$B$62,AI24+AH25-AQ24)))</f>
        <v>130.24050114182094</v>
      </c>
      <c r="AJ25" s="13">
        <f>AI25*VLOOKUP('Données projet'!$B$10,Paramètres!$A$1:$I$89,3,0)*VLOOKUP('Données projet'!$B$10,Paramètres!$A$1:$I$89,5,0)</f>
        <v>72.804440138277911</v>
      </c>
      <c r="AK25" s="13">
        <f t="shared" si="35"/>
        <v>20.368298721866509</v>
      </c>
      <c r="AL25" s="20">
        <f t="shared" si="4"/>
        <v>162.27585351475153</v>
      </c>
      <c r="AM25" s="59">
        <f t="shared" si="5"/>
        <v>390.94172441647038</v>
      </c>
      <c r="AN25" s="59">
        <f ca="1">AVERAGE(OFFSET($AM$3,0,0,'Données projet'!$E$10+1,1))-AVERAGE(OFFSET($H$3,0,0,'Données projet'!$E$10+1,1))</f>
        <v>363.98181065114898</v>
      </c>
      <c r="AO25" s="59">
        <f t="shared" si="36"/>
        <v>410.85213343666396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55.030086003499072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5.044827586206897</v>
      </c>
      <c r="BD25" s="12">
        <f>IF('Données projet'!$A$88&gt;35,BD24+BC25-BL24,IF(A25&lt;'Données projet'!$A$88,$BA$205^A25,IF(A25='Données projet'!$A$88,'Données projet'!$B$88,BD24+BC25-BL24)))</f>
        <v>43.91361034373093</v>
      </c>
      <c r="BE25" s="13">
        <f>BD25*VLOOKUP('Données projet'!$B$11,Paramètres!$A$1:$I$89,3,0)*VLOOKUP('Données projet'!$B$11,Paramètres!$A$1:$I$89,5,0)</f>
        <v>38.362929996283349</v>
      </c>
      <c r="BF25" s="13">
        <f t="shared" si="37"/>
        <v>11.563691695382335</v>
      </c>
      <c r="BG25" s="20">
        <f t="shared" si="7"/>
        <v>86.955532779651051</v>
      </c>
      <c r="BH25" s="59">
        <f t="shared" si="8"/>
        <v>315.62140368136988</v>
      </c>
      <c r="BI25" s="59">
        <f ca="1">AVERAGE(OFFSET($BH$3,0,0,'Données projet'!$E$11+1,1))-AVERAGE(OFFSET($H$3,0,0,'Données projet'!$E$11+1,1))</f>
        <v>433.6995276469014</v>
      </c>
      <c r="BJ25" s="59">
        <f t="shared" si="38"/>
        <v>306.37969720280557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55.030086003499072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0.16216216216216217</v>
      </c>
      <c r="BY25" s="12">
        <f>IF('Données projet'!$A$114&gt;35,BY24+BX25-CG24,IF(A25&lt;'Données projet'!$A$114,$BV$205^A25,IF(A25='Données projet'!$A$114,'Données projet'!$B$114,BY24+BX25-CG24)))</f>
        <v>3.5675675675675693</v>
      </c>
      <c r="BZ25" s="13">
        <f>BY25*VLOOKUP('Données projet'!$B$12,Paramètres!$A$1:$I$89,3,0)*VLOOKUP('Données projet'!$B$12,Paramètres!$A$1:$I$89,5,0)</f>
        <v>3.4505513513513528</v>
      </c>
      <c r="CA25" s="13">
        <f t="shared" si="39"/>
        <v>1.3766715549893647</v>
      </c>
      <c r="CB25" s="20">
        <f t="shared" si="10"/>
        <v>8.4074132285434153</v>
      </c>
      <c r="CC25" s="59">
        <f t="shared" si="11"/>
        <v>237.07328413026224</v>
      </c>
      <c r="CD25" s="59">
        <f ca="1">AVERAGE(OFFSET($CC$3,0,0,'Données projet'!$E$12+1,1))-AVERAGE(OFFSET($H$3,0,0,'Données projet'!$E$12+1,1))</f>
        <v>455.95436253828132</v>
      </c>
      <c r="CE25" s="59">
        <f t="shared" si="40"/>
        <v>64.829921296688497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55.030086003499072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10.6</v>
      </c>
      <c r="CT25" s="12">
        <f>IF('Données projet'!$A$140&gt;35,CT24+CS25-DB24,IF(A25&lt;'Données projet'!$A$140,$CQ$205^A25,IF(A25='Données projet'!$A$140,'Données projet'!$B$140,CT24+CS25-DB24)))</f>
        <v>81.199999999999974</v>
      </c>
      <c r="CU25" s="17">
        <f>CT25*VLOOKUP('Données projet'!$B$13,Paramètres!$A$1:$I$89,3,0)*VLOOKUP('Données projet'!$B$13,Paramètres!$A$1:$I$89,5,0)</f>
        <v>63.335999999999984</v>
      </c>
      <c r="CV25" s="13">
        <f t="shared" si="41"/>
        <v>18.009040022946227</v>
      </c>
      <c r="CW25" s="20">
        <f t="shared" si="13"/>
        <v>141.67594470663133</v>
      </c>
      <c r="CX25" s="59">
        <f t="shared" si="14"/>
        <v>370.34181560835015</v>
      </c>
      <c r="CY25" s="59">
        <f ca="1">AVERAGE(OFFSET($CX$3,0,0,'Données projet'!$E$13+1,1))-AVERAGE(OFFSET($H$3,0,0,'Données projet'!$E$13+1,1))</f>
        <v>306.44760579759713</v>
      </c>
      <c r="CZ25" s="59">
        <f t="shared" si="42"/>
        <v>300.30192123221718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55.030086003499072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55.030086003499072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55.030086003499072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55.030086003499072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55.030086003499072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4.4000000000000004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16.133333333333336</v>
      </c>
      <c r="H26" s="67">
        <f t="shared" si="1"/>
        <v>192.13333333333333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55.289780543624495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14.825000000000003</v>
      </c>
      <c r="N26" s="13">
        <f>IF('Données projet'!$A$36&gt;35,N25+M26-V25,IF(A26&lt;'Données projet'!$A$36,$K$205^A26,IF(A26='Données projet'!$A$36,'Données projet'!$B$36,N25+M26-V25)))</f>
        <v>141.67500000000001</v>
      </c>
      <c r="O26" s="13">
        <f>N26*VLOOKUP('Données projet'!$B$9,Paramètres!$A$1:$I$89,3,0)*VLOOKUP('Données projet'!$B$9,Paramètres!$A$1:$I$89,5,0)</f>
        <v>84.721650000000011</v>
      </c>
      <c r="P26" s="13">
        <f t="shared" si="33"/>
        <v>23.287770977042385</v>
      </c>
      <c r="Q26" s="20">
        <f t="shared" si="2"/>
        <v>188.11640820168216</v>
      </c>
      <c r="R26" s="59">
        <f t="shared" si="0"/>
        <v>418.95671463941642</v>
      </c>
      <c r="S26" s="59">
        <f ca="1">AVERAGE(OFFSET($R$3,0,0,'Données projet'!$E$9+1,1))-AVERAGE(OFFSET($H$3,0,0,'Données projet'!$E$9+1,1))</f>
        <v>299.45724561493057</v>
      </c>
      <c r="T26" s="59">
        <f t="shared" si="34"/>
        <v>297.63369027443196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0.74341574831113788</v>
      </c>
      <c r="AA26" s="21">
        <f>EXP(-LN(2)/25)*AA25+(1-EXP(-LN(2)/25))/(LN(2)/25)*Calculateur!V26*Calculateur!X26*VLOOKUP('Données projet'!$B$9,Paramètres!$A$1:$I$89,3,0)*0.475*44/12</f>
        <v>10.118917585164665</v>
      </c>
      <c r="AB26" s="21">
        <f>EXP(-LN(2)/2)*AB25+(1-EXP(-LN(2)/2))/(LN(2)/2)*V26*Y26*VLOOKUP('Données projet'!$B$9,Paramètres!$A$1:$I$89,3,0)*0.475*44/12</f>
        <v>0</v>
      </c>
      <c r="AC26" s="22">
        <f t="shared" si="3"/>
        <v>10.862333333475803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55.289780543624495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10.119999999999999</v>
      </c>
      <c r="AI26" s="13">
        <f>IF('Données projet'!$A$62&gt;35,AI25+AH26-AQ25,IF(A26&lt;'Données projet'!$A$62,$AF$205^A26,IF(A26='Données projet'!$A$62,'Données projet'!$B$62,AI25+AH26-AQ25)))</f>
        <v>162.50655340931482</v>
      </c>
      <c r="AJ26" s="13">
        <f>AI26*VLOOKUP('Données projet'!$B$10,Paramètres!$A$1:$I$89,3,0)*VLOOKUP('Données projet'!$B$10,Paramètres!$A$1:$I$89,5,0)</f>
        <v>90.841163355806984</v>
      </c>
      <c r="AK26" s="13">
        <f t="shared" si="35"/>
        <v>24.767983371374214</v>
      </c>
      <c r="AL26" s="20">
        <f t="shared" si="4"/>
        <v>201.35259721650723</v>
      </c>
      <c r="AM26" s="59">
        <f t="shared" si="5"/>
        <v>432.19290365424149</v>
      </c>
      <c r="AN26" s="59">
        <f ca="1">AVERAGE(OFFSET($AM$3,0,0,'Données projet'!$E$10+1,1))-AVERAGE(OFFSET($H$3,0,0,'Données projet'!$E$10+1,1))</f>
        <v>363.98181065114898</v>
      </c>
      <c r="AO26" s="59">
        <f t="shared" si="36"/>
        <v>410.85213343666396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55.289780543624495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5.044827586206897</v>
      </c>
      <c r="BD26" s="12">
        <f>IF('Données projet'!$A$88&gt;35,BD25+BC26-BL25,IF(A26&lt;'Données projet'!$A$88,$BA$205^A26,IF(A26='Données projet'!$A$88,'Données projet'!$B$88,BD25+BC26-BL25)))</f>
        <v>52.151012120195169</v>
      </c>
      <c r="BE26" s="13">
        <f>BD26*VLOOKUP('Données projet'!$B$11,Paramètres!$A$1:$I$89,3,0)*VLOOKUP('Données projet'!$B$11,Paramètres!$A$1:$I$89,5,0)</f>
        <v>45.559124188202503</v>
      </c>
      <c r="BF26" s="13">
        <f t="shared" si="37"/>
        <v>13.460750017406944</v>
      </c>
      <c r="BG26" s="20">
        <f t="shared" si="7"/>
        <v>102.79294757476977</v>
      </c>
      <c r="BH26" s="59">
        <f t="shared" si="8"/>
        <v>333.63325401250404</v>
      </c>
      <c r="BI26" s="59">
        <f ca="1">AVERAGE(OFFSET($BH$3,0,0,'Données projet'!$E$11+1,1))-AVERAGE(OFFSET($H$3,0,0,'Données projet'!$E$11+1,1))</f>
        <v>433.6995276469014</v>
      </c>
      <c r="BJ26" s="59">
        <f t="shared" si="38"/>
        <v>306.37969720280557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55.289780543624495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0.16216216216216217</v>
      </c>
      <c r="BY26" s="12">
        <f>IF('Données projet'!$A$114&gt;35,BY25+BX26-CG25,IF(A26&lt;'Données projet'!$A$114,$BV$205^A26,IF(A26='Données projet'!$A$114,'Données projet'!$B$114,BY25+BX26-CG25)))</f>
        <v>3.7297297297297316</v>
      </c>
      <c r="BZ26" s="13">
        <f>BY26*VLOOKUP('Données projet'!$B$12,Paramètres!$A$1:$I$89,3,0)*VLOOKUP('Données projet'!$B$12,Paramètres!$A$1:$I$89,5,0)</f>
        <v>3.6073945945945969</v>
      </c>
      <c r="CA26" s="13">
        <f t="shared" si="39"/>
        <v>1.4318198342412345</v>
      </c>
      <c r="CB26" s="20">
        <f t="shared" si="10"/>
        <v>8.7766317968890721</v>
      </c>
      <c r="CC26" s="59">
        <f t="shared" si="11"/>
        <v>239.61693823462332</v>
      </c>
      <c r="CD26" s="59">
        <f ca="1">AVERAGE(OFFSET($CC$3,0,0,'Données projet'!$E$12+1,1))-AVERAGE(OFFSET($H$3,0,0,'Données projet'!$E$12+1,1))</f>
        <v>455.95436253828132</v>
      </c>
      <c r="CE26" s="59">
        <f t="shared" si="40"/>
        <v>64.829921296688497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55.289780543624495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10.6</v>
      </c>
      <c r="CT26" s="12">
        <f>IF('Données projet'!$A$140&gt;35,CT25+CS26-DB25,IF(A26&lt;'Données projet'!$A$140,$CQ$205^A26,IF(A26='Données projet'!$A$140,'Données projet'!$B$140,CT25+CS26-DB25)))</f>
        <v>91.799999999999969</v>
      </c>
      <c r="CU26" s="17">
        <f>CT26*VLOOKUP('Données projet'!$B$13,Paramètres!$A$1:$I$89,3,0)*VLOOKUP('Données projet'!$B$13,Paramètres!$A$1:$I$89,5,0)</f>
        <v>71.603999999999985</v>
      </c>
      <c r="CV26" s="13">
        <f t="shared" si="41"/>
        <v>20.071260561992585</v>
      </c>
      <c r="CW26" s="20">
        <f t="shared" si="13"/>
        <v>159.66774547880371</v>
      </c>
      <c r="CX26" s="59">
        <f t="shared" si="14"/>
        <v>390.50805191653797</v>
      </c>
      <c r="CY26" s="59">
        <f ca="1">AVERAGE(OFFSET($CX$3,0,0,'Données projet'!$E$13+1,1))-AVERAGE(OFFSET($H$3,0,0,'Données projet'!$E$13+1,1))</f>
        <v>306.44760579759713</v>
      </c>
      <c r="CZ26" s="59">
        <f t="shared" si="42"/>
        <v>300.30192123221718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55.289780543624495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55.289780543624495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55.289780543624495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55.289780543624495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55.289780543624495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4.4000000000000004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16.133333333333336</v>
      </c>
      <c r="H27" s="67">
        <f t="shared" si="1"/>
        <v>192.13333333333333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55.544969964068748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156.5</v>
      </c>
      <c r="L27" s="12">
        <f>VLOOKUP(A27,'Données projet'!$A$35:$I$55,9,0)</f>
        <v>14.825000000000003</v>
      </c>
      <c r="M27" s="12">
        <f t="array" ref="M27">INDEX(L:L,MIN(IF(ISNUMBER(L27:L223),ROW(L27:L223),"")))</f>
        <v>14.825000000000003</v>
      </c>
      <c r="N27" s="13">
        <f>IF('Données projet'!$A$36&gt;35,N26+M27-V26,IF(A27&lt;'Données projet'!$A$36,$K$205^A27,IF(A27='Données projet'!$A$36,'Données projet'!$B$36,N26+M27-V26)))</f>
        <v>156.5</v>
      </c>
      <c r="O27" s="13">
        <f>N27*VLOOKUP('Données projet'!$B$9,Paramètres!$A$1:$I$89,3,0)*VLOOKUP('Données projet'!$B$9,Paramètres!$A$1:$I$89,5,0)</f>
        <v>93.587000000000018</v>
      </c>
      <c r="P27" s="13">
        <f t="shared" si="33"/>
        <v>25.428345493257236</v>
      </c>
      <c r="Q27" s="20">
        <f t="shared" si="2"/>
        <v>207.28506006742305</v>
      </c>
      <c r="R27" s="59">
        <f t="shared" si="0"/>
        <v>440.28328326900851</v>
      </c>
      <c r="S27" s="59">
        <f ca="1">AVERAGE(OFFSET($R$3,0,0,'Données projet'!$E$9+1,1))-AVERAGE(OFFSET($H$3,0,0,'Données projet'!$E$9+1,1))</f>
        <v>299.45724561493057</v>
      </c>
      <c r="T27" s="59">
        <f t="shared" si="34"/>
        <v>297.63369027443196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30.8</v>
      </c>
      <c r="W27" s="16">
        <f>IF(ISNA(VLOOKUP(A27,'Données projet'!$A$35:$I$55,5,0)),0%,VLOOKUP(A27,'Données projet'!$A$35:$I$55,5,0)*VLOOKUP('Données projet'!$B$9,Paramètres!$A$1:$I$89,7,0))</f>
        <v>4.5000000000000005E-2</v>
      </c>
      <c r="X27" s="16">
        <f>IF(ISNA(VLOOKUP(A27,'Données projet'!$A$35:$I$55,6,0)),0%,VLOOKUP(A27,'Données projet'!$A$35:$I$55,6,0)*VLOOKUP('Données projet'!$B$9,Paramètres!$A$1:$I$89,7,0))</f>
        <v>0.36000000000000004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1.8283315833986331</v>
      </c>
      <c r="AA27" s="21">
        <f>EXP(-LN(2)/25)*AA26+(1-EXP(-LN(2)/25))/(LN(2)/25)*Calculateur!V27*Calculateur!X27*VLOOKUP('Données projet'!$B$9,Paramètres!$A$1:$I$89,3,0)*0.475*44/12</f>
        <v>18.603532360326341</v>
      </c>
      <c r="AB27" s="21">
        <f>EXP(-LN(2)/2)*AB26+(1-EXP(-LN(2)/2))/(LN(2)/2)*V27*Y27*VLOOKUP('Données projet'!$B$9,Paramètres!$A$1:$I$89,3,0)*0.475*44/12</f>
        <v>0</v>
      </c>
      <c r="AC27" s="22">
        <f t="shared" si="3"/>
        <v>20.431863943724974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55.544969964068748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10.119999999999999</v>
      </c>
      <c r="AI27" s="13">
        <f>IF('Données projet'!$A$62&gt;35,AI26+AH27-AQ26,IF(A27&lt;'Données projet'!$A$62,$AF$205^A27,IF(A27='Données projet'!$A$62,'Données projet'!$B$62,AI26+AH27-AQ26)))</f>
        <v>202.76626448341133</v>
      </c>
      <c r="AJ27" s="13">
        <f>AI27*VLOOKUP('Données projet'!$B$10,Paramètres!$A$1:$I$89,3,0)*VLOOKUP('Données projet'!$B$10,Paramètres!$A$1:$I$89,5,0)</f>
        <v>113.34634184622693</v>
      </c>
      <c r="AK27" s="13">
        <f t="shared" si="35"/>
        <v>30.118028445158924</v>
      </c>
      <c r="AL27" s="20">
        <f t="shared" si="4"/>
        <v>249.86711159083032</v>
      </c>
      <c r="AM27" s="59">
        <f t="shared" si="5"/>
        <v>482.86533479241575</v>
      </c>
      <c r="AN27" s="59">
        <f ca="1">AVERAGE(OFFSET($AM$3,0,0,'Données projet'!$E$10+1,1))-AVERAGE(OFFSET($H$3,0,0,'Données projet'!$E$10+1,1))</f>
        <v>363.98181065114898</v>
      </c>
      <c r="AO27" s="59">
        <f t="shared" si="36"/>
        <v>410.85213343666396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55.544969964068748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5.044827586206897</v>
      </c>
      <c r="BD27" s="12">
        <f>IF('Données projet'!$A$88&gt;35,BD26+BC27-BL26,IF(A27&lt;'Données projet'!$A$88,$BA$205^A27,IF(A27='Données projet'!$A$88,'Données projet'!$B$88,BD26+BC27-BL26)))</f>
        <v>61.933601994284871</v>
      </c>
      <c r="BE27" s="13">
        <f>BD27*VLOOKUP('Données projet'!$B$11,Paramètres!$A$1:$I$89,3,0)*VLOOKUP('Données projet'!$B$11,Paramètres!$A$1:$I$89,5,0)</f>
        <v>54.105194702207271</v>
      </c>
      <c r="BF27" s="13">
        <f t="shared" si="37"/>
        <v>15.669026449699897</v>
      </c>
      <c r="BG27" s="20">
        <f t="shared" si="7"/>
        <v>121.52343517290497</v>
      </c>
      <c r="BH27" s="59">
        <f t="shared" si="8"/>
        <v>354.52165837449041</v>
      </c>
      <c r="BI27" s="59">
        <f ca="1">AVERAGE(OFFSET($BH$3,0,0,'Données projet'!$E$11+1,1))-AVERAGE(OFFSET($H$3,0,0,'Données projet'!$E$11+1,1))</f>
        <v>433.6995276469014</v>
      </c>
      <c r="BJ27" s="59">
        <f t="shared" si="38"/>
        <v>306.37969720280557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55.544969964068748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0.16216216216216217</v>
      </c>
      <c r="BY27" s="12">
        <f>IF('Données projet'!$A$114&gt;35,BY26+BX27-CG26,IF(A27&lt;'Données projet'!$A$114,$BV$205^A27,IF(A27='Données projet'!$A$114,'Données projet'!$B$114,BY26+BX27-CG26)))</f>
        <v>3.8918918918918939</v>
      </c>
      <c r="BZ27" s="13">
        <f>BY27*VLOOKUP('Données projet'!$B$12,Paramètres!$A$1:$I$89,3,0)*VLOOKUP('Données projet'!$B$12,Paramètres!$A$1:$I$89,5,0)</f>
        <v>3.7642378378378396</v>
      </c>
      <c r="CA27" s="13">
        <f t="shared" si="39"/>
        <v>1.4866896276411945</v>
      </c>
      <c r="CB27" s="20">
        <f t="shared" si="10"/>
        <v>9.1453653357093163</v>
      </c>
      <c r="CC27" s="59">
        <f t="shared" si="11"/>
        <v>242.14358853729476</v>
      </c>
      <c r="CD27" s="59">
        <f ca="1">AVERAGE(OFFSET($CC$3,0,0,'Données projet'!$E$12+1,1))-AVERAGE(OFFSET($H$3,0,0,'Données projet'!$E$12+1,1))</f>
        <v>455.95436253828132</v>
      </c>
      <c r="CE27" s="59">
        <f t="shared" si="40"/>
        <v>64.829921296688497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55.544969964068748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10.6</v>
      </c>
      <c r="CT27" s="12">
        <f>IF('Données projet'!$A$140&gt;35,CT26+CS27-DB26,IF(A27&lt;'Données projet'!$A$140,$CQ$205^A27,IF(A27='Données projet'!$A$140,'Données projet'!$B$140,CT26+CS27-DB26)))</f>
        <v>102.39999999999996</v>
      </c>
      <c r="CU27" s="17">
        <f>CT27*VLOOKUP('Données projet'!$B$13,Paramètres!$A$1:$I$89,3,0)*VLOOKUP('Données projet'!$B$13,Paramètres!$A$1:$I$89,5,0)</f>
        <v>79.871999999999971</v>
      </c>
      <c r="CV27" s="13">
        <f t="shared" si="41"/>
        <v>22.105884547145401</v>
      </c>
      <c r="CW27" s="20">
        <f t="shared" si="13"/>
        <v>177.61148225294485</v>
      </c>
      <c r="CX27" s="59">
        <f t="shared" si="14"/>
        <v>410.60970545453029</v>
      </c>
      <c r="CY27" s="59">
        <f ca="1">AVERAGE(OFFSET($CX$3,0,0,'Données projet'!$E$13+1,1))-AVERAGE(OFFSET($H$3,0,0,'Données projet'!$E$13+1,1))</f>
        <v>306.44760579759713</v>
      </c>
      <c r="CZ27" s="59">
        <f t="shared" si="42"/>
        <v>300.30192123221718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55.544969964068748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55.544969964068748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55.544969964068748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55.544969964068748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55.544969964068748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4.4000000000000004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16.133333333333336</v>
      </c>
      <c r="H28" s="67">
        <f t="shared" si="1"/>
        <v>192.13333333333333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55.795732418586368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16.3</v>
      </c>
      <c r="N28" s="13">
        <f>IF('Données projet'!$A$36&gt;35,N27+M28-V27,IF(A28&lt;'Données projet'!$A$36,$K$205^A28,IF(A28='Données projet'!$A$36,'Données projet'!$B$36,N27+M28-V27)))</f>
        <v>142</v>
      </c>
      <c r="O28" s="13">
        <f>N28*VLOOKUP('Données projet'!$B$9,Paramètres!$A$1:$I$89,3,0)*VLOOKUP('Données projet'!$B$9,Paramètres!$A$1:$I$89,5,0)</f>
        <v>84.916000000000011</v>
      </c>
      <c r="P28" s="13">
        <f t="shared" si="33"/>
        <v>23.33496813320572</v>
      </c>
      <c r="Q28" s="20">
        <f t="shared" si="2"/>
        <v>188.53710283199996</v>
      </c>
      <c r="R28" s="59">
        <f t="shared" si="0"/>
        <v>423.6770105890389</v>
      </c>
      <c r="S28" s="59">
        <f ca="1">AVERAGE(OFFSET($R$3,0,0,'Données projet'!$E$9+1,1))-AVERAGE(OFFSET($H$3,0,0,'Données projet'!$E$9+1,1))</f>
        <v>299.45724561493057</v>
      </c>
      <c r="T28" s="59">
        <f t="shared" si="34"/>
        <v>297.63369027443196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1.7924791162203377</v>
      </c>
      <c r="AA28" s="21">
        <f>EXP(-LN(2)/25)*AA27+(1-EXP(-LN(2)/25))/(LN(2)/25)*Calculateur!V28*Calculateur!X28*VLOOKUP('Données projet'!$B$9,Paramètres!$A$1:$I$89,3,0)*0.475*44/12</f>
        <v>18.09481778961597</v>
      </c>
      <c r="AB28" s="21">
        <f>EXP(-LN(2)/2)*AB27+(1-EXP(-LN(2)/2))/(LN(2)/2)*V28*Y28*VLOOKUP('Données projet'!$B$9,Paramètres!$A$1:$I$89,3,0)*0.475*44/12</f>
        <v>0</v>
      </c>
      <c r="AC28" s="22">
        <f t="shared" si="3"/>
        <v>19.887296905836308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55.795732418586368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253</v>
      </c>
      <c r="AG28" s="12">
        <f>VLOOKUP(A28,'Données projet'!$A$61:$I$81,9,0)</f>
        <v>10.119999999999999</v>
      </c>
      <c r="AH28" s="12">
        <f t="array" ref="AH28">INDEX(AG:AG,MIN(IF(ISNUMBER(AG28:AG224),ROW(AG28:AG224),"")))</f>
        <v>10.119999999999999</v>
      </c>
      <c r="AI28" s="13">
        <f>IF('Données projet'!$A$62&gt;35,AI27+AH28-AQ27,IF(A28&lt;'Données projet'!$A$62,$AF$205^A28,IF(A28='Données projet'!$A$62,'Données projet'!$B$62,AI27+AH28-AQ27)))</f>
        <v>253</v>
      </c>
      <c r="AJ28" s="13">
        <f>AI28*VLOOKUP('Données projet'!$B$10,Paramètres!$A$1:$I$89,3,0)*VLOOKUP('Données projet'!$B$10,Paramètres!$A$1:$I$89,5,0)</f>
        <v>141.42699999999999</v>
      </c>
      <c r="AK28" s="13">
        <f t="shared" si="35"/>
        <v>36.623717959686019</v>
      </c>
      <c r="AL28" s="20">
        <f t="shared" si="4"/>
        <v>310.10500044645312</v>
      </c>
      <c r="AM28" s="59">
        <f t="shared" si="5"/>
        <v>545.24490820349206</v>
      </c>
      <c r="AN28" s="59">
        <f ca="1">AVERAGE(OFFSET($AM$3,0,0,'Données projet'!$E$10+1,1))-AVERAGE(OFFSET($H$3,0,0,'Données projet'!$E$10+1,1))</f>
        <v>363.98181065114898</v>
      </c>
      <c r="AO28" s="59">
        <f t="shared" si="36"/>
        <v>410.85213343666396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59</v>
      </c>
      <c r="AR28" s="16">
        <f>IF(ISNA(VLOOKUP(A28,'Données projet'!$A$61:$I$81,5,0)),0%,VLOOKUP(A28,'Données projet'!$A$61:$I$81,5,0)*VLOOKUP('Données projet'!$B$10,Paramètres!$A$1:$I$89,7,0))</f>
        <v>5.5000000000000007E-2</v>
      </c>
      <c r="AS28" s="16">
        <f>IF(ISNA(VLOOKUP(A28,'Données projet'!$A$61:$I$81,6,0)),0%,VLOOKUP(A28,'Données projet'!$A$61:$I$81,6,0)*VLOOKUP('Données projet'!$B$10,Paramètres!$A$1:$I$89,7,0))</f>
        <v>0.44000000000000006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2.4063282267668318</v>
      </c>
      <c r="AV28" s="21">
        <f>EXP(-LN(2)/25)*AV27+(1-EXP(-LN(2)/25))/(LN(2)/25)*Calculateur!AQ28*Calculateur!AS28*VLOOKUP('Données projet'!$B$10,Paramètres!$A$1:$I$89,3,0)*0.475*44/12</f>
        <v>19.174828765240907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21.581156992007738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55.795732418586368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5.044827586206897</v>
      </c>
      <c r="BD28" s="12">
        <f>IF('Données projet'!$A$88&gt;35,BD27+BC28-BL27,IF(A28&lt;'Données projet'!$A$88,$BA$205^A28,IF(A28='Données projet'!$A$88,'Données projet'!$B$88,BD27+BC28-BL27)))</f>
        <v>73.551229401760892</v>
      </c>
      <c r="BE28" s="13">
        <f>BD28*VLOOKUP('Données projet'!$B$11,Paramètres!$A$1:$I$89,3,0)*VLOOKUP('Données projet'!$B$11,Paramètres!$A$1:$I$89,5,0)</f>
        <v>64.254354005378318</v>
      </c>
      <c r="BF28" s="13">
        <f t="shared" si="37"/>
        <v>18.239577257129046</v>
      </c>
      <c r="BG28" s="20">
        <f t="shared" si="7"/>
        <v>143.67693028220032</v>
      </c>
      <c r="BH28" s="59">
        <f t="shared" si="8"/>
        <v>378.8168380392392</v>
      </c>
      <c r="BI28" s="59">
        <f ca="1">AVERAGE(OFFSET($BH$3,0,0,'Données projet'!$E$11+1,1))-AVERAGE(OFFSET($H$3,0,0,'Données projet'!$E$11+1,1))</f>
        <v>433.6995276469014</v>
      </c>
      <c r="BJ28" s="59">
        <f t="shared" si="38"/>
        <v>306.37969720280557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55.795732418586368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0.16216216216216217</v>
      </c>
      <c r="BY28" s="12">
        <f>IF('Données projet'!$A$114&gt;35,BY27+BX28-CG27,IF(A28&lt;'Données projet'!$A$114,$BV$205^A28,IF(A28='Données projet'!$A$114,'Données projet'!$B$114,BY27+BX28-CG27)))</f>
        <v>4.0540540540540562</v>
      </c>
      <c r="BZ28" s="13">
        <f>BY28*VLOOKUP('Données projet'!$B$12,Paramètres!$A$1:$I$89,3,0)*VLOOKUP('Données projet'!$B$12,Paramètres!$A$1:$I$89,5,0)</f>
        <v>3.9210810810810832</v>
      </c>
      <c r="CA28" s="13">
        <f t="shared" si="39"/>
        <v>1.541293865690391</v>
      </c>
      <c r="CB28" s="20">
        <f t="shared" si="10"/>
        <v>9.5136363656269829</v>
      </c>
      <c r="CC28" s="59">
        <f t="shared" si="11"/>
        <v>244.65354412266589</v>
      </c>
      <c r="CD28" s="59">
        <f ca="1">AVERAGE(OFFSET($CC$3,0,0,'Données projet'!$E$12+1,1))-AVERAGE(OFFSET($H$3,0,0,'Données projet'!$E$12+1,1))</f>
        <v>455.95436253828132</v>
      </c>
      <c r="CE28" s="59">
        <f t="shared" si="40"/>
        <v>64.829921296688497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55.795732418586368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113</v>
      </c>
      <c r="CR28" s="12">
        <f>VLOOKUP(A28,'Données projet'!$A$139:$I$159,9,0)</f>
        <v>10.6</v>
      </c>
      <c r="CS28" s="12">
        <f t="array" ref="CS28">INDEX(CR:CR,MIN(IF(ISNUMBER(CR28:CR224),ROW(CR28:CR224),"")))</f>
        <v>10.6</v>
      </c>
      <c r="CT28" s="12">
        <f>IF('Données projet'!$A$140&gt;35,CT27+CS28-DB27,IF(A28&lt;'Données projet'!$A$140,$CQ$205^A28,IF(A28='Données projet'!$A$140,'Données projet'!$B$140,CT27+CS28-DB27)))</f>
        <v>112.99999999999996</v>
      </c>
      <c r="CU28" s="17">
        <f>CT28*VLOOKUP('Données projet'!$B$13,Paramètres!$A$1:$I$89,3,0)*VLOOKUP('Données projet'!$B$13,Paramètres!$A$1:$I$89,5,0)</f>
        <v>88.139999999999972</v>
      </c>
      <c r="CV28" s="13">
        <f t="shared" si="41"/>
        <v>24.116094026318823</v>
      </c>
      <c r="CW28" s="20">
        <f t="shared" si="13"/>
        <v>195.51269709583855</v>
      </c>
      <c r="CX28" s="59">
        <f t="shared" si="14"/>
        <v>430.65260485287746</v>
      </c>
      <c r="CY28" s="59">
        <f ca="1">AVERAGE(OFFSET($CX$3,0,0,'Données projet'!$E$13+1,1))-AVERAGE(OFFSET($H$3,0,0,'Données projet'!$E$13+1,1))</f>
        <v>306.44760579759713</v>
      </c>
      <c r="CZ28" s="59">
        <f t="shared" si="42"/>
        <v>300.30192123221718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27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55.795732418586368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55.795732418586368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55.795732418586368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55.795732418586368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55.795732418586368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4.4000000000000004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16.133333333333336</v>
      </c>
      <c r="H29" s="67">
        <f t="shared" si="1"/>
        <v>192.13333333333333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56.04214470513898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16.3</v>
      </c>
      <c r="N29" s="13">
        <f>IF('Données projet'!$A$36&gt;35,N28+M29-V28,IF(A29&lt;'Données projet'!$A$36,$K$205^A29,IF(A29='Données projet'!$A$36,'Données projet'!$B$36,N28+M29-V28)))</f>
        <v>158.30000000000001</v>
      </c>
      <c r="O29" s="13">
        <f>N29*VLOOKUP('Données projet'!$B$9,Paramètres!$A$1:$I$89,3,0)*VLOOKUP('Données projet'!$B$9,Paramètres!$A$1:$I$89,5,0)</f>
        <v>94.663400000000024</v>
      </c>
      <c r="P29" s="13">
        <f t="shared" si="33"/>
        <v>25.686596724372428</v>
      </c>
      <c r="Q29" s="20">
        <f t="shared" si="2"/>
        <v>209.60957762828204</v>
      </c>
      <c r="R29" s="59">
        <f t="shared" si="0"/>
        <v>446.87521932490279</v>
      </c>
      <c r="S29" s="59">
        <f ca="1">AVERAGE(OFFSET($R$3,0,0,'Données projet'!$E$9+1,1))-AVERAGE(OFFSET($H$3,0,0,'Données projet'!$E$9+1,1))</f>
        <v>299.45724561493057</v>
      </c>
      <c r="T29" s="59">
        <f t="shared" si="34"/>
        <v>297.63369027443196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1.7573296940555629</v>
      </c>
      <c r="AA29" s="21">
        <f>EXP(-LN(2)/25)*AA28+(1-EXP(-LN(2)/25))/(LN(2)/25)*Calculateur!V29*Calculateur!X29*VLOOKUP('Données projet'!$B$9,Paramètres!$A$1:$I$89,3,0)*0.475*44/12</f>
        <v>17.600014045593809</v>
      </c>
      <c r="AB29" s="21">
        <f>EXP(-LN(2)/2)*AB28+(1-EXP(-LN(2)/2))/(LN(2)/2)*V29*Y29*VLOOKUP('Données projet'!$B$9,Paramètres!$A$1:$I$89,3,0)*0.475*44/12</f>
        <v>0</v>
      </c>
      <c r="AC29" s="22">
        <f t="shared" si="3"/>
        <v>19.357343739649373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56.04214470513898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19.714285714285715</v>
      </c>
      <c r="AI29" s="13">
        <f>IF('Données projet'!$A$62&gt;35,AI28+AH29-AQ28,IF(A29&lt;'Données projet'!$A$62,$AF$205^A29,IF(A29='Données projet'!$A$62,'Données projet'!$B$62,AI28+AH29-AQ28)))</f>
        <v>213.71428571428572</v>
      </c>
      <c r="AJ29" s="13">
        <f>AI29*VLOOKUP('Données projet'!$B$10,Paramètres!$A$1:$I$89,3,0)*VLOOKUP('Données projet'!$B$10,Paramètres!$A$1:$I$89,5,0)</f>
        <v>119.46628571428572</v>
      </c>
      <c r="AK29" s="13">
        <f t="shared" si="35"/>
        <v>31.550486926257484</v>
      </c>
      <c r="AL29" s="20">
        <f t="shared" si="4"/>
        <v>263.02087901561271</v>
      </c>
      <c r="AM29" s="59">
        <f t="shared" si="5"/>
        <v>500.28652071223343</v>
      </c>
      <c r="AN29" s="59">
        <f ca="1">AVERAGE(OFFSET($AM$3,0,0,'Données projet'!$E$10+1,1))-AVERAGE(OFFSET($H$3,0,0,'Données projet'!$E$10+1,1))</f>
        <v>363.98181065114898</v>
      </c>
      <c r="AO29" s="59">
        <f t="shared" si="36"/>
        <v>410.85213343666396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2.3591415979552277</v>
      </c>
      <c r="AV29" s="21">
        <f>EXP(-LN(2)/25)*AV28+(1-EXP(-LN(2)/25))/(LN(2)/25)*Calculateur!AQ29*Calculateur!AS29*VLOOKUP('Données projet'!$B$10,Paramètres!$A$1:$I$89,3,0)*0.475*44/12</f>
        <v>18.650492064294973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21.009633662250202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56.04214470513898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5.044827586206897</v>
      </c>
      <c r="BD29" s="12">
        <f>IF('Données projet'!$A$88&gt;35,BD28+BC29-BL28,IF(A29&lt;'Données projet'!$A$88,$BA$205^A29,IF(A29='Données projet'!$A$88,'Données projet'!$B$88,BD28+BC29-BL28)))</f>
        <v>87.348114308120827</v>
      </c>
      <c r="BE29" s="13">
        <f>BD29*VLOOKUP('Données projet'!$B$11,Paramètres!$A$1:$I$89,3,0)*VLOOKUP('Données projet'!$B$11,Paramètres!$A$1:$I$89,5,0)</f>
        <v>76.307312659574364</v>
      </c>
      <c r="BF29" s="13">
        <f t="shared" si="37"/>
        <v>21.231834638019325</v>
      </c>
      <c r="BG29" s="20">
        <f t="shared" si="7"/>
        <v>169.88068154330901</v>
      </c>
      <c r="BH29" s="59">
        <f t="shared" si="8"/>
        <v>407.14632323992976</v>
      </c>
      <c r="BI29" s="59">
        <f ca="1">AVERAGE(OFFSET($BH$3,0,0,'Données projet'!$E$11+1,1))-AVERAGE(OFFSET($H$3,0,0,'Données projet'!$E$11+1,1))</f>
        <v>433.6995276469014</v>
      </c>
      <c r="BJ29" s="59">
        <f t="shared" si="38"/>
        <v>306.37969720280557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56.04214470513898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0.16216216216216217</v>
      </c>
      <c r="BY29" s="12">
        <f>IF('Données projet'!$A$114&gt;35,BY28+BX29-CG28,IF(A29&lt;'Données projet'!$A$114,$BV$205^A29,IF(A29='Données projet'!$A$114,'Données projet'!$B$114,BY28+BX29-CG28)))</f>
        <v>4.2162162162162184</v>
      </c>
      <c r="BZ29" s="13">
        <f>BY29*VLOOKUP('Données projet'!$B$12,Paramètres!$A$1:$I$89,3,0)*VLOOKUP('Données projet'!$B$12,Paramètres!$A$1:$I$89,5,0)</f>
        <v>4.0779243243243268</v>
      </c>
      <c r="CA29" s="13">
        <f t="shared" si="39"/>
        <v>1.5956443858972664</v>
      </c>
      <c r="CB29" s="20">
        <f t="shared" si="10"/>
        <v>9.8814655036359422</v>
      </c>
      <c r="CC29" s="59">
        <f t="shared" si="11"/>
        <v>247.14710720025667</v>
      </c>
      <c r="CD29" s="59">
        <f ca="1">AVERAGE(OFFSET($CC$3,0,0,'Données projet'!$E$12+1,1))-AVERAGE(OFFSET($H$3,0,0,'Données projet'!$E$12+1,1))</f>
        <v>455.95436253828132</v>
      </c>
      <c r="CE29" s="59">
        <f t="shared" si="40"/>
        <v>64.829921296688497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56.04214470513898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11.5</v>
      </c>
      <c r="CT29" s="12">
        <f>IF('Données projet'!$A$140&gt;35,CT28+CS29-DB28,IF(A29&lt;'Données projet'!$A$140,$CQ$205^A29,IF(A29='Données projet'!$A$140,'Données projet'!$B$140,CT28+CS29-DB28)))</f>
        <v>97.499999999999957</v>
      </c>
      <c r="CU29" s="17">
        <f>CT29*VLOOKUP('Données projet'!$B$13,Paramètres!$A$1:$I$89,3,0)*VLOOKUP('Données projet'!$B$13,Paramètres!$A$1:$I$89,5,0)</f>
        <v>76.049999999999969</v>
      </c>
      <c r="CV29" s="13">
        <f t="shared" si="41"/>
        <v>21.168560890749262</v>
      </c>
      <c r="CW29" s="20">
        <f t="shared" si="13"/>
        <v>169.32232688472158</v>
      </c>
      <c r="CX29" s="59">
        <f t="shared" si="14"/>
        <v>406.5879685813423</v>
      </c>
      <c r="CY29" s="59">
        <f ca="1">AVERAGE(OFFSET($CX$3,0,0,'Données projet'!$E$13+1,1))-AVERAGE(OFFSET($H$3,0,0,'Données projet'!$E$13+1,1))</f>
        <v>306.44760579759713</v>
      </c>
      <c r="CZ29" s="59">
        <f t="shared" si="42"/>
        <v>300.30192123221718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56.04214470513898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56.04214470513898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56.04214470513898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56.04214470513898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56.04214470513898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4.4000000000000004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16.133333333333336</v>
      </c>
      <c r="H30" s="67">
        <f t="shared" si="1"/>
        <v>192.13333333333333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56.284282289415238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16.3</v>
      </c>
      <c r="N30" s="13">
        <f>IF('Données projet'!$A$36&gt;35,N29+M30-V29,IF(A30&lt;'Données projet'!$A$36,$K$205^A30,IF(A30='Données projet'!$A$36,'Données projet'!$B$36,N29+M30-V29)))</f>
        <v>174.60000000000002</v>
      </c>
      <c r="O30" s="13">
        <f>N30*VLOOKUP('Données projet'!$B$9,Paramètres!$A$1:$I$89,3,0)*VLOOKUP('Données projet'!$B$9,Paramètres!$A$1:$I$89,5,0)</f>
        <v>104.41080000000002</v>
      </c>
      <c r="P30" s="13">
        <f t="shared" si="33"/>
        <v>28.010155571424168</v>
      </c>
      <c r="Q30" s="20">
        <f t="shared" si="2"/>
        <v>230.63316428689714</v>
      </c>
      <c r="R30" s="59">
        <f t="shared" si="0"/>
        <v>470.00886601475304</v>
      </c>
      <c r="S30" s="59">
        <f ca="1">AVERAGE(OFFSET($R$3,0,0,'Données projet'!$E$9+1,1))-AVERAGE(OFFSET($H$3,0,0,'Données projet'!$E$9+1,1))</f>
        <v>299.45724561493057</v>
      </c>
      <c r="T30" s="59">
        <f t="shared" si="34"/>
        <v>297.63369027443196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1.7228695306204089</v>
      </c>
      <c r="AA30" s="21">
        <f>EXP(-LN(2)/25)*AA29+(1-EXP(-LN(2)/25))/(LN(2)/25)*Calculateur!V30*Calculateur!X30*VLOOKUP('Données projet'!$B$9,Paramètres!$A$1:$I$89,3,0)*0.475*44/12</f>
        <v>17.118740735972533</v>
      </c>
      <c r="AB30" s="21">
        <f>EXP(-LN(2)/2)*AB29+(1-EXP(-LN(2)/2))/(LN(2)/2)*V30*Y30*VLOOKUP('Données projet'!$B$9,Paramètres!$A$1:$I$89,3,0)*0.475*44/12</f>
        <v>0</v>
      </c>
      <c r="AC30" s="22">
        <f t="shared" si="3"/>
        <v>18.841610266592941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56.284282289415238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19.714285714285715</v>
      </c>
      <c r="AI30" s="13">
        <f>IF('Données projet'!$A$62&gt;35,AI29+AH30-AQ29,IF(A30&lt;'Données projet'!$A$62,$AF$205^A30,IF(A30='Données projet'!$A$62,'Données projet'!$B$62,AI29+AH30-AQ29)))</f>
        <v>233.42857142857144</v>
      </c>
      <c r="AJ30" s="13">
        <f>AI30*VLOOKUP('Données projet'!$B$10,Paramètres!$A$1:$I$89,3,0)*VLOOKUP('Données projet'!$B$10,Paramètres!$A$1:$I$89,5,0)</f>
        <v>130.48657142857144</v>
      </c>
      <c r="AK30" s="13">
        <f t="shared" si="35"/>
        <v>34.108767245824239</v>
      </c>
      <c r="AL30" s="20">
        <f t="shared" si="4"/>
        <v>286.67021485790582</v>
      </c>
      <c r="AM30" s="59">
        <f t="shared" si="5"/>
        <v>526.04591658576169</v>
      </c>
      <c r="AN30" s="59">
        <f ca="1">AVERAGE(OFFSET($AM$3,0,0,'Données projet'!$E$10+1,1))-AVERAGE(OFFSET($H$3,0,0,'Données projet'!$E$10+1,1))</f>
        <v>363.98181065114898</v>
      </c>
      <c r="AO30" s="59">
        <f t="shared" si="36"/>
        <v>410.85213343666396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2.3128802701536175</v>
      </c>
      <c r="AV30" s="21">
        <f>EXP(-LN(2)/25)*AV29+(1-EXP(-LN(2)/25))/(LN(2)/25)*Calculateur!AQ30*Calculateur!AS30*VLOOKUP('Données projet'!$B$10,Paramètres!$A$1:$I$89,3,0)*0.475*44/12</f>
        <v>18.140493378010074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20.453373648163691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56.284282289415238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5.044827586206897</v>
      </c>
      <c r="BD30" s="12">
        <f>IF('Données projet'!$A$88&gt;35,BD29+BC30-BL29,IF(A30&lt;'Données projet'!$A$88,$BA$205^A30,IF(A30='Données projet'!$A$88,'Données projet'!$B$88,BD29+BC30-BL29)))</f>
        <v>103.73304613997222</v>
      </c>
      <c r="BE30" s="13">
        <f>BD30*VLOOKUP('Données projet'!$B$11,Paramètres!$A$1:$I$89,3,0)*VLOOKUP('Données projet'!$B$11,Paramètres!$A$1:$I$89,5,0)</f>
        <v>90.621189107879744</v>
      </c>
      <c r="BF30" s="13">
        <f t="shared" si="37"/>
        <v>24.714980821170236</v>
      </c>
      <c r="BG30" s="20">
        <f t="shared" si="7"/>
        <v>200.87716262642871</v>
      </c>
      <c r="BH30" s="59">
        <f t="shared" si="8"/>
        <v>440.25286435428461</v>
      </c>
      <c r="BI30" s="59">
        <f ca="1">AVERAGE(OFFSET($BH$3,0,0,'Données projet'!$E$11+1,1))-AVERAGE(OFFSET($H$3,0,0,'Données projet'!$E$11+1,1))</f>
        <v>433.6995276469014</v>
      </c>
      <c r="BJ30" s="59">
        <f t="shared" si="38"/>
        <v>306.37969720280557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56.284282289415238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0.16216216216216217</v>
      </c>
      <c r="BY30" s="12">
        <f>IF('Données projet'!$A$114&gt;35,BY29+BX30-CG29,IF(A30&lt;'Données projet'!$A$114,$BV$205^A30,IF(A30='Données projet'!$A$114,'Données projet'!$B$114,BY29+BX30-CG29)))</f>
        <v>4.3783783783783807</v>
      </c>
      <c r="BZ30" s="13">
        <f>BY30*VLOOKUP('Données projet'!$B$12,Paramètres!$A$1:$I$89,3,0)*VLOOKUP('Données projet'!$B$12,Paramètres!$A$1:$I$89,5,0)</f>
        <v>4.2347675675675704</v>
      </c>
      <c r="CA30" s="13">
        <f t="shared" si="39"/>
        <v>1.6497520636255305</v>
      </c>
      <c r="CB30" s="20">
        <f t="shared" si="10"/>
        <v>10.248871690994649</v>
      </c>
      <c r="CC30" s="59">
        <f t="shared" si="11"/>
        <v>249.62457341885056</v>
      </c>
      <c r="CD30" s="59">
        <f ca="1">AVERAGE(OFFSET($CC$3,0,0,'Données projet'!$E$12+1,1))-AVERAGE(OFFSET($H$3,0,0,'Données projet'!$E$12+1,1))</f>
        <v>455.95436253828132</v>
      </c>
      <c r="CE30" s="59">
        <f t="shared" si="40"/>
        <v>64.829921296688497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56.284282289415238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11.5</v>
      </c>
      <c r="CT30" s="12">
        <f>IF('Données projet'!$A$140&gt;35,CT29+CS30-DB29,IF(A30&lt;'Données projet'!$A$140,$CQ$205^A30,IF(A30='Données projet'!$A$140,'Données projet'!$B$140,CT29+CS30-DB29)))</f>
        <v>108.99999999999996</v>
      </c>
      <c r="CU30" s="17">
        <f>CT30*VLOOKUP('Données projet'!$B$13,Paramètres!$A$1:$I$89,3,0)*VLOOKUP('Données projet'!$B$13,Paramètres!$A$1:$I$89,5,0)</f>
        <v>85.019999999999968</v>
      </c>
      <c r="CV30" s="13">
        <f t="shared" si="41"/>
        <v>23.360218970693097</v>
      </c>
      <c r="CW30" s="20">
        <f t="shared" si="13"/>
        <v>188.76221470729038</v>
      </c>
      <c r="CX30" s="59">
        <f t="shared" si="14"/>
        <v>428.13791643514628</v>
      </c>
      <c r="CY30" s="59">
        <f ca="1">AVERAGE(OFFSET($CX$3,0,0,'Données projet'!$E$13+1,1))-AVERAGE(OFFSET($H$3,0,0,'Données projet'!$E$13+1,1))</f>
        <v>306.44760579759713</v>
      </c>
      <c r="CZ30" s="59">
        <f t="shared" si="42"/>
        <v>300.30192123221718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56.284282289415238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56.284282289415238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56.284282289415238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56.284282289415238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56.284282289415238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4.4000000000000004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16.133333333333336</v>
      </c>
      <c r="H31" s="67">
        <f t="shared" si="1"/>
        <v>192.13333333333333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56.522219327942842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190.9</v>
      </c>
      <c r="L31" s="12">
        <f>VLOOKUP(A31,'Données projet'!$A$35:$I$55,9,0)</f>
        <v>16.3</v>
      </c>
      <c r="M31" s="12">
        <f t="array" ref="M31">INDEX(L:L,MIN(IF(ISNUMBER(L31:L227),ROW(L31:L227),"")))</f>
        <v>16.3</v>
      </c>
      <c r="N31" s="13">
        <f>IF('Données projet'!$A$36&gt;35,N30+M31-V30,IF(A31&lt;'Données projet'!$A$36,$K$205^A31,IF(A31='Données projet'!$A$36,'Données projet'!$B$36,N30+M31-V30)))</f>
        <v>190.90000000000003</v>
      </c>
      <c r="O31" s="13">
        <f>N31*VLOOKUP('Données projet'!$B$9,Paramètres!$A$1:$I$89,3,0)*VLOOKUP('Données projet'!$B$9,Paramètres!$A$1:$I$89,5,0)</f>
        <v>114.15820000000004</v>
      </c>
      <c r="P31" s="13">
        <f t="shared" si="33"/>
        <v>30.308563239636307</v>
      </c>
      <c r="Q31" s="20">
        <f t="shared" si="2"/>
        <v>251.61294597569997</v>
      </c>
      <c r="R31" s="59">
        <f t="shared" si="0"/>
        <v>493.08330573371268</v>
      </c>
      <c r="S31" s="59">
        <f ca="1">AVERAGE(OFFSET($R$3,0,0,'Données projet'!$E$9+1,1))-AVERAGE(OFFSET($H$3,0,0,'Données projet'!$E$9+1,1))</f>
        <v>299.45724561493057</v>
      </c>
      <c r="T31" s="59">
        <f t="shared" si="34"/>
        <v>297.63369027443196</v>
      </c>
      <c r="U31" s="15">
        <f>IF(ISNA(VLOOKUP(A31,'Données projet'!$A$35:$I$55,3,0)),0,VLOOKUP(A31,'Données projet'!$A$35:$I$55,3,0))</f>
        <v>4</v>
      </c>
      <c r="V31" s="15">
        <f>IF(ISNA(VLOOKUP(A31,'Données projet'!$A$35:$I$55,4,0)),0,VLOOKUP(A31,'Données projet'!$A$35:$I$55,4,0))</f>
        <v>35.4</v>
      </c>
      <c r="W31" s="16">
        <f>IF(ISNA(VLOOKUP(A31,'Données projet'!$A$35:$I$55,5,0)),0%,VLOOKUP(A31,'Données projet'!$A$35:$I$55,5,0)*VLOOKUP('Données projet'!$B$9,Paramètres!$A$1:$I$89,7,0))</f>
        <v>4.5000000000000005E-2</v>
      </c>
      <c r="X31" s="16">
        <f>IF(ISNA(VLOOKUP(A31,'Données projet'!$A$35:$I$55,6,0)),0%,VLOOKUP(A31,'Données projet'!$A$35:$I$55,6,0)*VLOOKUP('Données projet'!$B$9,Paramètres!$A$1:$I$89,7,0))</f>
        <v>0.36000000000000004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2.9527889821256768</v>
      </c>
      <c r="AA31" s="21">
        <f>EXP(-LN(2)/25)*AA30+(1-EXP(-LN(2)/25))/(LN(2)/25)*Calculateur!V31*Calculateur!X31*VLOOKUP('Données projet'!$B$9,Paramètres!$A$1:$I$89,3,0)*0.475*44/12</f>
        <v>26.72045337831581</v>
      </c>
      <c r="AB31" s="21">
        <f>EXP(-LN(2)/2)*AB30+(1-EXP(-LN(2)/2))/(LN(2)/2)*V31*Y31*VLOOKUP('Données projet'!$B$9,Paramètres!$A$1:$I$89,3,0)*0.475*44/12</f>
        <v>0</v>
      </c>
      <c r="AC31" s="22">
        <f t="shared" si="3"/>
        <v>29.673242360441485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56.522219327942842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19.714285714285715</v>
      </c>
      <c r="AI31" s="13">
        <f>IF('Données projet'!$A$62&gt;35,AI30+AH31-AQ30,IF(A31&lt;'Données projet'!$A$62,$AF$205^A31,IF(A31='Données projet'!$A$62,'Données projet'!$B$62,AI30+AH31-AQ30)))</f>
        <v>253.14285714285717</v>
      </c>
      <c r="AJ31" s="13">
        <f>AI31*VLOOKUP('Données projet'!$B$10,Paramètres!$A$1:$I$89,3,0)*VLOOKUP('Données projet'!$B$10,Paramètres!$A$1:$I$89,5,0)</f>
        <v>141.50685714285717</v>
      </c>
      <c r="AK31" s="13">
        <f t="shared" si="35"/>
        <v>36.641989926907435</v>
      </c>
      <c r="AL31" s="20">
        <f t="shared" si="4"/>
        <v>310.27590864650665</v>
      </c>
      <c r="AM31" s="59">
        <f t="shared" si="5"/>
        <v>551.74626840451936</v>
      </c>
      <c r="AN31" s="59">
        <f ca="1">AVERAGE(OFFSET($AM$3,0,0,'Données projet'!$E$10+1,1))-AVERAGE(OFFSET($H$3,0,0,'Données projet'!$E$10+1,1))</f>
        <v>363.98181065114898</v>
      </c>
      <c r="AO31" s="59">
        <f t="shared" si="36"/>
        <v>410.85213343666396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2.267526098773573</v>
      </c>
      <c r="AV31" s="21">
        <f>EXP(-LN(2)/25)*AV30+(1-EXP(-LN(2)/25))/(LN(2)/25)*Calculateur!AQ31*Calculateur!AS31*VLOOKUP('Données projet'!$B$10,Paramètres!$A$1:$I$89,3,0)*0.475*44/12</f>
        <v>17.644440632621304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19.911966731394877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56.522219327942842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5.044827586206897</v>
      </c>
      <c r="BD31" s="12">
        <f>IF('Données projet'!$A$88&gt;35,BD30+BC31-BL30,IF(A31&lt;'Données projet'!$A$88,$BA$205^A31,IF(A31='Données projet'!$A$88,'Données projet'!$B$88,BD30+BC31-BL30)))</f>
        <v>123.19149585209976</v>
      </c>
      <c r="BE31" s="13">
        <f>BD31*VLOOKUP('Données projet'!$B$11,Paramètres!$A$1:$I$89,3,0)*VLOOKUP('Données projet'!$B$11,Paramètres!$A$1:$I$89,5,0)</f>
        <v>107.62009077639436</v>
      </c>
      <c r="BF31" s="13">
        <f t="shared" si="37"/>
        <v>28.769547587612301</v>
      </c>
      <c r="BG31" s="20">
        <f t="shared" si="7"/>
        <v>237.54528681731156</v>
      </c>
      <c r="BH31" s="59">
        <f t="shared" si="8"/>
        <v>479.01564657532424</v>
      </c>
      <c r="BI31" s="59">
        <f ca="1">AVERAGE(OFFSET($BH$3,0,0,'Données projet'!$E$11+1,1))-AVERAGE(OFFSET($H$3,0,0,'Données projet'!$E$11+1,1))</f>
        <v>433.6995276469014</v>
      </c>
      <c r="BJ31" s="59">
        <f t="shared" si="38"/>
        <v>306.37969720280557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56.522219327942842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0.16216216216216217</v>
      </c>
      <c r="BY31" s="12">
        <f>IF('Données projet'!$A$114&gt;35,BY30+BX31-CG30,IF(A31&lt;'Données projet'!$A$114,$BV$205^A31,IF(A31='Données projet'!$A$114,'Données projet'!$B$114,BY30+BX31-CG30)))</f>
        <v>4.540540540540543</v>
      </c>
      <c r="BZ31" s="13">
        <f>BY31*VLOOKUP('Données projet'!$B$12,Paramètres!$A$1:$I$89,3,0)*VLOOKUP('Données projet'!$B$12,Paramètres!$A$1:$I$89,5,0)</f>
        <v>4.3916108108108132</v>
      </c>
      <c r="CA31" s="13">
        <f t="shared" si="39"/>
        <v>1.7036269230123067</v>
      </c>
      <c r="CB31" s="20">
        <f t="shared" si="10"/>
        <v>10.615872386408599</v>
      </c>
      <c r="CC31" s="59">
        <f t="shared" si="11"/>
        <v>252.08623214442127</v>
      </c>
      <c r="CD31" s="59">
        <f ca="1">AVERAGE(OFFSET($CC$3,0,0,'Données projet'!$E$12+1,1))-AVERAGE(OFFSET($H$3,0,0,'Données projet'!$E$12+1,1))</f>
        <v>455.95436253828132</v>
      </c>
      <c r="CE31" s="59">
        <f t="shared" si="40"/>
        <v>64.829921296688497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56.522219327942842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11.5</v>
      </c>
      <c r="CT31" s="12">
        <f>IF('Données projet'!$A$140&gt;35,CT30+CS31-DB30,IF(A31&lt;'Données projet'!$A$140,$CQ$205^A31,IF(A31='Données projet'!$A$140,'Données projet'!$B$140,CT30+CS31-DB30)))</f>
        <v>120.49999999999996</v>
      </c>
      <c r="CU31" s="17">
        <f>CT31*VLOOKUP('Données projet'!$B$13,Paramètres!$A$1:$I$89,3,0)*VLOOKUP('Données projet'!$B$13,Paramètres!$A$1:$I$89,5,0)</f>
        <v>93.989999999999966</v>
      </c>
      <c r="CV31" s="13">
        <f t="shared" si="41"/>
        <v>25.525074036970054</v>
      </c>
      <c r="CW31" s="20">
        <f t="shared" si="13"/>
        <v>208.15542061438944</v>
      </c>
      <c r="CX31" s="59">
        <f t="shared" si="14"/>
        <v>449.62578037240212</v>
      </c>
      <c r="CY31" s="59">
        <f ca="1">AVERAGE(OFFSET($CX$3,0,0,'Données projet'!$E$13+1,1))-AVERAGE(OFFSET($H$3,0,0,'Données projet'!$E$13+1,1))</f>
        <v>306.44760579759713</v>
      </c>
      <c r="CZ31" s="59">
        <f t="shared" si="42"/>
        <v>300.30192123221718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56.522219327942842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56.522219327942842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56.522219327942842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56.522219327942842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56.522219327942842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4.4000000000000004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16.133333333333336</v>
      </c>
      <c r="H32" s="67">
        <f t="shared" si="1"/>
        <v>192.13333333333333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56.756028690799532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14.800000000000002</v>
      </c>
      <c r="N32" s="13">
        <f>IF('Données projet'!$A$36&gt;35,N31+M32-V31,IF(A32&lt;'Données projet'!$A$36,$K$205^A32,IF(A32='Données projet'!$A$36,'Données projet'!$B$36,N31+M32-V31)))</f>
        <v>170.30000000000004</v>
      </c>
      <c r="O32" s="13">
        <f>N32*VLOOKUP('Données projet'!$B$9,Paramètres!$A$1:$I$89,3,0)*VLOOKUP('Données projet'!$B$9,Paramètres!$A$1:$I$89,5,0)</f>
        <v>101.83940000000003</v>
      </c>
      <c r="P32" s="13">
        <f t="shared" si="33"/>
        <v>27.39974329477144</v>
      </c>
      <c r="Q32" s="20">
        <f t="shared" si="2"/>
        <v>225.09150790506024</v>
      </c>
      <c r="R32" s="59">
        <f t="shared" si="0"/>
        <v>468.64139088243627</v>
      </c>
      <c r="S32" s="59">
        <f ca="1">AVERAGE(OFFSET($R$3,0,0,'Données projet'!$E$9+1,1))-AVERAGE(OFFSET($H$3,0,0,'Données projet'!$E$9+1,1))</f>
        <v>299.45724561493057</v>
      </c>
      <c r="T32" s="59">
        <f t="shared" si="34"/>
        <v>297.63369027443196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2.8948865912096351</v>
      </c>
      <c r="AA32" s="21">
        <f>EXP(-LN(2)/25)*AA31+(1-EXP(-LN(2)/25))/(LN(2)/25)*Calculateur!V32*Calculateur!X32*VLOOKUP('Données projet'!$B$9,Paramètres!$A$1:$I$89,3,0)*0.475*44/12</f>
        <v>25.989781175518193</v>
      </c>
      <c r="AB32" s="21">
        <f>EXP(-LN(2)/2)*AB31+(1-EXP(-LN(2)/2))/(LN(2)/2)*V32*Y32*VLOOKUP('Données projet'!$B$9,Paramètres!$A$1:$I$89,3,0)*0.475*44/12</f>
        <v>0</v>
      </c>
      <c r="AC32" s="22">
        <f t="shared" si="3"/>
        <v>28.884667766727826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56.756028690799532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19.714285714285715</v>
      </c>
      <c r="AI32" s="13">
        <f>IF('Données projet'!$A$62&gt;35,AI31+AH32-AQ31,IF(A32&lt;'Données projet'!$A$62,$AF$205^A32,IF(A32='Données projet'!$A$62,'Données projet'!$B$62,AI31+AH32-AQ31)))</f>
        <v>272.85714285714289</v>
      </c>
      <c r="AJ32" s="13">
        <f>AI32*VLOOKUP('Données projet'!$B$10,Paramètres!$A$1:$I$89,3,0)*VLOOKUP('Données projet'!$B$10,Paramètres!$A$1:$I$89,5,0)</f>
        <v>152.52714285714288</v>
      </c>
      <c r="AK32" s="13">
        <f t="shared" si="35"/>
        <v>39.152328281389373</v>
      </c>
      <c r="AL32" s="20">
        <f t="shared" si="4"/>
        <v>333.84174556627698</v>
      </c>
      <c r="AM32" s="59">
        <f t="shared" si="5"/>
        <v>577.39162854365304</v>
      </c>
      <c r="AN32" s="59">
        <f ca="1">AVERAGE(OFFSET($AM$3,0,0,'Données projet'!$E$10+1,1))-AVERAGE(OFFSET($H$3,0,0,'Données projet'!$E$10+1,1))</f>
        <v>363.98181065114898</v>
      </c>
      <c r="AO32" s="59">
        <f t="shared" si="36"/>
        <v>410.85213343666396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2.2230612950309783</v>
      </c>
      <c r="AV32" s="21">
        <f>EXP(-LN(2)/25)*AV31+(1-EXP(-LN(2)/25))/(LN(2)/25)*Calculateur!AQ32*Calculateur!AS32*VLOOKUP('Données projet'!$B$10,Paramètres!$A$1:$I$89,3,0)*0.475*44/12</f>
        <v>17.161952475641467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19.385013770672444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56.756028690799532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>
        <f>VLOOKUP(A32,'Données projet'!$A$87:$I$107,2,0)</f>
        <v>146.30000000000001</v>
      </c>
      <c r="BB32" s="12">
        <f>VLOOKUP(A32,'Données projet'!$A$87:$I$107,9,0)</f>
        <v>5.044827586206897</v>
      </c>
      <c r="BC32" s="12">
        <f t="array" ref="BC32">INDEX(BB:BB,MIN(IF(ISNUMBER(BB32:BB228),ROW(BB32:BB228),"")))</f>
        <v>5.044827586206897</v>
      </c>
      <c r="BD32" s="12">
        <f>IF('Données projet'!$A$88&gt;35,BD31+BC32-BL31,IF(A32&lt;'Données projet'!$A$88,$BA$205^A32,IF(A32='Données projet'!$A$88,'Données projet'!$B$88,BD31+BC32-BL31)))</f>
        <v>146.30000000000001</v>
      </c>
      <c r="BE32" s="13">
        <f>BD32*VLOOKUP('Données projet'!$B$11,Paramètres!$A$1:$I$89,3,0)*VLOOKUP('Données projet'!$B$11,Paramètres!$A$1:$I$89,5,0)</f>
        <v>127.80768000000002</v>
      </c>
      <c r="BF32" s="13">
        <f t="shared" si="37"/>
        <v>33.489278198707517</v>
      </c>
      <c r="BG32" s="20">
        <f t="shared" si="7"/>
        <v>280.92553552941558</v>
      </c>
      <c r="BH32" s="59">
        <f t="shared" si="8"/>
        <v>524.47541850679158</v>
      </c>
      <c r="BI32" s="59">
        <f ca="1">AVERAGE(OFFSET($BH$3,0,0,'Données projet'!$E$11+1,1))-AVERAGE(OFFSET($H$3,0,0,'Données projet'!$E$11+1,1))</f>
        <v>433.6995276469014</v>
      </c>
      <c r="BJ32" s="59">
        <f t="shared" si="38"/>
        <v>306.37969720280557</v>
      </c>
      <c r="BK32" s="15">
        <f>IF(ISNA(VLOOKUP(A32,'Données projet'!$A$87:$I$107,3,0)),0,VLOOKUP(A32,'Données projet'!$A$87:$I$107,3,0))</f>
        <v>1</v>
      </c>
      <c r="BL32" s="15">
        <f>IF(ISNA(VLOOKUP(A32,'Données projet'!$A$87:$I$107,4,0)),0,VLOOKUP(A32,'Données projet'!$A$87:$I$107,4,0))</f>
        <v>26.5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0.215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5.4806328751189355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5.4806328751189355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56.756028690799532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0.16216216216216217</v>
      </c>
      <c r="BY32" s="12">
        <f>IF('Données projet'!$A$114&gt;35,BY31+BX32-CG31,IF(A32&lt;'Données projet'!$A$114,$BV$205^A32,IF(A32='Données projet'!$A$114,'Données projet'!$B$114,BY31+BX32-CG31)))</f>
        <v>4.7027027027027053</v>
      </c>
      <c r="BZ32" s="13">
        <f>BY32*VLOOKUP('Données projet'!$B$12,Paramètres!$A$1:$I$89,3,0)*VLOOKUP('Données projet'!$B$12,Paramètres!$A$1:$I$89,5,0)</f>
        <v>4.5484540540540568</v>
      </c>
      <c r="CA32" s="13">
        <f t="shared" si="39"/>
        <v>1.7572782315955531</v>
      </c>
      <c r="CB32" s="20">
        <f t="shared" si="10"/>
        <v>10.982483730839737</v>
      </c>
      <c r="CC32" s="59">
        <f t="shared" si="11"/>
        <v>254.53236670821576</v>
      </c>
      <c r="CD32" s="59">
        <f ca="1">AVERAGE(OFFSET($CC$3,0,0,'Données projet'!$E$12+1,1))-AVERAGE(OFFSET($H$3,0,0,'Données projet'!$E$12+1,1))</f>
        <v>455.95436253828132</v>
      </c>
      <c r="CE32" s="59">
        <f t="shared" si="40"/>
        <v>64.829921296688497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56.756028690799532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11.5</v>
      </c>
      <c r="CT32" s="12">
        <f>IF('Données projet'!$A$140&gt;35,CT31+CS32-DB31,IF(A32&lt;'Données projet'!$A$140,$CQ$205^A32,IF(A32='Données projet'!$A$140,'Données projet'!$B$140,CT31+CS32-DB31)))</f>
        <v>131.99999999999994</v>
      </c>
      <c r="CU32" s="17">
        <f>CT32*VLOOKUP('Données projet'!$B$13,Paramètres!$A$1:$I$89,3,0)*VLOOKUP('Données projet'!$B$13,Paramètres!$A$1:$I$89,5,0)</f>
        <v>102.95999999999997</v>
      </c>
      <c r="CV32" s="13">
        <f t="shared" si="41"/>
        <v>27.665975080374633</v>
      </c>
      <c r="CW32" s="20">
        <f t="shared" si="13"/>
        <v>227.50690659831903</v>
      </c>
      <c r="CX32" s="59">
        <f t="shared" si="14"/>
        <v>471.05678957569506</v>
      </c>
      <c r="CY32" s="59">
        <f ca="1">AVERAGE(OFFSET($CX$3,0,0,'Données projet'!$E$13+1,1))-AVERAGE(OFFSET($H$3,0,0,'Données projet'!$E$13+1,1))</f>
        <v>306.44760579759713</v>
      </c>
      <c r="CZ32" s="59">
        <f t="shared" si="42"/>
        <v>300.30192123221718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56.756028690799532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56.756028690799532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56.756028690799532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56.756028690799532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56.756028690799532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4.4000000000000004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16.133333333333336</v>
      </c>
      <c r="H33" s="67">
        <f t="shared" si="1"/>
        <v>192.13333333333333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56.985781983930067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14.800000000000002</v>
      </c>
      <c r="N33" s="13">
        <f>IF('Données projet'!$A$36&gt;35,N32+M33-V32,IF(A33&lt;'Données projet'!$A$36,$K$205^A33,IF(A33='Données projet'!$A$36,'Données projet'!$B$36,N32+M33-V32)))</f>
        <v>185.10000000000005</v>
      </c>
      <c r="O33" s="13">
        <f>N33*VLOOKUP('Données projet'!$B$9,Paramètres!$A$1:$I$89,3,0)*VLOOKUP('Données projet'!$B$9,Paramètres!$A$1:$I$89,5,0)</f>
        <v>110.68980000000005</v>
      </c>
      <c r="P33" s="13">
        <f t="shared" si="33"/>
        <v>29.493447655514782</v>
      </c>
      <c r="Q33" s="20">
        <f t="shared" si="2"/>
        <v>244.15248966668833</v>
      </c>
      <c r="R33" s="59">
        <f t="shared" si="0"/>
        <v>489.76702360776528</v>
      </c>
      <c r="S33" s="59">
        <f ca="1">AVERAGE(OFFSET($R$3,0,0,'Données projet'!$E$9+1,1))-AVERAGE(OFFSET($H$3,0,0,'Données projet'!$E$9+1,1))</f>
        <v>299.45724561493057</v>
      </c>
      <c r="T33" s="59">
        <f t="shared" si="34"/>
        <v>297.63369027443196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2.8381196308624856</v>
      </c>
      <c r="AA33" s="21">
        <f>EXP(-LN(2)/25)*AA32+(1-EXP(-LN(2)/25))/(LN(2)/25)*Calculateur!V33*Calculateur!X33*VLOOKUP('Données projet'!$B$9,Paramètres!$A$1:$I$89,3,0)*0.475*44/12</f>
        <v>25.279089242530457</v>
      </c>
      <c r="AB33" s="21">
        <f>EXP(-LN(2)/2)*AB32+(1-EXP(-LN(2)/2))/(LN(2)/2)*V33*Y33*VLOOKUP('Données projet'!$B$9,Paramètres!$A$1:$I$89,3,0)*0.475*44/12</f>
        <v>0</v>
      </c>
      <c r="AC33" s="22">
        <f t="shared" si="3"/>
        <v>28.117208873392944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56.985781983930067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19.714285714285715</v>
      </c>
      <c r="AI33" s="13">
        <f>IF('Données projet'!$A$62&gt;35,AI32+AH33-AQ32,IF(A33&lt;'Données projet'!$A$62,$AF$205^A33,IF(A33='Données projet'!$A$62,'Données projet'!$B$62,AI32+AH33-AQ32)))</f>
        <v>292.57142857142861</v>
      </c>
      <c r="AJ33" s="13">
        <f>AI33*VLOOKUP('Données projet'!$B$10,Paramètres!$A$1:$I$89,3,0)*VLOOKUP('Données projet'!$B$10,Paramètres!$A$1:$I$89,5,0)</f>
        <v>163.54742857142861</v>
      </c>
      <c r="AK33" s="13">
        <f t="shared" si="35"/>
        <v>41.641623770535254</v>
      </c>
      <c r="AL33" s="20">
        <f t="shared" si="4"/>
        <v>357.37093282892039</v>
      </c>
      <c r="AM33" s="59">
        <f t="shared" si="5"/>
        <v>602.98546676999729</v>
      </c>
      <c r="AN33" s="59">
        <f ca="1">AVERAGE(OFFSET($AM$3,0,0,'Données projet'!$E$10+1,1))-AVERAGE(OFFSET($H$3,0,0,'Données projet'!$E$10+1,1))</f>
        <v>363.98181065114898</v>
      </c>
      <c r="AO33" s="59">
        <f t="shared" si="36"/>
        <v>410.85213343666396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2.1794684189689235</v>
      </c>
      <c r="AV33" s="21">
        <f>EXP(-LN(2)/25)*AV32+(1-EXP(-LN(2)/25))/(LN(2)/25)*Calculateur!AQ33*Calculateur!AS33*VLOOKUP('Données projet'!$B$10,Paramètres!$A$1:$I$89,3,0)*0.475*44/12</f>
        <v>16.692657982687194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18.872126401656118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56.985781983930067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11.559999999999997</v>
      </c>
      <c r="BD33" s="12">
        <f>IF('Données projet'!$A$88&gt;35,BD32+BC33-BL32,IF(A33&lt;'Données projet'!$A$88,$BA$205^A33,IF(A33='Données projet'!$A$88,'Données projet'!$B$88,BD32+BC33-BL32)))</f>
        <v>131.36000000000001</v>
      </c>
      <c r="BE33" s="13">
        <f>BD33*VLOOKUP('Données projet'!$B$11,Paramètres!$A$1:$I$89,3,0)*VLOOKUP('Données projet'!$B$11,Paramètres!$A$1:$I$89,5,0)</f>
        <v>114.75609600000003</v>
      </c>
      <c r="BF33" s="13">
        <f t="shared" si="37"/>
        <v>30.44878242778675</v>
      </c>
      <c r="BG33" s="20">
        <f t="shared" si="7"/>
        <v>252.89849659506197</v>
      </c>
      <c r="BH33" s="59">
        <f t="shared" si="8"/>
        <v>498.5130305361389</v>
      </c>
      <c r="BI33" s="59">
        <f ca="1">AVERAGE(OFFSET($BH$3,0,0,'Données projet'!$E$11+1,1))-AVERAGE(OFFSET($H$3,0,0,'Données projet'!$E$11+1,1))</f>
        <v>433.6995276469014</v>
      </c>
      <c r="BJ33" s="59">
        <f t="shared" si="38"/>
        <v>306.37969720280557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5.330764680934851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5.330764680934851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56.985781983930067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0.16216216216216217</v>
      </c>
      <c r="BY33" s="12">
        <f>IF('Données projet'!$A$114&gt;35,BY32+BX33-CG32,IF(A33&lt;'Données projet'!$A$114,$BV$205^A33,IF(A33='Données projet'!$A$114,'Données projet'!$B$114,BY32+BX33-CG32)))</f>
        <v>4.8648648648648676</v>
      </c>
      <c r="BZ33" s="13">
        <f>BY33*VLOOKUP('Données projet'!$B$12,Paramètres!$A$1:$I$89,3,0)*VLOOKUP('Données projet'!$B$12,Paramètres!$A$1:$I$89,5,0)</f>
        <v>4.7052972972973004</v>
      </c>
      <c r="CA33" s="13">
        <f t="shared" si="39"/>
        <v>1.8107145815227343</v>
      </c>
      <c r="CB33" s="20">
        <f t="shared" si="10"/>
        <v>11.348720688944892</v>
      </c>
      <c r="CC33" s="59">
        <f t="shared" si="11"/>
        <v>256.96325463002182</v>
      </c>
      <c r="CD33" s="59">
        <f ca="1">AVERAGE(OFFSET($CC$3,0,0,'Données projet'!$E$12+1,1))-AVERAGE(OFFSET($H$3,0,0,'Données projet'!$E$12+1,1))</f>
        <v>455.95436253828132</v>
      </c>
      <c r="CE33" s="59">
        <f t="shared" si="40"/>
        <v>64.829921296688497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56.985781983930067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11.5</v>
      </c>
      <c r="CT33" s="12">
        <f>IF('Données projet'!$A$140&gt;35,CT32+CS33-DB32,IF(A33&lt;'Données projet'!$A$140,$CQ$205^A33,IF(A33='Données projet'!$A$140,'Données projet'!$B$140,CT32+CS33-DB32)))</f>
        <v>143.49999999999994</v>
      </c>
      <c r="CU33" s="17">
        <f>CT33*VLOOKUP('Données projet'!$B$13,Paramètres!$A$1:$I$89,3,0)*VLOOKUP('Données projet'!$B$13,Paramètres!$A$1:$I$89,5,0)</f>
        <v>111.92999999999996</v>
      </c>
      <c r="CV33" s="13">
        <f t="shared" si="41"/>
        <v>29.785246291563833</v>
      </c>
      <c r="CW33" s="20">
        <f t="shared" si="13"/>
        <v>246.82072062447358</v>
      </c>
      <c r="CX33" s="59">
        <f t="shared" si="14"/>
        <v>492.43525456555051</v>
      </c>
      <c r="CY33" s="59">
        <f ca="1">AVERAGE(OFFSET($CX$3,0,0,'Données projet'!$E$13+1,1))-AVERAGE(OFFSET($H$3,0,0,'Données projet'!$E$13+1,1))</f>
        <v>306.44760579759713</v>
      </c>
      <c r="CZ33" s="59">
        <f t="shared" si="42"/>
        <v>300.30192123221718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56.985781983930067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56.985781983930067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56.985781983930067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56.985781983930067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56.985781983930067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4.4000000000000004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16.133333333333336</v>
      </c>
      <c r="H34" s="67">
        <f t="shared" si="1"/>
        <v>192.13333333333333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57.211549571076205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14.800000000000002</v>
      </c>
      <c r="N34" s="13">
        <f>IF('Données projet'!$A$36&gt;35,N33+M34-V33,IF(A34&lt;'Données projet'!$A$36,$K$205^A34,IF(A34='Données projet'!$A$36,'Données projet'!$B$36,N33+M34-V33)))</f>
        <v>199.90000000000006</v>
      </c>
      <c r="O34" s="13">
        <f>N34*VLOOKUP('Données projet'!$B$9,Paramètres!$A$1:$I$89,3,0)*VLOOKUP('Données projet'!$B$9,Paramètres!$A$1:$I$89,5,0)</f>
        <v>119.54020000000006</v>
      </c>
      <c r="P34" s="13">
        <f t="shared" si="33"/>
        <v>31.567734545706795</v>
      </c>
      <c r="Q34" s="20">
        <f t="shared" si="2"/>
        <v>263.1796526671061</v>
      </c>
      <c r="R34" s="59">
        <f t="shared" si="0"/>
        <v>509.6220010943855</v>
      </c>
      <c r="S34" s="59">
        <f ca="1">AVERAGE(OFFSET($R$3,0,0,'Données projet'!$E$9+1,1))-AVERAGE(OFFSET($H$3,0,0,'Données projet'!$E$9+1,1))</f>
        <v>299.45724561493057</v>
      </c>
      <c r="T34" s="59">
        <f t="shared" si="34"/>
        <v>297.63369027443196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2.782465835983317</v>
      </c>
      <c r="AA34" s="21">
        <f>EXP(-LN(2)/25)*AA33+(1-EXP(-LN(2)/25))/(LN(2)/25)*Calculateur!V34*Calculateur!X34*VLOOKUP('Données projet'!$B$9,Paramètres!$A$1:$I$89,3,0)*0.475*44/12</f>
        <v>24.587831217823936</v>
      </c>
      <c r="AB34" s="21">
        <f>EXP(-LN(2)/2)*AB33+(1-EXP(-LN(2)/2))/(LN(2)/2)*V34*Y34*VLOOKUP('Données projet'!$B$9,Paramètres!$A$1:$I$89,3,0)*0.475*44/12</f>
        <v>0</v>
      </c>
      <c r="AC34" s="22">
        <f t="shared" si="3"/>
        <v>27.370297053807253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57.211549571076205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19.714285714285715</v>
      </c>
      <c r="AI34" s="13">
        <f>IF('Données projet'!$A$62&gt;35,AI33+AH34-AQ33,IF(A34&lt;'Données projet'!$A$62,$AF$205^A34,IF(A34='Données projet'!$A$62,'Données projet'!$B$62,AI33+AH34-AQ33)))</f>
        <v>312.28571428571433</v>
      </c>
      <c r="AJ34" s="13">
        <f>AI34*VLOOKUP('Données projet'!$B$10,Paramètres!$A$1:$I$89,3,0)*VLOOKUP('Données projet'!$B$10,Paramètres!$A$1:$I$89,5,0)</f>
        <v>174.56771428571432</v>
      </c>
      <c r="AK34" s="13">
        <f t="shared" si="35"/>
        <v>44.111455647166053</v>
      </c>
      <c r="AL34" s="20">
        <f t="shared" si="4"/>
        <v>380.86622096643327</v>
      </c>
      <c r="AM34" s="59">
        <f t="shared" si="5"/>
        <v>627.30856939371267</v>
      </c>
      <c r="AN34" s="59">
        <f ca="1">AVERAGE(OFFSET($AM$3,0,0,'Données projet'!$E$10+1,1))-AVERAGE(OFFSET($H$3,0,0,'Données projet'!$E$10+1,1))</f>
        <v>363.98181065114898</v>
      </c>
      <c r="AO34" s="59">
        <f t="shared" si="36"/>
        <v>410.85213343666396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2.1367303726174165</v>
      </c>
      <c r="AV34" s="21">
        <f>EXP(-LN(2)/25)*AV33+(1-EXP(-LN(2)/25))/(LN(2)/25)*Calculateur!AQ34*Calculateur!AS34*VLOOKUP('Données projet'!$B$10,Paramètres!$A$1:$I$89,3,0)*0.475*44/12</f>
        <v>16.236196372321881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18.372926744939299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57.211549571076205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11.559999999999997</v>
      </c>
      <c r="BD34" s="12">
        <f>IF('Données projet'!$A$88&gt;35,BD33+BC34-BL33,IF(A34&lt;'Données projet'!$A$88,$BA$205^A34,IF(A34='Données projet'!$A$88,'Données projet'!$B$88,BD33+BC34-BL33)))</f>
        <v>142.92000000000002</v>
      </c>
      <c r="BE34" s="13">
        <f>BD34*VLOOKUP('Données projet'!$B$11,Paramètres!$A$1:$I$89,3,0)*VLOOKUP('Données projet'!$B$11,Paramètres!$A$1:$I$89,5,0)</f>
        <v>124.85491200000003</v>
      </c>
      <c r="BF34" s="13">
        <f t="shared" si="37"/>
        <v>32.804700877507614</v>
      </c>
      <c r="BG34" s="20">
        <f t="shared" si="7"/>
        <v>274.59049242832583</v>
      </c>
      <c r="BH34" s="59">
        <f t="shared" si="8"/>
        <v>521.03284085560529</v>
      </c>
      <c r="BI34" s="59">
        <f ca="1">AVERAGE(OFFSET($BH$3,0,0,'Données projet'!$E$11+1,1))-AVERAGE(OFFSET($H$3,0,0,'Données projet'!$E$11+1,1))</f>
        <v>433.6995276469014</v>
      </c>
      <c r="BJ34" s="59">
        <f t="shared" si="38"/>
        <v>306.37969720280557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5.1849946404019569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5.1849946404019569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57.211549571076205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0.16216216216216217</v>
      </c>
      <c r="BY34" s="12">
        <f>IF('Données projet'!$A$114&gt;35,BY33+BX34-CG33,IF(A34&lt;'Données projet'!$A$114,$BV$205^A34,IF(A34='Données projet'!$A$114,'Données projet'!$B$114,BY33+BX34-CG33)))</f>
        <v>5.0270270270270299</v>
      </c>
      <c r="BZ34" s="13">
        <f>BY34*VLOOKUP('Données projet'!$B$12,Paramètres!$A$1:$I$89,3,0)*VLOOKUP('Données projet'!$B$12,Paramètres!$A$1:$I$89,5,0)</f>
        <v>4.862140540540544</v>
      </c>
      <c r="CA34" s="13">
        <f t="shared" si="39"/>
        <v>1.8639439596274963</v>
      </c>
      <c r="CB34" s="20">
        <f t="shared" si="10"/>
        <v>11.714597171126004</v>
      </c>
      <c r="CC34" s="59">
        <f t="shared" si="11"/>
        <v>258.15694559840546</v>
      </c>
      <c r="CD34" s="59">
        <f ca="1">AVERAGE(OFFSET($CC$3,0,0,'Données projet'!$E$12+1,1))-AVERAGE(OFFSET($H$3,0,0,'Données projet'!$E$12+1,1))</f>
        <v>455.95436253828132</v>
      </c>
      <c r="CE34" s="59">
        <f t="shared" si="40"/>
        <v>64.829921296688497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57.211549571076205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>
        <f>VLOOKUP(A34,'Données projet'!$A$139:$I$159,2,0)</f>
        <v>155</v>
      </c>
      <c r="CR34" s="12">
        <f>VLOOKUP(A34,'Données projet'!$A$139:$I$159,9,0)</f>
        <v>11.5</v>
      </c>
      <c r="CS34" s="12">
        <f t="array" ref="CS34">INDEX(CR:CR,MIN(IF(ISNUMBER(CR34:CR230),ROW(CR34:CR230),"")))</f>
        <v>11.5</v>
      </c>
      <c r="CT34" s="12">
        <f>IF('Données projet'!$A$140&gt;35,CT33+CS34-DB33,IF(A34&lt;'Données projet'!$A$140,$CQ$205^A34,IF(A34='Données projet'!$A$140,'Données projet'!$B$140,CT33+CS34-DB33)))</f>
        <v>154.99999999999994</v>
      </c>
      <c r="CU34" s="17">
        <f>CT34*VLOOKUP('Données projet'!$B$13,Paramètres!$A$1:$I$89,3,0)*VLOOKUP('Données projet'!$B$13,Paramètres!$A$1:$I$89,5,0)</f>
        <v>120.89999999999996</v>
      </c>
      <c r="CV34" s="13">
        <f t="shared" si="41"/>
        <v>31.884818143351602</v>
      </c>
      <c r="CW34" s="20">
        <f t="shared" si="13"/>
        <v>266.10022493300397</v>
      </c>
      <c r="CX34" s="59">
        <f t="shared" si="14"/>
        <v>512.54257336028343</v>
      </c>
      <c r="CY34" s="59">
        <f ca="1">AVERAGE(OFFSET($CX$3,0,0,'Données projet'!$E$13+1,1))-AVERAGE(OFFSET($H$3,0,0,'Données projet'!$E$13+1,1))</f>
        <v>306.44760579759713</v>
      </c>
      <c r="CZ34" s="59">
        <f t="shared" si="42"/>
        <v>300.30192123221718</v>
      </c>
      <c r="DA34" s="15">
        <f>IF(ISNA(VLOOKUP(A34,'Données projet'!$A$139:$I$159,3,0)),0,VLOOKUP(A34,'Données projet'!$A$139:$I$159,3,0))</f>
        <v>4</v>
      </c>
      <c r="DB34" s="15">
        <f>IF(ISNA(VLOOKUP(A34,'Données projet'!$A$139:$I$159,4,0)),0,VLOOKUP(A34,'Données projet'!$A$139:$I$159,4,0))</f>
        <v>36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57.211549571076205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57.211549571076205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57.211549571076205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57.211549571076205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57.211549571076205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4.4000000000000004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16.133333333333336</v>
      </c>
      <c r="H35" s="67">
        <f t="shared" si="1"/>
        <v>192.13333333333333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57.43340059532607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14.800000000000002</v>
      </c>
      <c r="N35" s="13">
        <f>IF('Données projet'!$A$36&gt;35,N34+M35-V34,IF(A35&lt;'Données projet'!$A$36,$K$205^A35,IF(A35='Données projet'!$A$36,'Données projet'!$B$36,N34+M35-V34)))</f>
        <v>214.70000000000007</v>
      </c>
      <c r="O35" s="13">
        <f>N35*VLOOKUP('Données projet'!$B$9,Paramètres!$A$1:$I$89,3,0)*VLOOKUP('Données projet'!$B$9,Paramètres!$A$1:$I$89,5,0)</f>
        <v>128.39060000000006</v>
      </c>
      <c r="P35" s="13">
        <f t="shared" si="33"/>
        <v>33.624205053748</v>
      </c>
      <c r="Q35" s="20">
        <f t="shared" ref="Q35:Q66" si="53">(O35+P35)*0.475*44/12</f>
        <v>282.1757854686112</v>
      </c>
      <c r="R35" s="59">
        <f t="shared" si="0"/>
        <v>529.43158765147348</v>
      </c>
      <c r="S35" s="59">
        <f ca="1">AVERAGE(OFFSET($R$3,0,0,'Données projet'!$E$9+1,1))-AVERAGE(OFFSET($H$3,0,0,'Données projet'!$E$9+1,1))</f>
        <v>299.45724561493057</v>
      </c>
      <c r="T35" s="59">
        <f t="shared" si="34"/>
        <v>297.63369027443196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2.7279033780762658</v>
      </c>
      <c r="AA35" s="21">
        <f>EXP(-LN(2)/25)*AA34+(1-EXP(-LN(2)/25))/(LN(2)/25)*Calculateur!V35*Calculateur!X35*VLOOKUP('Données projet'!$B$9,Paramètres!$A$1:$I$89,3,0)*0.475*44/12</f>
        <v>23.915475680154692</v>
      </c>
      <c r="AB35" s="21">
        <f>EXP(-LN(2)/2)*AB34+(1-EXP(-LN(2)/2))/(LN(2)/2)*V35*Y35*VLOOKUP('Données projet'!$B$9,Paramètres!$A$1:$I$89,3,0)*0.475*44/12</f>
        <v>0</v>
      </c>
      <c r="AC35" s="22">
        <f t="shared" si="3"/>
        <v>26.643379058230959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57.43340059532607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>
        <f>VLOOKUP(A35,'Données projet'!$A$61:$I$81,2,0)</f>
        <v>332</v>
      </c>
      <c r="AG35" s="12">
        <f>VLOOKUP(A35,'Données projet'!$A$61:$I$81,9,0)</f>
        <v>19.714285714285715</v>
      </c>
      <c r="AH35" s="12">
        <f t="array" ref="AH35">INDEX(AG:AG,MIN(IF(ISNUMBER(AG35:AG231),ROW(AG35:AG231),"")))</f>
        <v>19.714285714285715</v>
      </c>
      <c r="AI35" s="13">
        <f>IF('Données projet'!$A$62&gt;35,AI34+AH35-AQ34,IF(A35&lt;'Données projet'!$A$62,$AF$205^A35,IF(A35='Données projet'!$A$62,'Données projet'!$B$62,AI34+AH35-AQ34)))</f>
        <v>332.00000000000006</v>
      </c>
      <c r="AJ35" s="13">
        <f>AI35*VLOOKUP('Données projet'!$B$10,Paramètres!$A$1:$I$89,3,0)*VLOOKUP('Données projet'!$B$10,Paramètres!$A$1:$I$89,5,0)</f>
        <v>185.58800000000002</v>
      </c>
      <c r="AK35" s="13">
        <f t="shared" si="35"/>
        <v>46.563192499694225</v>
      </c>
      <c r="AL35" s="20">
        <f t="shared" si="4"/>
        <v>404.32999360363414</v>
      </c>
      <c r="AM35" s="59">
        <f t="shared" si="5"/>
        <v>651.58579578649642</v>
      </c>
      <c r="AN35" s="59">
        <f ca="1">AVERAGE(OFFSET($AM$3,0,0,'Données projet'!$E$10+1,1))-AVERAGE(OFFSET($H$3,0,0,'Données projet'!$E$10+1,1))</f>
        <v>363.98181065114898</v>
      </c>
      <c r="AO35" s="59">
        <f t="shared" si="36"/>
        <v>410.85213343666396</v>
      </c>
      <c r="AP35" s="15">
        <f>IF(ISNA(VLOOKUP(A35,'Données projet'!$A$61:$I$81,3,0)),0,VLOOKUP(A35,'Données projet'!$A$61:$I$81,3,0))</f>
        <v>2</v>
      </c>
      <c r="AQ35" s="15">
        <f>IF(ISNA(VLOOKUP(A35,'Données projet'!$A$61:$I$81,4,0)),0,VLOOKUP(A35,'Données projet'!$A$61:$I$81,4,0))</f>
        <v>79</v>
      </c>
      <c r="AR35" s="16">
        <f>IF(ISNA(VLOOKUP(A35,'Données projet'!$A$61:$I$81,5,0)),0%,VLOOKUP(A35,'Données projet'!$A$61:$I$81,5,0)*VLOOKUP('Données projet'!$B$10,Paramètres!$A$1:$I$89,7,0))</f>
        <v>0.16500000000000001</v>
      </c>
      <c r="AS35" s="16">
        <f>IF(ISNA(VLOOKUP(A35,'Données projet'!$A$61:$I$81,6,0)),0%,VLOOKUP(A35,'Données projet'!$A$61:$I$81,6,0)*VLOOKUP('Données projet'!$B$10,Paramètres!$A$1:$I$89,7,0))</f>
        <v>0.27500000000000002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11.760928524537043</v>
      </c>
      <c r="AV35" s="21">
        <f>EXP(-LN(2)/25)*AV34+(1-EXP(-LN(2)/25))/(LN(2)/25)*Calculateur!AQ35*Calculateur!AS35*VLOOKUP('Données projet'!$B$10,Paramètres!$A$1:$I$89,3,0)*0.475*44/12</f>
        <v>31.83894842842119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43.599876952958233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57.43340059532607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11.559999999999997</v>
      </c>
      <c r="BD35" s="12">
        <f>IF('Données projet'!$A$88&gt;35,BD34+BC35-BL34,IF(A35&lt;'Données projet'!$A$88,$BA$205^A35,IF(A35='Données projet'!$A$88,'Données projet'!$B$88,BD34+BC35-BL34)))</f>
        <v>154.48000000000002</v>
      </c>
      <c r="BE35" s="13">
        <f>BD35*VLOOKUP('Données projet'!$B$11,Paramètres!$A$1:$I$89,3,0)*VLOOKUP('Données projet'!$B$11,Paramètres!$A$1:$I$89,5,0)</f>
        <v>134.95372800000004</v>
      </c>
      <c r="BF35" s="13">
        <f t="shared" si="37"/>
        <v>35.138517149474964</v>
      </c>
      <c r="BG35" s="20">
        <f t="shared" si="7"/>
        <v>296.24399363533558</v>
      </c>
      <c r="BH35" s="59">
        <f t="shared" si="8"/>
        <v>543.49979581819787</v>
      </c>
      <c r="BI35" s="59">
        <f ca="1">AVERAGE(OFFSET($BH$3,0,0,'Données projet'!$E$11+1,1))-AVERAGE(OFFSET($H$3,0,0,'Données projet'!$E$11+1,1))</f>
        <v>433.6995276469014</v>
      </c>
      <c r="BJ35" s="59">
        <f t="shared" si="38"/>
        <v>306.37969720280557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5.0432106892931481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5.0432106892931481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57.43340059532607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0.16216216216216217</v>
      </c>
      <c r="BY35" s="12">
        <f>IF('Données projet'!$A$114&gt;35,BY34+BX35-CG34,IF(A35&lt;'Données projet'!$A$114,$BV$205^A35,IF(A35='Données projet'!$A$114,'Données projet'!$B$114,BY34+BX35-CG34)))</f>
        <v>5.1891891891891921</v>
      </c>
      <c r="BZ35" s="13">
        <f>BY35*VLOOKUP('Données projet'!$B$12,Paramètres!$A$1:$I$89,3,0)*VLOOKUP('Données projet'!$B$12,Paramètres!$A$1:$I$89,5,0)</f>
        <v>5.0189837837837867</v>
      </c>
      <c r="CA35" s="13">
        <f t="shared" si="39"/>
        <v>1.9169738082101977</v>
      </c>
      <c r="CB35" s="20">
        <f t="shared" si="10"/>
        <v>12.080126139389522</v>
      </c>
      <c r="CC35" s="59">
        <f t="shared" si="11"/>
        <v>259.33592832225185</v>
      </c>
      <c r="CD35" s="59">
        <f ca="1">AVERAGE(OFFSET($CC$3,0,0,'Données projet'!$E$12+1,1))-AVERAGE(OFFSET($H$3,0,0,'Données projet'!$E$12+1,1))</f>
        <v>455.95436253828132</v>
      </c>
      <c r="CE35" s="59">
        <f t="shared" si="40"/>
        <v>64.829921296688497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57.43340059532607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11.5</v>
      </c>
      <c r="CT35" s="12">
        <f>IF('Données projet'!$A$140&gt;35,CT34+CS35-DB34,IF(A35&lt;'Données projet'!$A$140,$CQ$205^A35,IF(A35='Données projet'!$A$140,'Données projet'!$B$140,CT34+CS35-DB34)))</f>
        <v>130.49999999999994</v>
      </c>
      <c r="CU35" s="17">
        <f>CT35*VLOOKUP('Données projet'!$B$13,Paramètres!$A$1:$I$89,3,0)*VLOOKUP('Données projet'!$B$13,Paramètres!$A$1:$I$89,5,0)</f>
        <v>101.78999999999996</v>
      </c>
      <c r="CV35" s="13">
        <f t="shared" si="41"/>
        <v>27.38799903683508</v>
      </c>
      <c r="CW35" s="20">
        <f t="shared" si="13"/>
        <v>224.98501498915437</v>
      </c>
      <c r="CX35" s="59">
        <f t="shared" si="14"/>
        <v>472.2408171720167</v>
      </c>
      <c r="CY35" s="59">
        <f ca="1">AVERAGE(OFFSET($CX$3,0,0,'Données projet'!$E$13+1,1))-AVERAGE(OFFSET($H$3,0,0,'Données projet'!$E$13+1,1))</f>
        <v>306.44760579759713</v>
      </c>
      <c r="CZ35" s="59">
        <f t="shared" si="42"/>
        <v>300.30192123221718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57.43340059532607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57.43340059532607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57.43340059532607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57.43340059532607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57.43340059532607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4.4000000000000004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16.133333333333336</v>
      </c>
      <c r="H36" s="67">
        <f t="shared" si="1"/>
        <v>192.13333333333333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57.651403000289783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14.800000000000002</v>
      </c>
      <c r="N36" s="13">
        <f>IF('Données projet'!$A$36&gt;35,N35+M36-V35,IF(A36&lt;'Données projet'!$A$36,$K$205^A36,IF(A36='Données projet'!$A$36,'Données projet'!$B$36,N35+M36-V35)))</f>
        <v>229.50000000000009</v>
      </c>
      <c r="O36" s="13">
        <f>N36*VLOOKUP('Données projet'!$B$9,Paramètres!$A$1:$I$89,3,0)*VLOOKUP('Données projet'!$B$9,Paramètres!$A$1:$I$89,5,0)</f>
        <v>137.24100000000007</v>
      </c>
      <c r="P36" s="13">
        <f t="shared" si="33"/>
        <v>35.664227034372104</v>
      </c>
      <c r="Q36" s="20">
        <f t="shared" si="53"/>
        <v>301.1432704181982</v>
      </c>
      <c r="R36" s="59">
        <f t="shared" si="0"/>
        <v>549.19841475259409</v>
      </c>
      <c r="S36" s="59">
        <f ca="1">AVERAGE(OFFSET($R$3,0,0,'Données projet'!$E$9+1,1))-AVERAGE(OFFSET($H$3,0,0,'Données projet'!$E$9+1,1))</f>
        <v>299.45724561493057</v>
      </c>
      <c r="T36" s="59">
        <f t="shared" si="34"/>
        <v>297.63369027443196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2.6744108566889588</v>
      </c>
      <c r="AA36" s="21">
        <f>EXP(-LN(2)/25)*AA35+(1-EXP(-LN(2)/25))/(LN(2)/25)*Calculateur!V36*Calculateur!X36*VLOOKUP('Données projet'!$B$9,Paramètres!$A$1:$I$89,3,0)*0.475*44/12</f>
        <v>23.261505740020656</v>
      </c>
      <c r="AB36" s="21">
        <f>EXP(-LN(2)/2)*AB35+(1-EXP(-LN(2)/2))/(LN(2)/2)*V36*Y36*VLOOKUP('Données projet'!$B$9,Paramètres!$A$1:$I$89,3,0)*0.475*44/12</f>
        <v>0</v>
      </c>
      <c r="AC36" s="22">
        <f t="shared" si="3"/>
        <v>25.935916596709614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57.651403000289783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19.714285714285715</v>
      </c>
      <c r="AI36" s="13">
        <f>IF('Données projet'!$A$62&gt;35,AI35+AH36-AQ35,IF(A36&lt;'Données projet'!$A$62,$AF$205^A36,IF(A36='Données projet'!$A$62,'Données projet'!$B$62,AI35+AH36-AQ35)))</f>
        <v>272.71428571428578</v>
      </c>
      <c r="AJ36" s="13">
        <f>AI36*VLOOKUP('Données projet'!$B$10,Paramètres!$A$1:$I$89,3,0)*VLOOKUP('Données projet'!$B$10,Paramètres!$A$1:$I$89,5,0)</f>
        <v>152.44728571428575</v>
      </c>
      <c r="AK36" s="13">
        <f t="shared" si="35"/>
        <v>39.134215165354775</v>
      </c>
      <c r="AL36" s="20">
        <f t="shared" si="4"/>
        <v>333.67111403204058</v>
      </c>
      <c r="AM36" s="59">
        <f t="shared" si="5"/>
        <v>581.72625836643647</v>
      </c>
      <c r="AN36" s="59">
        <f ca="1">AVERAGE(OFFSET($AM$3,0,0,'Données projet'!$E$10+1,1))-AVERAGE(OFFSET($H$3,0,0,'Données projet'!$E$10+1,1))</f>
        <v>363.98181065114898</v>
      </c>
      <c r="AO36" s="59">
        <f t="shared" si="36"/>
        <v>410.85213343666396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11.530303889628952</v>
      </c>
      <c r="AV36" s="21">
        <f>EXP(-LN(2)/25)*AV35+(1-EXP(-LN(2)/25))/(LN(2)/25)*Calculateur!AQ36*Calculateur!AS36*VLOOKUP('Données projet'!$B$10,Paramètres!$A$1:$I$89,3,0)*0.475*44/12</f>
        <v>30.968310709308483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42.498614598937436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57.651403000289783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11.559999999999997</v>
      </c>
      <c r="BD36" s="12">
        <f>IF('Données projet'!$A$88&gt;35,BD35+BC36-BL35,IF(A36&lt;'Données projet'!$A$88,$BA$205^A36,IF(A36='Données projet'!$A$88,'Données projet'!$B$88,BD35+BC36-BL35)))</f>
        <v>166.04000000000002</v>
      </c>
      <c r="BE36" s="13">
        <f>BD36*VLOOKUP('Données projet'!$B$11,Paramètres!$A$1:$I$89,3,0)*VLOOKUP('Données projet'!$B$11,Paramètres!$A$1:$I$89,5,0)</f>
        <v>145.05254400000004</v>
      </c>
      <c r="BF36" s="13">
        <f t="shared" si="37"/>
        <v>37.452073255831394</v>
      </c>
      <c r="BG36" s="20">
        <f t="shared" si="7"/>
        <v>317.86220838723972</v>
      </c>
      <c r="BH36" s="59">
        <f t="shared" si="8"/>
        <v>565.91735272163555</v>
      </c>
      <c r="BI36" s="59">
        <f ca="1">AVERAGE(OFFSET($BH$3,0,0,'Données projet'!$E$11+1,1))-AVERAGE(OFFSET($H$3,0,0,'Données projet'!$E$11+1,1))</f>
        <v>433.6995276469014</v>
      </c>
      <c r="BJ36" s="59">
        <f t="shared" si="38"/>
        <v>306.37969720280557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4.905303827783503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4.905303827783503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57.651403000289783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0.16216216216216217</v>
      </c>
      <c r="BY36" s="12">
        <f>IF('Données projet'!$A$114&gt;35,BY35+BX36-CG35,IF(A36&lt;'Données projet'!$A$114,$BV$205^A36,IF(A36='Données projet'!$A$114,'Données projet'!$B$114,BY35+BX36-CG35)))</f>
        <v>5.3513513513513544</v>
      </c>
      <c r="BZ36" s="13">
        <f>BY36*VLOOKUP('Données projet'!$B$12,Paramètres!$A$1:$I$89,3,0)*VLOOKUP('Données projet'!$B$12,Paramètres!$A$1:$I$89,5,0)</f>
        <v>5.1758270270270303</v>
      </c>
      <c r="CA36" s="13">
        <f t="shared" si="39"/>
        <v>1.9698110780074323</v>
      </c>
      <c r="CB36" s="20">
        <f t="shared" si="10"/>
        <v>12.445319699601688</v>
      </c>
      <c r="CC36" s="59">
        <f t="shared" si="11"/>
        <v>260.50046403399756</v>
      </c>
      <c r="CD36" s="59">
        <f ca="1">AVERAGE(OFFSET($CC$3,0,0,'Données projet'!$E$12+1,1))-AVERAGE(OFFSET($H$3,0,0,'Données projet'!$E$12+1,1))</f>
        <v>455.95436253828132</v>
      </c>
      <c r="CE36" s="59">
        <f t="shared" si="40"/>
        <v>64.829921296688497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57.651403000289783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11.5</v>
      </c>
      <c r="CT36" s="12">
        <f>IF('Données projet'!$A$140&gt;35,CT35+CS36-DB35,IF(A36&lt;'Données projet'!$A$140,$CQ$205^A36,IF(A36='Données projet'!$A$140,'Données projet'!$B$140,CT35+CS36-DB35)))</f>
        <v>141.99999999999994</v>
      </c>
      <c r="CU36" s="17">
        <f>CT36*VLOOKUP('Données projet'!$B$13,Paramètres!$A$1:$I$89,3,0)*VLOOKUP('Données projet'!$B$13,Paramètres!$A$1:$I$89,5,0)</f>
        <v>110.75999999999996</v>
      </c>
      <c r="CV36" s="13">
        <f t="shared" si="41"/>
        <v>29.509974682362923</v>
      </c>
      <c r="CW36" s="20">
        <f t="shared" si="13"/>
        <v>244.30353923844871</v>
      </c>
      <c r="CX36" s="59">
        <f t="shared" si="14"/>
        <v>492.3586835728446</v>
      </c>
      <c r="CY36" s="59">
        <f ca="1">AVERAGE(OFFSET($CX$3,0,0,'Données projet'!$E$13+1,1))-AVERAGE(OFFSET($H$3,0,0,'Données projet'!$E$13+1,1))</f>
        <v>306.44760579759713</v>
      </c>
      <c r="CZ36" s="59">
        <f t="shared" si="42"/>
        <v>300.30192123221718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57.651403000289783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57.651403000289783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57.651403000289783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57.651403000289783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57.651403000289783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4.4000000000000004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16.133333333333336</v>
      </c>
      <c r="H37" s="67">
        <f t="shared" si="1"/>
        <v>192.13333333333333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57.865623550907742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244.3</v>
      </c>
      <c r="L37" s="12">
        <f>VLOOKUP(A37,'Données projet'!$A$35:$I$55,9,0)</f>
        <v>14.800000000000002</v>
      </c>
      <c r="M37" s="12">
        <f t="array" ref="M37">INDEX(L:L,MIN(IF(ISNUMBER(L37:L233),ROW(L37:L233),"")))</f>
        <v>14.800000000000002</v>
      </c>
      <c r="N37" s="13">
        <f>IF('Données projet'!$A$36&gt;35,N36+M37-V36,IF(A37&lt;'Données projet'!$A$36,$K$205^A37,IF(A37='Données projet'!$A$36,'Données projet'!$B$36,N36+M37-V36)))</f>
        <v>244.3000000000001</v>
      </c>
      <c r="O37" s="13">
        <f>N37*VLOOKUP('Données projet'!$B$9,Paramètres!$A$1:$I$89,3,0)*VLOOKUP('Données projet'!$B$9,Paramètres!$A$1:$I$89,5,0)</f>
        <v>146.09140000000005</v>
      </c>
      <c r="P37" s="13">
        <f t="shared" si="33"/>
        <v>37.688981946429585</v>
      </c>
      <c r="Q37" s="20">
        <f t="shared" si="53"/>
        <v>320.08416522336495</v>
      </c>
      <c r="R37" s="59">
        <f t="shared" si="0"/>
        <v>568.92478491002669</v>
      </c>
      <c r="S37" s="59">
        <f ca="1">AVERAGE(OFFSET($R$3,0,0,'Données projet'!$E$9+1,1))-AVERAGE(OFFSET($H$3,0,0,'Données projet'!$E$9+1,1))</f>
        <v>299.45724561493057</v>
      </c>
      <c r="T37" s="59">
        <f t="shared" si="34"/>
        <v>297.63369027443196</v>
      </c>
      <c r="U37" s="15">
        <f>IF(ISNA(VLOOKUP(A37,'Données projet'!$A$35:$I$55,3,0)),0,VLOOKUP(A37,'Données projet'!$A$35:$I$55,3,0))</f>
        <v>5</v>
      </c>
      <c r="V37" s="15">
        <f>IF(ISNA(VLOOKUP(A37,'Données projet'!$A$35:$I$55,4,0)),0,VLOOKUP(A37,'Données projet'!$A$35:$I$55,4,0))</f>
        <v>46.2</v>
      </c>
      <c r="W37" s="16">
        <f>IF(ISNA(VLOOKUP(A37,'Données projet'!$A$35:$I$55,5,0)),0%,VLOOKUP(A37,'Données projet'!$A$35:$I$55,5,0)*VLOOKUP('Données projet'!$B$9,Paramètres!$A$1:$I$89,7,0))</f>
        <v>0.13500000000000001</v>
      </c>
      <c r="X37" s="16">
        <f>IF(ISNA(VLOOKUP(A37,'Données projet'!$A$35:$I$55,6,0)),0%,VLOOKUP(A37,'Données projet'!$A$35:$I$55,6,0)*VLOOKUP('Données projet'!$B$9,Paramètres!$A$1:$I$89,7,0))</f>
        <v>0.22500000000000001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7.5696892311475352</v>
      </c>
      <c r="AA37" s="21">
        <f>EXP(-LN(2)/25)*AA36+(1-EXP(-LN(2)/25))/(LN(2)/25)*Calculateur!V37*Calculateur!X37*VLOOKUP('Données projet'!$B$9,Paramètres!$A$1:$I$89,3,0)*0.475*44/12</f>
        <v>30.839153431657955</v>
      </c>
      <c r="AB37" s="21">
        <f>EXP(-LN(2)/2)*AB36+(1-EXP(-LN(2)/2))/(LN(2)/2)*V37*Y37*VLOOKUP('Données projet'!$B$9,Paramètres!$A$1:$I$89,3,0)*0.475*44/12</f>
        <v>0</v>
      </c>
      <c r="AC37" s="22">
        <f t="shared" si="3"/>
        <v>38.40884266280549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57.865623550907742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19.714285714285715</v>
      </c>
      <c r="AI37" s="13">
        <f>IF('Données projet'!$A$62&gt;35,AI36+AH37-AQ36,IF(A37&lt;'Données projet'!$A$62,$AF$205^A37,IF(A37='Données projet'!$A$62,'Données projet'!$B$62,AI36+AH37-AQ36)))</f>
        <v>292.4285714285715</v>
      </c>
      <c r="AJ37" s="13">
        <f>AI37*VLOOKUP('Données projet'!$B$10,Paramètres!$A$1:$I$89,3,0)*VLOOKUP('Données projet'!$B$10,Paramètres!$A$1:$I$89,5,0)</f>
        <v>163.46757142857146</v>
      </c>
      <c r="AK37" s="13">
        <f t="shared" si="35"/>
        <v>41.623657176502142</v>
      </c>
      <c r="AL37" s="20">
        <f t="shared" si="4"/>
        <v>357.20055648716988</v>
      </c>
      <c r="AM37" s="59">
        <f t="shared" si="5"/>
        <v>606.04117617383167</v>
      </c>
      <c r="AN37" s="59">
        <f ca="1">AVERAGE(OFFSET($AM$3,0,0,'Données projet'!$E$10+1,1))-AVERAGE(OFFSET($H$3,0,0,'Données projet'!$E$10+1,1))</f>
        <v>363.98181065114898</v>
      </c>
      <c r="AO37" s="59">
        <f t="shared" si="36"/>
        <v>410.85213343666396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11.304201663144271</v>
      </c>
      <c r="AV37" s="21">
        <f>EXP(-LN(2)/25)*AV36+(1-EXP(-LN(2)/25))/(LN(2)/25)*Calculateur!AQ37*Calculateur!AS37*VLOOKUP('Données projet'!$B$10,Paramètres!$A$1:$I$89,3,0)*0.475*44/12</f>
        <v>30.121480624409759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41.425682287554032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57.865623550907742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>
        <f>VLOOKUP(A37,'Données projet'!$A$87:$I$107,2,0)</f>
        <v>177.6</v>
      </c>
      <c r="BB37" s="12">
        <f>VLOOKUP(A37,'Données projet'!$A$87:$I$107,9,0)</f>
        <v>11.559999999999997</v>
      </c>
      <c r="BC37" s="12">
        <f t="array" ref="BC37">INDEX(BB:BB,MIN(IF(ISNUMBER(BB37:BB233),ROW(BB37:BB233),"")))</f>
        <v>11.559999999999997</v>
      </c>
      <c r="BD37" s="12">
        <f>IF('Données projet'!$A$88&gt;35,BD36+BC37-BL36,IF(A37&lt;'Données projet'!$A$88,$BA$205^A37,IF(A37='Données projet'!$A$88,'Données projet'!$B$88,BD36+BC37-BL36)))</f>
        <v>177.60000000000002</v>
      </c>
      <c r="BE37" s="13">
        <f>BD37*VLOOKUP('Données projet'!$B$11,Paramètres!$A$1:$I$89,3,0)*VLOOKUP('Données projet'!$B$11,Paramètres!$A$1:$I$89,5,0)</f>
        <v>155.15136000000004</v>
      </c>
      <c r="BF37" s="13">
        <f t="shared" si="37"/>
        <v>39.746940196236942</v>
      </c>
      <c r="BG37" s="20">
        <f t="shared" si="7"/>
        <v>339.44787284177943</v>
      </c>
      <c r="BH37" s="59">
        <f t="shared" si="8"/>
        <v>588.28849252844111</v>
      </c>
      <c r="BI37" s="59">
        <f ca="1">AVERAGE(OFFSET($BH$3,0,0,'Données projet'!$E$11+1,1))-AVERAGE(OFFSET($H$3,0,0,'Données projet'!$E$11+1,1))</f>
        <v>433.6995276469014</v>
      </c>
      <c r="BJ37" s="59">
        <f t="shared" si="38"/>
        <v>306.37969720280557</v>
      </c>
      <c r="BK37" s="15">
        <f>IF(ISNA(VLOOKUP(A37,'Données projet'!$A$87:$I$107,3,0)),0,VLOOKUP(A37,'Données projet'!$A$87:$I$107,3,0))</f>
        <v>2</v>
      </c>
      <c r="BL37" s="15">
        <f>IF(ISNA(VLOOKUP(A37,'Données projet'!$A$87:$I$107,4,0)),0,VLOOKUP(A37,'Données projet'!$A$87:$I$107,4,0))</f>
        <v>23.1</v>
      </c>
      <c r="BM37" s="16">
        <f>IF(ISNA(VLOOKUP(A37,'Données projet'!$A$87:$I$107,5,0)),0%,VLOOKUP(A37,'Données projet'!$A$87:$I$107,5,0)*VLOOKUP('Données projet'!$B$11,Paramètres!$A$1:$I$89,7,0))</f>
        <v>0.25800000000000001</v>
      </c>
      <c r="BN37" s="16">
        <f>IF(ISNA(VLOOKUP(A37,'Données projet'!$A$87:$I$107,6,0)),0%,VLOOKUP(A37,'Données projet'!$A$87:$I$107,6,0)*VLOOKUP('Données projet'!$B$11,Paramètres!$A$1:$I$89,7,0))</f>
        <v>8.5999999999999993E-2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5.7556108366328012</v>
      </c>
      <c r="BQ37" s="21">
        <f>EXP(-LN(2)/25)*BQ36+(1-EXP(-LN(2)/25))/(LN(2)/25)*Calculateur!BL37*Calculateur!BN37*VLOOKUP('Données projet'!$B$11,Paramètres!$A$1:$I$89,3,0)*0.475*44/12</f>
        <v>6.6821509712238178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12.437761807856619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57.865623550907742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0.16216216216216217</v>
      </c>
      <c r="BY37" s="12">
        <f>IF('Données projet'!$A$114&gt;35,BY36+BX37-CG36,IF(A37&lt;'Données projet'!$A$114,$BV$205^A37,IF(A37='Données projet'!$A$114,'Données projet'!$B$114,BY36+BX37-CG36)))</f>
        <v>5.5135135135135167</v>
      </c>
      <c r="BZ37" s="13">
        <f>BY37*VLOOKUP('Données projet'!$B$12,Paramètres!$A$1:$I$89,3,0)*VLOOKUP('Données projet'!$B$12,Paramètres!$A$1:$I$89,5,0)</f>
        <v>5.3326702702702731</v>
      </c>
      <c r="CA37" s="13">
        <f t="shared" si="39"/>
        <v>2.0224622745606151</v>
      </c>
      <c r="CB37" s="20">
        <f t="shared" si="10"/>
        <v>12.810189182247129</v>
      </c>
      <c r="CC37" s="59">
        <f t="shared" si="11"/>
        <v>261.65080886890888</v>
      </c>
      <c r="CD37" s="59">
        <f ca="1">AVERAGE(OFFSET($CC$3,0,0,'Données projet'!$E$12+1,1))-AVERAGE(OFFSET($H$3,0,0,'Données projet'!$E$12+1,1))</f>
        <v>455.95436253828132</v>
      </c>
      <c r="CE37" s="59">
        <f t="shared" si="40"/>
        <v>64.829921296688497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57.865623550907742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11.5</v>
      </c>
      <c r="CT37" s="12">
        <f>IF('Données projet'!$A$140&gt;35,CT36+CS37-DB36,IF(A37&lt;'Données projet'!$A$140,$CQ$205^A37,IF(A37='Données projet'!$A$140,'Données projet'!$B$140,CT36+CS37-DB36)))</f>
        <v>153.49999999999994</v>
      </c>
      <c r="CU37" s="17">
        <f>CT37*VLOOKUP('Données projet'!$B$13,Paramètres!$A$1:$I$89,3,0)*VLOOKUP('Données projet'!$B$13,Paramètres!$A$1:$I$89,5,0)</f>
        <v>119.72999999999996</v>
      </c>
      <c r="CV37" s="13">
        <f t="shared" si="41"/>
        <v>31.612017974790529</v>
      </c>
      <c r="CW37" s="20">
        <f t="shared" si="13"/>
        <v>263.58734797276003</v>
      </c>
      <c r="CX37" s="59">
        <f t="shared" si="14"/>
        <v>512.42796765942171</v>
      </c>
      <c r="CY37" s="59">
        <f ca="1">AVERAGE(OFFSET($CX$3,0,0,'Données projet'!$E$13+1,1))-AVERAGE(OFFSET($H$3,0,0,'Données projet'!$E$13+1,1))</f>
        <v>306.44760579759713</v>
      </c>
      <c r="CZ37" s="59">
        <f t="shared" si="42"/>
        <v>300.30192123221718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57.865623550907742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57.865623550907742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57.865623550907742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57.865623550907742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57.865623550907742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4.4000000000000004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16.133333333333336</v>
      </c>
      <c r="H38" s="67">
        <f t="shared" si="1"/>
        <v>192.13333333333333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58.07612785389788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12.883333333333326</v>
      </c>
      <c r="N38" s="13">
        <f>IF('Données projet'!$A$36&gt;35,N37+M38-V37,IF(A38&lt;'Données projet'!$A$36,$K$205^A38,IF(A38='Données projet'!$A$36,'Données projet'!$B$36,N37+M38-V37)))</f>
        <v>210.98333333333341</v>
      </c>
      <c r="O38" s="13">
        <f>N38*VLOOKUP('Données projet'!$B$9,Paramètres!$A$1:$I$89,3,0)*VLOOKUP('Données projet'!$B$9,Paramètres!$A$1:$I$89,5,0)</f>
        <v>126.16803333333338</v>
      </c>
      <c r="P38" s="13">
        <f t="shared" si="33"/>
        <v>33.109368382350048</v>
      </c>
      <c r="Q38" s="20">
        <f t="shared" si="53"/>
        <v>277.40814132148193</v>
      </c>
      <c r="R38" s="59">
        <f t="shared" si="0"/>
        <v>527.02061011910746</v>
      </c>
      <c r="S38" s="59">
        <f ca="1">AVERAGE(OFFSET($R$3,0,0,'Données projet'!$E$9+1,1))-AVERAGE(OFFSET($H$3,0,0,'Données projet'!$E$9+1,1))</f>
        <v>299.45724561493057</v>
      </c>
      <c r="T38" s="59">
        <f t="shared" si="34"/>
        <v>297.63369027443196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7.4212522423792668</v>
      </c>
      <c r="AA38" s="21">
        <f>EXP(-LN(2)/25)*AA37+(1-EXP(-LN(2)/25))/(LN(2)/25)*Calculateur!V38*Calculateur!X38*VLOOKUP('Données projet'!$B$9,Paramètres!$A$1:$I$89,3,0)*0.475*44/12</f>
        <v>29.995855159308672</v>
      </c>
      <c r="AB38" s="21">
        <f>EXP(-LN(2)/2)*AB37+(1-EXP(-LN(2)/2))/(LN(2)/2)*V38*Y38*VLOOKUP('Données projet'!$B$9,Paramètres!$A$1:$I$89,3,0)*0.475*44/12</f>
        <v>0</v>
      </c>
      <c r="AC38" s="22">
        <f t="shared" si="3"/>
        <v>37.417107401687936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58.07612785389788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19.714285714285715</v>
      </c>
      <c r="AI38" s="13">
        <f>IF('Données projet'!$A$62&gt;35,AI37+AH38-AQ37,IF(A38&lt;'Données projet'!$A$62,$AF$205^A38,IF(A38='Données projet'!$A$62,'Données projet'!$B$62,AI37+AH38-AQ37)))</f>
        <v>312.14285714285722</v>
      </c>
      <c r="AJ38" s="13">
        <f>AI38*VLOOKUP('Données projet'!$B$10,Paramètres!$A$1:$I$89,3,0)*VLOOKUP('Données projet'!$B$10,Paramètres!$A$1:$I$89,5,0)</f>
        <v>174.48785714285722</v>
      </c>
      <c r="AK38" s="13">
        <f t="shared" si="35"/>
        <v>44.093624942634548</v>
      </c>
      <c r="AL38" s="20">
        <f t="shared" si="4"/>
        <v>380.69608129889815</v>
      </c>
      <c r="AM38" s="59">
        <f t="shared" si="5"/>
        <v>630.30855009652373</v>
      </c>
      <c r="AN38" s="59">
        <f ca="1">AVERAGE(OFFSET($AM$3,0,0,'Données projet'!$E$10+1,1))-AVERAGE(OFFSET($H$3,0,0,'Données projet'!$E$10+1,1))</f>
        <v>363.98181065114898</v>
      </c>
      <c r="AO38" s="59">
        <f t="shared" si="36"/>
        <v>410.85213343666396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11.082533163412213</v>
      </c>
      <c r="AV38" s="21">
        <f>EXP(-LN(2)/25)*AV37+(1-EXP(-LN(2)/25))/(LN(2)/25)*Calculateur!AQ38*Calculateur!AS38*VLOOKUP('Données projet'!$B$10,Paramètres!$A$1:$I$89,3,0)*0.475*44/12</f>
        <v>29.297807152715453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40.380340316127665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58.07612785389788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10.212499999999999</v>
      </c>
      <c r="BD38" s="12">
        <f>IF('Données projet'!$A$88&gt;35,BD37+BC38-BL37,IF(A38&lt;'Données projet'!$A$88,$BA$205^A38,IF(A38='Données projet'!$A$88,'Données projet'!$B$88,BD37+BC38-BL37)))</f>
        <v>164.71250000000003</v>
      </c>
      <c r="BE38" s="13">
        <f>BD38*VLOOKUP('Données projet'!$B$11,Paramètres!$A$1:$I$89,3,0)*VLOOKUP('Données projet'!$B$11,Paramètres!$A$1:$I$89,5,0)</f>
        <v>143.89284000000006</v>
      </c>
      <c r="BF38" s="13">
        <f t="shared" si="37"/>
        <v>37.187371991533887</v>
      </c>
      <c r="BG38" s="20">
        <f t="shared" si="7"/>
        <v>315.3813692185883</v>
      </c>
      <c r="BH38" s="59">
        <f t="shared" si="8"/>
        <v>564.99383801621389</v>
      </c>
      <c r="BI38" s="59">
        <f ca="1">AVERAGE(OFFSET($BH$3,0,0,'Données projet'!$E$11+1,1))-AVERAGE(OFFSET($H$3,0,0,'Données projet'!$E$11+1,1))</f>
        <v>433.6995276469014</v>
      </c>
      <c r="BJ38" s="59">
        <f t="shared" si="38"/>
        <v>306.37969720280557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5.6427468187024017</v>
      </c>
      <c r="BQ38" s="21">
        <f>EXP(-LN(2)/25)*BQ37+(1-EXP(-LN(2)/25))/(LN(2)/25)*Calculateur!BL38*Calculateur!BN38*VLOOKUP('Données projet'!$B$11,Paramètres!$A$1:$I$89,3,0)*0.475*44/12</f>
        <v>6.4994272015166556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12.142174020219057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58.07612785389788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0.16216216216216217</v>
      </c>
      <c r="BY38" s="12">
        <f>IF('Données projet'!$A$114&gt;35,BY37+BX38-CG37,IF(A38&lt;'Données projet'!$A$114,$BV$205^A38,IF(A38='Données projet'!$A$114,'Données projet'!$B$114,BY37+BX38-CG37)))</f>
        <v>5.675675675675679</v>
      </c>
      <c r="BZ38" s="13">
        <f>BY38*VLOOKUP('Données projet'!$B$12,Paramètres!$A$1:$I$89,3,0)*VLOOKUP('Données projet'!$B$12,Paramètres!$A$1:$I$89,5,0)</f>
        <v>5.4895135135135176</v>
      </c>
      <c r="CA38" s="13">
        <f t="shared" si="39"/>
        <v>2.074933498976149</v>
      </c>
      <c r="CB38" s="20">
        <f t="shared" si="10"/>
        <v>13.174745213419504</v>
      </c>
      <c r="CC38" s="59">
        <f t="shared" si="11"/>
        <v>262.78721401104502</v>
      </c>
      <c r="CD38" s="59">
        <f ca="1">AVERAGE(OFFSET($CC$3,0,0,'Données projet'!$E$12+1,1))-AVERAGE(OFFSET($H$3,0,0,'Données projet'!$E$12+1,1))</f>
        <v>455.95436253828132</v>
      </c>
      <c r="CE38" s="59">
        <f t="shared" si="40"/>
        <v>64.829921296688497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58.07612785389788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11.5</v>
      </c>
      <c r="CT38" s="12">
        <f>IF('Données projet'!$A$140&gt;35,CT37+CS38-DB37,IF(A38&lt;'Données projet'!$A$140,$CQ$205^A38,IF(A38='Données projet'!$A$140,'Données projet'!$B$140,CT37+CS38-DB37)))</f>
        <v>164.99999999999994</v>
      </c>
      <c r="CU38" s="17">
        <f>CT38*VLOOKUP('Données projet'!$B$13,Paramètres!$A$1:$I$89,3,0)*VLOOKUP('Données projet'!$B$13,Paramètres!$A$1:$I$89,5,0)</f>
        <v>128.69999999999996</v>
      </c>
      <c r="CV38" s="13">
        <f t="shared" si="41"/>
        <v>33.695792019186115</v>
      </c>
      <c r="CW38" s="20">
        <f t="shared" si="13"/>
        <v>282.83933776674911</v>
      </c>
      <c r="CX38" s="59">
        <f t="shared" si="14"/>
        <v>532.45180656437469</v>
      </c>
      <c r="CY38" s="59">
        <f ca="1">AVERAGE(OFFSET($CX$3,0,0,'Données projet'!$E$13+1,1))-AVERAGE(OFFSET($H$3,0,0,'Données projet'!$E$13+1,1))</f>
        <v>306.44760579759713</v>
      </c>
      <c r="CZ38" s="59">
        <f t="shared" si="42"/>
        <v>300.30192123221718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58.07612785389788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58.07612785389788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58.07612785389788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58.07612785389788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58.07612785389788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4.4000000000000004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16.133333333333336</v>
      </c>
      <c r="H39" s="67">
        <f t="shared" si="1"/>
        <v>192.13333333333333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58.282980377848261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12.883333333333326</v>
      </c>
      <c r="N39" s="13">
        <f>IF('Données projet'!$A$36&gt;35,N38+M39-V38,IF(A39&lt;'Données projet'!$A$36,$K$205^A39,IF(A39='Données projet'!$A$36,'Données projet'!$B$36,N38+M39-V38)))</f>
        <v>223.86666666666673</v>
      </c>
      <c r="O39" s="13">
        <f>N39*VLOOKUP('Données projet'!$B$9,Paramètres!$A$1:$I$89,3,0)*VLOOKUP('Données projet'!$B$9,Paramètres!$A$1:$I$89,5,0)</f>
        <v>133.87226666666672</v>
      </c>
      <c r="P39" s="13">
        <f t="shared" si="33"/>
        <v>34.889592240372629</v>
      </c>
      <c r="Q39" s="20">
        <f t="shared" si="53"/>
        <v>293.92690426309349</v>
      </c>
      <c r="R39" s="59">
        <f t="shared" si="0"/>
        <v>544.29783231520378</v>
      </c>
      <c r="S39" s="59">
        <f ca="1">AVERAGE(OFFSET($R$3,0,0,'Données projet'!$E$9+1,1))-AVERAGE(OFFSET($H$3,0,0,'Données projet'!$E$9+1,1))</f>
        <v>299.45724561493057</v>
      </c>
      <c r="T39" s="59">
        <f t="shared" si="34"/>
        <v>297.63369027443196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7.2757260124231209</v>
      </c>
      <c r="AA39" s="21">
        <f>EXP(-LN(2)/25)*AA38+(1-EXP(-LN(2)/25))/(LN(2)/25)*Calculateur!V39*Calculateur!X39*VLOOKUP('Données projet'!$B$9,Paramètres!$A$1:$I$89,3,0)*0.475*44/12</f>
        <v>29.175616922563911</v>
      </c>
      <c r="AB39" s="21">
        <f>EXP(-LN(2)/2)*AB38+(1-EXP(-LN(2)/2))/(LN(2)/2)*V39*Y39*VLOOKUP('Données projet'!$B$9,Paramètres!$A$1:$I$89,3,0)*0.475*44/12</f>
        <v>0</v>
      </c>
      <c r="AC39" s="22">
        <f t="shared" si="3"/>
        <v>36.451342934987032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58.282980377848261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19.714285714285715</v>
      </c>
      <c r="AI39" s="13">
        <f>IF('Données projet'!$A$62&gt;35,AI38+AH39-AQ38,IF(A39&lt;'Données projet'!$A$62,$AF$205^A39,IF(A39='Données projet'!$A$62,'Données projet'!$B$62,AI38+AH39-AQ38)))</f>
        <v>331.85714285714295</v>
      </c>
      <c r="AJ39" s="13">
        <f>AI39*VLOOKUP('Données projet'!$B$10,Paramètres!$A$1:$I$89,3,0)*VLOOKUP('Données projet'!$B$10,Paramètres!$A$1:$I$89,5,0)</f>
        <v>185.5081428571429</v>
      </c>
      <c r="AK39" s="13">
        <f t="shared" si="35"/>
        <v>46.545488425938196</v>
      </c>
      <c r="AL39" s="20">
        <f t="shared" si="4"/>
        <v>404.16007448469958</v>
      </c>
      <c r="AM39" s="59">
        <f t="shared" si="5"/>
        <v>654.53100253680986</v>
      </c>
      <c r="AN39" s="59">
        <f ca="1">AVERAGE(OFFSET($AM$3,0,0,'Données projet'!$E$10+1,1))-AVERAGE(OFFSET($H$3,0,0,'Données projet'!$E$10+1,1))</f>
        <v>363.98181065114898</v>
      </c>
      <c r="AO39" s="59">
        <f t="shared" si="36"/>
        <v>410.85213343666396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10.865211447755467</v>
      </c>
      <c r="AV39" s="21">
        <f>EXP(-LN(2)/25)*AV38+(1-EXP(-LN(2)/25))/(LN(2)/25)*Calculateur!AQ39*Calculateur!AS39*VLOOKUP('Données projet'!$B$10,Paramètres!$A$1:$I$89,3,0)*0.475*44/12</f>
        <v>28.496657075419733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39.361868523175204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58.282980377848261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10.212499999999999</v>
      </c>
      <c r="BD39" s="12">
        <f>IF('Données projet'!$A$88&gt;35,BD38+BC39-BL38,IF(A39&lt;'Données projet'!$A$88,$BA$205^A39,IF(A39='Données projet'!$A$88,'Données projet'!$B$88,BD38+BC39-BL38)))</f>
        <v>174.92500000000004</v>
      </c>
      <c r="BE39" s="13">
        <f>BD39*VLOOKUP('Données projet'!$B$11,Paramètres!$A$1:$I$89,3,0)*VLOOKUP('Données projet'!$B$11,Paramètres!$A$1:$I$89,5,0)</f>
        <v>152.81448000000006</v>
      </c>
      <c r="BF39" s="13">
        <f t="shared" si="37"/>
        <v>39.217492673671899</v>
      </c>
      <c r="BG39" s="20">
        <f t="shared" si="7"/>
        <v>334.45568573997866</v>
      </c>
      <c r="BH39" s="59">
        <f t="shared" si="8"/>
        <v>584.82661379208901</v>
      </c>
      <c r="BI39" s="59">
        <f ca="1">AVERAGE(OFFSET($BH$3,0,0,'Données projet'!$E$11+1,1))-AVERAGE(OFFSET($H$3,0,0,'Données projet'!$E$11+1,1))</f>
        <v>433.6995276469014</v>
      </c>
      <c r="BJ39" s="59">
        <f t="shared" si="38"/>
        <v>306.37969720280557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5.5320959953233642</v>
      </c>
      <c r="BQ39" s="21">
        <f>EXP(-LN(2)/25)*BQ38+(1-EXP(-LN(2)/25))/(LN(2)/25)*Calculateur!BL39*Calculateur!BN39*VLOOKUP('Données projet'!$B$11,Paramètres!$A$1:$I$89,3,0)*0.475*44/12</f>
        <v>6.3217000229011608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11.853796018224525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58.282980377848261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0.16216216216216217</v>
      </c>
      <c r="BY39" s="12">
        <f>IF('Données projet'!$A$114&gt;35,BY38+BX39-CG38,IF(A39&lt;'Données projet'!$A$114,$BV$205^A39,IF(A39='Données projet'!$A$114,'Données projet'!$B$114,BY38+BX39-CG38)))</f>
        <v>5.8378378378378413</v>
      </c>
      <c r="BZ39" s="13">
        <f>BY39*VLOOKUP('Données projet'!$B$12,Paramètres!$A$1:$I$89,3,0)*VLOOKUP('Données projet'!$B$12,Paramètres!$A$1:$I$89,5,0)</f>
        <v>5.6463567567567603</v>
      </c>
      <c r="CA39" s="13">
        <f t="shared" si="39"/>
        <v>2.1272304838963514</v>
      </c>
      <c r="CB39" s="20">
        <f t="shared" si="10"/>
        <v>13.538997777470835</v>
      </c>
      <c r="CC39" s="59">
        <f t="shared" si="11"/>
        <v>263.90992582958114</v>
      </c>
      <c r="CD39" s="59">
        <f ca="1">AVERAGE(OFFSET($CC$3,0,0,'Données projet'!$E$12+1,1))-AVERAGE(OFFSET($H$3,0,0,'Données projet'!$E$12+1,1))</f>
        <v>455.95436253828132</v>
      </c>
      <c r="CE39" s="59">
        <f t="shared" si="40"/>
        <v>64.829921296688497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58.282980377848261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11.5</v>
      </c>
      <c r="CT39" s="12">
        <f>IF('Données projet'!$A$140&gt;35,CT38+CS39-DB38,IF(A39&lt;'Données projet'!$A$140,$CQ$205^A39,IF(A39='Données projet'!$A$140,'Données projet'!$B$140,CT38+CS39-DB38)))</f>
        <v>176.49999999999994</v>
      </c>
      <c r="CU39" s="17">
        <f>CT39*VLOOKUP('Données projet'!$B$13,Paramètres!$A$1:$I$89,3,0)*VLOOKUP('Données projet'!$B$13,Paramètres!$A$1:$I$89,5,0)</f>
        <v>137.66999999999996</v>
      </c>
      <c r="CV39" s="13">
        <f t="shared" si="41"/>
        <v>35.762714965854656</v>
      </c>
      <c r="CW39" s="20">
        <f t="shared" si="13"/>
        <v>302.06197856553007</v>
      </c>
      <c r="CX39" s="59">
        <f t="shared" si="14"/>
        <v>552.43290661764036</v>
      </c>
      <c r="CY39" s="59">
        <f ca="1">AVERAGE(OFFSET($CX$3,0,0,'Données projet'!$E$13+1,1))-AVERAGE(OFFSET($H$3,0,0,'Données projet'!$E$13+1,1))</f>
        <v>306.44760579759713</v>
      </c>
      <c r="CZ39" s="59">
        <f t="shared" si="42"/>
        <v>300.30192123221718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58.282980377848261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58.282980377848261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58.282980377848261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58.282980377848261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58.282980377848261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4.4000000000000004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16.133333333333336</v>
      </c>
      <c r="H40" s="67">
        <f t="shared" si="1"/>
        <v>192.13333333333333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58.486244472961062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12.883333333333326</v>
      </c>
      <c r="N40" s="13">
        <f>IF('Données projet'!$A$36&gt;35,N39+M40-V39,IF(A40&lt;'Données projet'!$A$36,$K$205^A40,IF(A40='Données projet'!$A$36,'Données projet'!$B$36,N39+M40-V39)))</f>
        <v>236.75000000000006</v>
      </c>
      <c r="O40" s="13">
        <f>N40*VLOOKUP('Données projet'!$B$9,Paramètres!$A$1:$I$89,3,0)*VLOOKUP('Données projet'!$B$9,Paramètres!$A$1:$I$89,5,0)</f>
        <v>141.57650000000004</v>
      </c>
      <c r="P40" s="13">
        <f t="shared" si="33"/>
        <v>36.657923802254125</v>
      </c>
      <c r="Q40" s="20">
        <f t="shared" si="53"/>
        <v>310.42495478892596</v>
      </c>
      <c r="R40" s="59">
        <f t="shared" si="0"/>
        <v>561.5411845231165</v>
      </c>
      <c r="S40" s="59">
        <f ca="1">AVERAGE(OFFSET($R$3,0,0,'Données projet'!$E$9+1,1))-AVERAGE(OFFSET($H$3,0,0,'Données projet'!$E$9+1,1))</f>
        <v>299.45724561493057</v>
      </c>
      <c r="T40" s="59">
        <f t="shared" si="34"/>
        <v>297.63369027443196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7.1330534630741793</v>
      </c>
      <c r="AA40" s="21">
        <f>EXP(-LN(2)/25)*AA39+(1-EXP(-LN(2)/25))/(LN(2)/25)*Calculateur!V40*Calculateur!X40*VLOOKUP('Données projet'!$B$9,Paramètres!$A$1:$I$89,3,0)*0.475*44/12</f>
        <v>28.37780814353739</v>
      </c>
      <c r="AB40" s="21">
        <f>EXP(-LN(2)/2)*AB39+(1-EXP(-LN(2)/2))/(LN(2)/2)*V40*Y40*VLOOKUP('Données projet'!$B$9,Paramètres!$A$1:$I$89,3,0)*0.475*44/12</f>
        <v>0</v>
      </c>
      <c r="AC40" s="22">
        <f t="shared" si="3"/>
        <v>35.51086160661157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58.486244472961062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19.714285714285715</v>
      </c>
      <c r="AI40" s="13">
        <f>IF('Données projet'!$A$62&gt;35,AI39+AH40-AQ39,IF(A40&lt;'Données projet'!$A$62,$AF$205^A40,IF(A40='Données projet'!$A$62,'Données projet'!$B$62,AI39+AH40-AQ39)))</f>
        <v>351.57142857142867</v>
      </c>
      <c r="AJ40" s="13">
        <f>AI40*VLOOKUP('Données projet'!$B$10,Paramètres!$A$1:$I$89,3,0)*VLOOKUP('Données projet'!$B$10,Paramètres!$A$1:$I$89,5,0)</f>
        <v>196.52842857142863</v>
      </c>
      <c r="AK40" s="13">
        <f t="shared" si="35"/>
        <v>48.980445625371871</v>
      </c>
      <c r="AL40" s="20">
        <f t="shared" si="4"/>
        <v>427.59462255942753</v>
      </c>
      <c r="AM40" s="59">
        <f t="shared" si="5"/>
        <v>678.71085229361813</v>
      </c>
      <c r="AN40" s="59">
        <f ca="1">AVERAGE(OFFSET($AM$3,0,0,'Données projet'!$E$10+1,1))-AVERAGE(OFFSET($H$3,0,0,'Données projet'!$E$10+1,1))</f>
        <v>363.98181065114898</v>
      </c>
      <c r="AO40" s="59">
        <f t="shared" si="36"/>
        <v>410.85213343666396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10.65215127838959</v>
      </c>
      <c r="AV40" s="21">
        <f>EXP(-LN(2)/25)*AV39+(1-EXP(-LN(2)/25))/(LN(2)/25)*Calculateur!AQ40*Calculateur!AS40*VLOOKUP('Données projet'!$B$10,Paramètres!$A$1:$I$89,3,0)*0.475*44/12</f>
        <v>27.717414489118315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38.369565767507908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58.486244472961062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10.212499999999999</v>
      </c>
      <c r="BD40" s="12">
        <f>IF('Données projet'!$A$88&gt;35,BD39+BC40-BL39,IF(A40&lt;'Données projet'!$A$88,$BA$205^A40,IF(A40='Données projet'!$A$88,'Données projet'!$B$88,BD39+BC40-BL39)))</f>
        <v>185.13750000000005</v>
      </c>
      <c r="BE40" s="13">
        <f>BD40*VLOOKUP('Données projet'!$B$11,Paramètres!$A$1:$I$89,3,0)*VLOOKUP('Données projet'!$B$11,Paramètres!$A$1:$I$89,5,0)</f>
        <v>161.73612000000006</v>
      </c>
      <c r="BF40" s="13">
        <f t="shared" si="37"/>
        <v>41.233855819285729</v>
      </c>
      <c r="BG40" s="20">
        <f t="shared" si="7"/>
        <v>353.50604121858942</v>
      </c>
      <c r="BH40" s="59">
        <f t="shared" si="8"/>
        <v>604.62227095278001</v>
      </c>
      <c r="BI40" s="59">
        <f ca="1">AVERAGE(OFFSET($BH$3,0,0,'Données projet'!$E$11+1,1))-AVERAGE(OFFSET($H$3,0,0,'Données projet'!$E$11+1,1))</f>
        <v>433.6995276469014</v>
      </c>
      <c r="BJ40" s="59">
        <f t="shared" si="38"/>
        <v>306.37969720280557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5.423614967100451</v>
      </c>
      <c r="BQ40" s="21">
        <f>EXP(-LN(2)/25)*BQ39+(1-EXP(-LN(2)/25))/(LN(2)/25)*Calculateur!BL40*Calculateur!BN40*VLOOKUP('Données projet'!$B$11,Paramètres!$A$1:$I$89,3,0)*0.475*44/12</f>
        <v>6.1488328033311728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11.572447770431623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58.486244472961062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>
        <f>VLOOKUP(A40,'Données projet'!$A$113:$I$133,2,0)</f>
        <v>6</v>
      </c>
      <c r="BW40" s="12">
        <f>VLOOKUP(A40,'Données projet'!$A$113:$I$133,9,0)</f>
        <v>0.16216216216216217</v>
      </c>
      <c r="BX40" s="12">
        <f t="array" ref="BX40">INDEX(BW:BW,MIN(IF(ISNUMBER(BW40:BW236),ROW(BW40:BW236),"")))</f>
        <v>0.16216216216216217</v>
      </c>
      <c r="BY40" s="12">
        <f>IF('Données projet'!$A$114&gt;35,BY39+BX40-CG39,IF(A40&lt;'Données projet'!$A$114,$BV$205^A40,IF(A40='Données projet'!$A$114,'Données projet'!$B$114,BY39+BX40-CG39)))</f>
        <v>6.0000000000000036</v>
      </c>
      <c r="BZ40" s="13">
        <f>BY40*VLOOKUP('Données projet'!$B$12,Paramètres!$A$1:$I$89,3,0)*VLOOKUP('Données projet'!$B$12,Paramètres!$A$1:$I$89,5,0)</f>
        <v>5.803200000000003</v>
      </c>
      <c r="CA40" s="13">
        <f t="shared" si="39"/>
        <v>2.1793586253612554</v>
      </c>
      <c r="CB40" s="20">
        <f t="shared" si="10"/>
        <v>13.902956272504191</v>
      </c>
      <c r="CC40" s="59">
        <f t="shared" si="11"/>
        <v>265.01918600669478</v>
      </c>
      <c r="CD40" s="59">
        <f ca="1">AVERAGE(OFFSET($CC$3,0,0,'Données projet'!$E$12+1,1))-AVERAGE(OFFSET($H$3,0,0,'Données projet'!$E$12+1,1))</f>
        <v>455.95436253828132</v>
      </c>
      <c r="CE40" s="59">
        <f t="shared" si="40"/>
        <v>64.829921296688497</v>
      </c>
      <c r="CF40" s="15">
        <f>IF(ISNA(VLOOKUP(A40,'Données projet'!$A$113:$I$133,3,0)),0,VLOOKUP(A40,'Données projet'!$A$113:$I$133,3,0))</f>
        <v>1</v>
      </c>
      <c r="CG40" s="15">
        <f>IF(ISNA(VLOOKUP(A40,'Données projet'!$A$113:$I$133,4,0)),0,VLOOKUP(A40,'Données projet'!$A$113:$I$133,4,0))</f>
        <v>2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58.486244472961062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>
        <f>VLOOKUP(A40,'Données projet'!$A$139:$I$159,2,0)</f>
        <v>188</v>
      </c>
      <c r="CR40" s="12">
        <f>VLOOKUP(A40,'Données projet'!$A$139:$I$159,9,0)</f>
        <v>11.5</v>
      </c>
      <c r="CS40" s="12">
        <f t="array" ref="CS40">INDEX(CR:CR,MIN(IF(ISNUMBER(CR40:CR236),ROW(CR40:CR236),"")))</f>
        <v>11.5</v>
      </c>
      <c r="CT40" s="12">
        <f>IF('Données projet'!$A$140&gt;35,CT39+CS40-DB39,IF(A40&lt;'Données projet'!$A$140,$CQ$205^A40,IF(A40='Données projet'!$A$140,'Données projet'!$B$140,CT39+CS40-DB39)))</f>
        <v>187.99999999999994</v>
      </c>
      <c r="CU40" s="17">
        <f>CT40*VLOOKUP('Données projet'!$B$13,Paramètres!$A$1:$I$89,3,0)*VLOOKUP('Données projet'!$B$13,Paramètres!$A$1:$I$89,5,0)</f>
        <v>146.63999999999996</v>
      </c>
      <c r="CV40" s="13">
        <f t="shared" si="41"/>
        <v>37.814009712703026</v>
      </c>
      <c r="CW40" s="20">
        <f t="shared" si="13"/>
        <v>321.25740024962437</v>
      </c>
      <c r="CX40" s="59">
        <f t="shared" si="14"/>
        <v>572.37362998381491</v>
      </c>
      <c r="CY40" s="59">
        <f ca="1">AVERAGE(OFFSET($CX$3,0,0,'Données projet'!$E$13+1,1))-AVERAGE(OFFSET($H$3,0,0,'Données projet'!$E$13+1,1))</f>
        <v>306.44760579759713</v>
      </c>
      <c r="CZ40" s="59">
        <f t="shared" si="42"/>
        <v>300.30192123221718</v>
      </c>
      <c r="DA40" s="15">
        <f>IF(ISNA(VLOOKUP(A40,'Données projet'!$A$139:$I$159,3,0)),0,VLOOKUP(A40,'Données projet'!$A$139:$I$159,3,0))</f>
        <v>5</v>
      </c>
      <c r="DB40" s="15">
        <f>IF(ISNA(VLOOKUP(A40,'Données projet'!$A$139:$I$159,4,0)),0,VLOOKUP(A40,'Données projet'!$A$139:$I$159,4,0))</f>
        <v>36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58.486244472961062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58.486244472961062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58.486244472961062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58.486244472961062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58.486244472961062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4.4000000000000004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16.133333333333336</v>
      </c>
      <c r="H41" s="67">
        <f t="shared" si="1"/>
        <v>192.13333333333333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58.6859823904541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12.883333333333326</v>
      </c>
      <c r="N41" s="13">
        <f>IF('Données projet'!$A$36&gt;35,N40+M41-V40,IF(A41&lt;'Données projet'!$A$36,$K$205^A41,IF(A41='Données projet'!$A$36,'Données projet'!$B$36,N40+M41-V40)))</f>
        <v>249.63333333333338</v>
      </c>
      <c r="O41" s="13">
        <f>N41*VLOOKUP('Données projet'!$B$9,Paramètres!$A$1:$I$89,3,0)*VLOOKUP('Données projet'!$B$9,Paramètres!$A$1:$I$89,5,0)</f>
        <v>149.28073333333339</v>
      </c>
      <c r="P41" s="13">
        <f t="shared" si="33"/>
        <v>38.415083991716713</v>
      </c>
      <c r="Q41" s="20">
        <f t="shared" si="53"/>
        <v>326.90354850779556</v>
      </c>
      <c r="R41" s="59">
        <f t="shared" si="0"/>
        <v>578.75215060612732</v>
      </c>
      <c r="S41" s="59">
        <f ca="1">AVERAGE(OFFSET($R$3,0,0,'Données projet'!$E$9+1,1))-AVERAGE(OFFSET($H$3,0,0,'Données projet'!$E$9+1,1))</f>
        <v>299.45724561493057</v>
      </c>
      <c r="T41" s="59">
        <f t="shared" si="34"/>
        <v>297.63369027443196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6.9931786353963084</v>
      </c>
      <c r="AA41" s="21">
        <f>EXP(-LN(2)/25)*AA40+(1-EXP(-LN(2)/25))/(LN(2)/25)*Calculateur!V41*Calculateur!X41*VLOOKUP('Données projet'!$B$9,Paramètres!$A$1:$I$89,3,0)*0.475*44/12</f>
        <v>27.601815487528288</v>
      </c>
      <c r="AB41" s="21">
        <f>EXP(-LN(2)/2)*AB40+(1-EXP(-LN(2)/2))/(LN(2)/2)*V41*Y41*VLOOKUP('Données projet'!$B$9,Paramètres!$A$1:$I$89,3,0)*0.475*44/12</f>
        <v>0</v>
      </c>
      <c r="AC41" s="22">
        <f t="shared" si="3"/>
        <v>34.594994122924597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58.6859823904541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19.714285714285715</v>
      </c>
      <c r="AI41" s="13">
        <f>IF('Données projet'!$A$62&gt;35,AI40+AH41-AQ40,IF(A41&lt;'Données projet'!$A$62,$AF$205^A41,IF(A41='Données projet'!$A$62,'Données projet'!$B$62,AI40+AH41-AQ40)))</f>
        <v>371.28571428571439</v>
      </c>
      <c r="AJ41" s="13">
        <f>AI41*VLOOKUP('Données projet'!$B$10,Paramètres!$A$1:$I$89,3,0)*VLOOKUP('Données projet'!$B$10,Paramètres!$A$1:$I$89,5,0)</f>
        <v>207.54871428571434</v>
      </c>
      <c r="AK41" s="13">
        <f t="shared" si="35"/>
        <v>51.3995525965097</v>
      </c>
      <c r="AL41" s="20">
        <f t="shared" si="4"/>
        <v>451.00156481987352</v>
      </c>
      <c r="AM41" s="59">
        <f t="shared" si="5"/>
        <v>702.85016691820522</v>
      </c>
      <c r="AN41" s="59">
        <f ca="1">AVERAGE(OFFSET($AM$3,0,0,'Données projet'!$E$10+1,1))-AVERAGE(OFFSET($H$3,0,0,'Données projet'!$E$10+1,1))</f>
        <v>363.98181065114898</v>
      </c>
      <c r="AO41" s="59">
        <f t="shared" si="36"/>
        <v>410.85213343666396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10.443269088991109</v>
      </c>
      <c r="AV41" s="21">
        <f>EXP(-LN(2)/25)*AV40+(1-EXP(-LN(2)/25))/(LN(2)/25)*Calculateur!AQ41*Calculateur!AS41*VLOOKUP('Données projet'!$B$10,Paramètres!$A$1:$I$89,3,0)*0.475*44/12</f>
        <v>26.959480332317895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37.402749421309004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58.6859823904541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10.212499999999999</v>
      </c>
      <c r="BD41" s="12">
        <f>IF('Données projet'!$A$88&gt;35,BD40+BC41-BL40,IF(A41&lt;'Données projet'!$A$88,$BA$205^A41,IF(A41='Données projet'!$A$88,'Données projet'!$B$88,BD40+BC41-BL40)))</f>
        <v>195.35000000000005</v>
      </c>
      <c r="BE41" s="13">
        <f>BD41*VLOOKUP('Données projet'!$B$11,Paramètres!$A$1:$I$89,3,0)*VLOOKUP('Données projet'!$B$11,Paramètres!$A$1:$I$89,5,0)</f>
        <v>170.65776000000008</v>
      </c>
      <c r="BF41" s="13">
        <f t="shared" si="37"/>
        <v>43.237306818575412</v>
      </c>
      <c r="BG41" s="20">
        <f t="shared" si="7"/>
        <v>372.53390804235232</v>
      </c>
      <c r="BH41" s="59">
        <f t="shared" si="8"/>
        <v>624.38251014068408</v>
      </c>
      <c r="BI41" s="59">
        <f ca="1">AVERAGE(OFFSET($BH$3,0,0,'Données projet'!$E$11+1,1))-AVERAGE(OFFSET($H$3,0,0,'Données projet'!$E$11+1,1))</f>
        <v>433.6995276469014</v>
      </c>
      <c r="BJ41" s="59">
        <f t="shared" si="38"/>
        <v>306.37969720280557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5.3172611856740959</v>
      </c>
      <c r="BQ41" s="21">
        <f>EXP(-LN(2)/25)*BQ40+(1-EXP(-LN(2)/25))/(LN(2)/25)*Calculateur!BL41*Calculateur!BN41*VLOOKUP('Données projet'!$B$11,Paramètres!$A$1:$I$89,3,0)*0.475*44/12</f>
        <v>5.9806926469710184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11.297953832645113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58.6859823904541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4.125</v>
      </c>
      <c r="BY41" s="12">
        <f>IF('Données projet'!$A$114&gt;35,BY40+BX41-CG40,IF(A41&lt;'Données projet'!$A$114,$BV$205^A41,IF(A41='Données projet'!$A$114,'Données projet'!$B$114,BY40+BX41-CG40)))</f>
        <v>8.1250000000000036</v>
      </c>
      <c r="BZ41" s="13">
        <f>BY41*VLOOKUP('Données projet'!$B$12,Paramètres!$A$1:$I$89,3,0)*VLOOKUP('Données projet'!$B$12,Paramètres!$A$1:$I$89,5,0)</f>
        <v>7.8585000000000038</v>
      </c>
      <c r="CA41" s="13">
        <f t="shared" si="39"/>
        <v>2.8488801960550396</v>
      </c>
      <c r="CB41" s="20">
        <f t="shared" si="10"/>
        <v>18.648687174795864</v>
      </c>
      <c r="CC41" s="59">
        <f t="shared" si="11"/>
        <v>270.49728927312759</v>
      </c>
      <c r="CD41" s="59">
        <f ca="1">AVERAGE(OFFSET($CC$3,0,0,'Données projet'!$E$12+1,1))-AVERAGE(OFFSET($H$3,0,0,'Données projet'!$E$12+1,1))</f>
        <v>455.95436253828132</v>
      </c>
      <c r="CE41" s="59">
        <f t="shared" si="40"/>
        <v>64.829921296688497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58.6859823904541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11.142857142857142</v>
      </c>
      <c r="CT41" s="12">
        <f>IF('Données projet'!$A$140&gt;35,CT40+CS41-DB40,IF(A41&lt;'Données projet'!$A$140,$CQ$205^A41,IF(A41='Données projet'!$A$140,'Données projet'!$B$140,CT40+CS41-DB40)))</f>
        <v>163.14285714285708</v>
      </c>
      <c r="CU41" s="17">
        <f>CT41*VLOOKUP('Données projet'!$B$13,Paramètres!$A$1:$I$89,3,0)*VLOOKUP('Données projet'!$B$13,Paramètres!$A$1:$I$89,5,0)</f>
        <v>127.25142857142853</v>
      </c>
      <c r="CV41" s="13">
        <f t="shared" si="41"/>
        <v>33.360457439554281</v>
      </c>
      <c r="CW41" s="20">
        <f t="shared" si="13"/>
        <v>279.73236813579501</v>
      </c>
      <c r="CX41" s="59">
        <f t="shared" si="14"/>
        <v>531.58097023412677</v>
      </c>
      <c r="CY41" s="59">
        <f ca="1">AVERAGE(OFFSET($CX$3,0,0,'Données projet'!$E$13+1,1))-AVERAGE(OFFSET($H$3,0,0,'Données projet'!$E$13+1,1))</f>
        <v>306.44760579759713</v>
      </c>
      <c r="CZ41" s="59">
        <f t="shared" si="42"/>
        <v>300.30192123221718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58.6859823904541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58.6859823904541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58.6859823904541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58.6859823904541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58.6859823904541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4.4000000000000004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16.133333333333336</v>
      </c>
      <c r="H42" s="67">
        <f t="shared" si="1"/>
        <v>192.13333333333333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58.882255301625712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12.883333333333326</v>
      </c>
      <c r="N42" s="13">
        <f>IF('Données projet'!$A$36&gt;35,N41+M42-V41,IF(A42&lt;'Données projet'!$A$36,$K$205^A42,IF(A42='Données projet'!$A$36,'Données projet'!$B$36,N41+M42-V41)))</f>
        <v>262.51666666666671</v>
      </c>
      <c r="O42" s="13">
        <f>N42*VLOOKUP('Données projet'!$B$9,Paramètres!$A$1:$I$89,3,0)*VLOOKUP('Données projet'!$B$9,Paramètres!$A$1:$I$89,5,0)</f>
        <v>156.98496666666671</v>
      </c>
      <c r="P42" s="13">
        <f t="shared" si="33"/>
        <v>40.161715117143068</v>
      </c>
      <c r="Q42" s="20">
        <f t="shared" si="53"/>
        <v>343.36380410680204</v>
      </c>
      <c r="R42" s="59">
        <f t="shared" si="0"/>
        <v>595.93207354609638</v>
      </c>
      <c r="S42" s="59">
        <f ca="1">AVERAGE(OFFSET($R$3,0,0,'Données projet'!$E$9+1,1))-AVERAGE(OFFSET($H$3,0,0,'Données projet'!$E$9+1,1))</f>
        <v>299.45724561493057</v>
      </c>
      <c r="T42" s="59">
        <f t="shared" si="34"/>
        <v>297.63369027443196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6.8560466677739793</v>
      </c>
      <c r="AA42" s="21">
        <f>EXP(-LN(2)/25)*AA41+(1-EXP(-LN(2)/25))/(LN(2)/25)*Calculateur!V42*Calculateur!X42*VLOOKUP('Données projet'!$B$9,Paramètres!$A$1:$I$89,3,0)*0.475*44/12</f>
        <v>26.847042391505436</v>
      </c>
      <c r="AB42" s="21">
        <f>EXP(-LN(2)/2)*AB41+(1-EXP(-LN(2)/2))/(LN(2)/2)*V42*Y42*VLOOKUP('Données projet'!$B$9,Paramètres!$A$1:$I$89,3,0)*0.475*44/12</f>
        <v>0</v>
      </c>
      <c r="AC42" s="22">
        <f t="shared" si="3"/>
        <v>33.703089059279414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58.882255301625712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>
        <f>VLOOKUP(A42,'Données projet'!$A$61:$I$81,2,0)</f>
        <v>391</v>
      </c>
      <c r="AG42" s="12">
        <f>VLOOKUP(A42,'Données projet'!$A$61:$I$81,9,0)</f>
        <v>19.714285714285715</v>
      </c>
      <c r="AH42" s="12">
        <f t="array" ref="AH42">INDEX(AG:AG,MIN(IF(ISNUMBER(AG42:AG238),ROW(AG42:AG238),"")))</f>
        <v>19.714285714285715</v>
      </c>
      <c r="AI42" s="13">
        <f>IF('Données projet'!$A$62&gt;35,AI41+AH42-AQ41,IF(A42&lt;'Données projet'!$A$62,$AF$205^A42,IF(A42='Données projet'!$A$62,'Données projet'!$B$62,AI41+AH42-AQ41)))</f>
        <v>391.00000000000011</v>
      </c>
      <c r="AJ42" s="13">
        <f>AI42*VLOOKUP('Données projet'!$B$10,Paramètres!$A$1:$I$89,3,0)*VLOOKUP('Données projet'!$B$10,Paramètres!$A$1:$I$89,5,0)</f>
        <v>218.56900000000007</v>
      </c>
      <c r="AK42" s="13">
        <f t="shared" si="35"/>
        <v>53.803746913464231</v>
      </c>
      <c r="AL42" s="20">
        <f t="shared" si="4"/>
        <v>474.38253420761703</v>
      </c>
      <c r="AM42" s="59">
        <f t="shared" si="5"/>
        <v>726.95080364691137</v>
      </c>
      <c r="AN42" s="59">
        <f ca="1">AVERAGE(OFFSET($AM$3,0,0,'Données projet'!$E$10+1,1))-AVERAGE(OFFSET($H$3,0,0,'Données projet'!$E$10+1,1))</f>
        <v>363.98181065114898</v>
      </c>
      <c r="AO42" s="59">
        <f t="shared" si="36"/>
        <v>410.85213343666396</v>
      </c>
      <c r="AP42" s="15">
        <f>IF(ISNA(VLOOKUP(A42,'Données projet'!$A$61:$I$81,3,0)),0,VLOOKUP(A42,'Données projet'!$A$61:$I$81,3,0))</f>
        <v>3</v>
      </c>
      <c r="AQ42" s="15">
        <f>IF(ISNA(VLOOKUP(A42,'Données projet'!$A$61:$I$81,4,0)),0,VLOOKUP(A42,'Données projet'!$A$61:$I$81,4,0))</f>
        <v>80</v>
      </c>
      <c r="AR42" s="16">
        <f>IF(ISNA(VLOOKUP(A42,'Données projet'!$A$61:$I$81,5,0)),0%,VLOOKUP(A42,'Données projet'!$A$61:$I$81,5,0)*VLOOKUP('Données projet'!$B$10,Paramètres!$A$1:$I$89,7,0))</f>
        <v>0.16500000000000001</v>
      </c>
      <c r="AS42" s="16">
        <f>IF(ISNA(VLOOKUP(A42,'Données projet'!$A$61:$I$81,6,0)),0%,VLOOKUP(A42,'Données projet'!$A$61:$I$81,6,0)*VLOOKUP('Données projet'!$B$10,Paramètres!$A$1:$I$89,7,0))</f>
        <v>0.27500000000000002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20.026936755718456</v>
      </c>
      <c r="AV42" s="21">
        <f>EXP(-LN(2)/25)*AV41+(1-EXP(-LN(2)/25))/(LN(2)/25)*Calculateur!AQ42*Calculateur!AS42*VLOOKUP('Données projet'!$B$10,Paramètres!$A$1:$I$89,3,0)*0.475*44/12</f>
        <v>42.472126810690582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62.499063566409035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58.882255301625712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10.212499999999999</v>
      </c>
      <c r="BD42" s="12">
        <f>IF('Données projet'!$A$88&gt;35,BD41+BC42-BL41,IF(A42&lt;'Données projet'!$A$88,$BA$205^A42,IF(A42='Données projet'!$A$88,'Données projet'!$B$88,BD41+BC42-BL41)))</f>
        <v>205.56250000000006</v>
      </c>
      <c r="BE42" s="13">
        <f>BD42*VLOOKUP('Données projet'!$B$11,Paramètres!$A$1:$I$89,3,0)*VLOOKUP('Données projet'!$B$11,Paramètres!$A$1:$I$89,5,0)</f>
        <v>179.57940000000008</v>
      </c>
      <c r="BF42" s="13">
        <f t="shared" si="37"/>
        <v>45.228597678839186</v>
      </c>
      <c r="BG42" s="20">
        <f t="shared" si="7"/>
        <v>391.54059595731172</v>
      </c>
      <c r="BH42" s="59">
        <f t="shared" si="8"/>
        <v>644.10886539660601</v>
      </c>
      <c r="BI42" s="59">
        <f ca="1">AVERAGE(OFFSET($BH$3,0,0,'Données projet'!$E$11+1,1))-AVERAGE(OFFSET($H$3,0,0,'Données projet'!$E$11+1,1))</f>
        <v>433.6995276469014</v>
      </c>
      <c r="BJ42" s="59">
        <f t="shared" si="38"/>
        <v>306.37969720280557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5.2129929370321095</v>
      </c>
      <c r="BQ42" s="21">
        <f>EXP(-LN(2)/25)*BQ41+(1-EXP(-LN(2)/25))/(LN(2)/25)*Calculateur!BL42*Calculateur!BN42*VLOOKUP('Données projet'!$B$11,Paramètres!$A$1:$I$89,3,0)*0.475*44/12</f>
        <v>5.8171502920286384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11.030143229060748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58.882255301625712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4.125</v>
      </c>
      <c r="BY42" s="12">
        <f>IF('Données projet'!$A$114&gt;35,BY41+BX42-CG41,IF(A42&lt;'Données projet'!$A$114,$BV$205^A42,IF(A42='Données projet'!$A$114,'Données projet'!$B$114,BY41+BX42-CG41)))</f>
        <v>12.250000000000004</v>
      </c>
      <c r="BZ42" s="13">
        <f>BY42*VLOOKUP('Données projet'!$B$12,Paramètres!$A$1:$I$89,3,0)*VLOOKUP('Données projet'!$B$12,Paramètres!$A$1:$I$89,5,0)</f>
        <v>11.848200000000004</v>
      </c>
      <c r="CA42" s="13">
        <f t="shared" si="39"/>
        <v>4.0947868959030815</v>
      </c>
      <c r="CB42" s="20">
        <f t="shared" si="10"/>
        <v>27.76736884369787</v>
      </c>
      <c r="CC42" s="59">
        <f t="shared" si="11"/>
        <v>280.33563828299219</v>
      </c>
      <c r="CD42" s="59">
        <f ca="1">AVERAGE(OFFSET($CC$3,0,0,'Données projet'!$E$12+1,1))-AVERAGE(OFFSET($H$3,0,0,'Données projet'!$E$12+1,1))</f>
        <v>455.95436253828132</v>
      </c>
      <c r="CE42" s="59">
        <f t="shared" si="40"/>
        <v>64.829921296688497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58.882255301625712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11.142857142857142</v>
      </c>
      <c r="CT42" s="12">
        <f>IF('Données projet'!$A$140&gt;35,CT41+CS42-DB41,IF(A42&lt;'Données projet'!$A$140,$CQ$205^A42,IF(A42='Données projet'!$A$140,'Données projet'!$B$140,CT41+CS42-DB41)))</f>
        <v>174.28571428571422</v>
      </c>
      <c r="CU42" s="17">
        <f>CT42*VLOOKUP('Données projet'!$B$13,Paramètres!$A$1:$I$89,3,0)*VLOOKUP('Données projet'!$B$13,Paramètres!$A$1:$I$89,5,0)</f>
        <v>135.94285714285709</v>
      </c>
      <c r="CV42" s="13">
        <f t="shared" si="41"/>
        <v>35.365986273808367</v>
      </c>
      <c r="CW42" s="20">
        <f t="shared" si="13"/>
        <v>298.36290228402567</v>
      </c>
      <c r="CX42" s="59">
        <f t="shared" si="14"/>
        <v>550.93117172331995</v>
      </c>
      <c r="CY42" s="59">
        <f ca="1">AVERAGE(OFFSET($CX$3,0,0,'Données projet'!$E$13+1,1))-AVERAGE(OFFSET($H$3,0,0,'Données projet'!$E$13+1,1))</f>
        <v>306.44760579759713</v>
      </c>
      <c r="CZ42" s="59">
        <f t="shared" si="42"/>
        <v>300.30192123221718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58.882255301625712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58.882255301625712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58.882255301625712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58.882255301625712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58.882255301625712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4.4000000000000004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16.133333333333336</v>
      </c>
      <c r="H43" s="67">
        <f t="shared" si="1"/>
        <v>192.13333333333333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59.075123316588993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275.39999999999998</v>
      </c>
      <c r="L43" s="12">
        <f>VLOOKUP(A43,'Données projet'!$A$35:$I$55,9,0)</f>
        <v>12.883333333333326</v>
      </c>
      <c r="M43" s="12">
        <f t="array" ref="M43">INDEX(L:L,MIN(IF(ISNUMBER(L43:L239),ROW(L43:L239),"")))</f>
        <v>12.883333333333326</v>
      </c>
      <c r="N43" s="13">
        <f>IF('Données projet'!$A$36&gt;35,N42+M43-V42,IF(A43&lt;'Données projet'!$A$36,$K$205^A43,IF(A43='Données projet'!$A$36,'Données projet'!$B$36,N42+M43-V42)))</f>
        <v>275.40000000000003</v>
      </c>
      <c r="O43" s="13">
        <f>N43*VLOOKUP('Données projet'!$B$9,Paramètres!$A$1:$I$89,3,0)*VLOOKUP('Données projet'!$B$9,Paramètres!$A$1:$I$89,5,0)</f>
        <v>164.68920000000003</v>
      </c>
      <c r="P43" s="13">
        <f t="shared" si="33"/>
        <v>41.898392881067181</v>
      </c>
      <c r="Q43" s="20">
        <f t="shared" si="53"/>
        <v>359.80672426785873</v>
      </c>
      <c r="R43" s="59">
        <f t="shared" si="0"/>
        <v>613.08217642868499</v>
      </c>
      <c r="S43" s="59">
        <f ca="1">AVERAGE(OFFSET($R$3,0,0,'Données projet'!$E$9+1,1))-AVERAGE(OFFSET($H$3,0,0,'Données projet'!$E$9+1,1))</f>
        <v>299.45724561493057</v>
      </c>
      <c r="T43" s="59">
        <f t="shared" si="34"/>
        <v>297.63369027443196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41.3</v>
      </c>
      <c r="W43" s="16">
        <f>IF(ISNA(VLOOKUP(A43,'Données projet'!$A$35:$I$55,5,0)),0%,VLOOKUP(A43,'Données projet'!$A$35:$I$55,5,0)*VLOOKUP('Données projet'!$B$9,Paramètres!$A$1:$I$89,7,0))</f>
        <v>0.13500000000000001</v>
      </c>
      <c r="X43" s="16">
        <f>IF(ISNA(VLOOKUP(A43,'Données projet'!$A$35:$I$55,6,0)),0%,VLOOKUP(A43,'Données projet'!$A$35:$I$55,6,0)*VLOOKUP('Données projet'!$B$9,Paramètres!$A$1:$I$89,7,0))</f>
        <v>0.22500000000000001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11.144567326933771</v>
      </c>
      <c r="AA43" s="21">
        <f>EXP(-LN(2)/25)*AA42+(1-EXP(-LN(2)/25))/(LN(2)/25)*Calculateur!V43*Calculateur!X43*VLOOKUP('Données projet'!$B$9,Paramètres!$A$1:$I$89,3,0)*0.475*44/12</f>
        <v>33.455489705071294</v>
      </c>
      <c r="AB43" s="21">
        <f>EXP(-LN(2)/2)*AB42+(1-EXP(-LN(2)/2))/(LN(2)/2)*V43*Y43*VLOOKUP('Données projet'!$B$9,Paramètres!$A$1:$I$89,3,0)*0.475*44/12</f>
        <v>0</v>
      </c>
      <c r="AC43" s="22">
        <f t="shared" si="3"/>
        <v>44.600057032005068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59.075123316588993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19</v>
      </c>
      <c r="AI43" s="13">
        <f>IF('Données projet'!$A$62&gt;35,AI42+AH43-AQ42,IF(A43&lt;'Données projet'!$A$62,$AF$205^A43,IF(A43='Données projet'!$A$62,'Données projet'!$B$62,AI42+AH43-AQ42)))</f>
        <v>330.00000000000011</v>
      </c>
      <c r="AJ43" s="13">
        <f>AI43*VLOOKUP('Données projet'!$B$10,Paramètres!$A$1:$I$89,3,0)*VLOOKUP('Données projet'!$B$10,Paramètres!$A$1:$I$89,5,0)</f>
        <v>184.47000000000006</v>
      </c>
      <c r="AK43" s="13">
        <f t="shared" si="35"/>
        <v>46.315254582516594</v>
      </c>
      <c r="AL43" s="20">
        <f t="shared" si="4"/>
        <v>401.9509850645498</v>
      </c>
      <c r="AM43" s="59">
        <f t="shared" si="5"/>
        <v>655.226437225376</v>
      </c>
      <c r="AN43" s="59">
        <f ca="1">AVERAGE(OFFSET($AM$3,0,0,'Données projet'!$E$10+1,1))-AVERAGE(OFFSET($H$3,0,0,'Données projet'!$E$10+1,1))</f>
        <v>363.98181065114898</v>
      </c>
      <c r="AO43" s="59">
        <f t="shared" si="36"/>
        <v>410.85213343666396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19.634220741164086</v>
      </c>
      <c r="AV43" s="21">
        <f>EXP(-LN(2)/25)*AV42+(1-EXP(-LN(2)/25))/(LN(2)/25)*Calculateur!AQ43*Calculateur!AS43*VLOOKUP('Données projet'!$B$10,Paramètres!$A$1:$I$89,3,0)*0.475*44/12</f>
        <v>41.310724269540174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60.944945010704259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59.075123316588993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10.212499999999999</v>
      </c>
      <c r="BD43" s="12">
        <f>IF('Données projet'!$A$88&gt;35,BD42+BC43-BL42,IF(A43&lt;'Données projet'!$A$88,$BA$205^A43,IF(A43='Données projet'!$A$88,'Données projet'!$B$88,BD42+BC43-BL42)))</f>
        <v>215.77500000000006</v>
      </c>
      <c r="BE43" s="13">
        <f>BD43*VLOOKUP('Données projet'!$B$11,Paramètres!$A$1:$I$89,3,0)*VLOOKUP('Données projet'!$B$11,Paramètres!$A$1:$I$89,5,0)</f>
        <v>188.50104000000007</v>
      </c>
      <c r="BF43" s="13">
        <f t="shared" si="37"/>
        <v>47.208401465736486</v>
      </c>
      <c r="BG43" s="20">
        <f t="shared" si="7"/>
        <v>410.52727721949122</v>
      </c>
      <c r="BH43" s="59">
        <f t="shared" si="8"/>
        <v>663.80272938031749</v>
      </c>
      <c r="BI43" s="59">
        <f ca="1">AVERAGE(OFFSET($BH$3,0,0,'Données projet'!$E$11+1,1))-AVERAGE(OFFSET($H$3,0,0,'Données projet'!$E$11+1,1))</f>
        <v>433.6995276469014</v>
      </c>
      <c r="BJ43" s="59">
        <f t="shared" si="38"/>
        <v>306.37969720280557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5.1107693251486408</v>
      </c>
      <c r="BQ43" s="21">
        <f>EXP(-LN(2)/25)*BQ42+(1-EXP(-LN(2)/25))/(LN(2)/25)*Calculateur!BL43*Calculateur!BN43*VLOOKUP('Données projet'!$B$11,Paramètres!$A$1:$I$89,3,0)*0.475*44/12</f>
        <v>5.6580800113824763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10.768849336531117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59.075123316588993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4.125</v>
      </c>
      <c r="BY43" s="12">
        <f>IF('Données projet'!$A$114&gt;35,BY42+BX43-CG42,IF(A43&lt;'Données projet'!$A$114,$BV$205^A43,IF(A43='Données projet'!$A$114,'Données projet'!$B$114,BY42+BX43-CG42)))</f>
        <v>16.375000000000004</v>
      </c>
      <c r="BZ43" s="13">
        <f>BY43*VLOOKUP('Données projet'!$B$12,Paramètres!$A$1:$I$89,3,0)*VLOOKUP('Données projet'!$B$12,Paramètres!$A$1:$I$89,5,0)</f>
        <v>15.837900000000003</v>
      </c>
      <c r="CA43" s="13">
        <f t="shared" si="39"/>
        <v>5.2918175363240385</v>
      </c>
      <c r="CB43" s="20">
        <f t="shared" si="10"/>
        <v>36.8009247090977</v>
      </c>
      <c r="CC43" s="59">
        <f t="shared" si="11"/>
        <v>290.07637686992393</v>
      </c>
      <c r="CD43" s="59">
        <f ca="1">AVERAGE(OFFSET($CC$3,0,0,'Données projet'!$E$12+1,1))-AVERAGE(OFFSET($H$3,0,0,'Données projet'!$E$12+1,1))</f>
        <v>455.95436253828132</v>
      </c>
      <c r="CE43" s="59">
        <f t="shared" si="40"/>
        <v>64.829921296688497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59.075123316588993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11.142857142857142</v>
      </c>
      <c r="CT43" s="12">
        <f>IF('Données projet'!$A$140&gt;35,CT42+CS43-DB42,IF(A43&lt;'Données projet'!$A$140,$CQ$205^A43,IF(A43='Données projet'!$A$140,'Données projet'!$B$140,CT42+CS43-DB42)))</f>
        <v>185.42857142857136</v>
      </c>
      <c r="CU43" s="17">
        <f>CT43*VLOOKUP('Données projet'!$B$13,Paramètres!$A$1:$I$89,3,0)*VLOOKUP('Données projet'!$B$13,Paramètres!$A$1:$I$89,5,0)</f>
        <v>144.63428571428565</v>
      </c>
      <c r="CV43" s="13">
        <f t="shared" si="41"/>
        <v>37.356634728420524</v>
      </c>
      <c r="CW43" s="20">
        <f t="shared" si="13"/>
        <v>316.96751977104657</v>
      </c>
      <c r="CX43" s="59">
        <f t="shared" si="14"/>
        <v>570.24297193187283</v>
      </c>
      <c r="CY43" s="59">
        <f ca="1">AVERAGE(OFFSET($CX$3,0,0,'Données projet'!$E$13+1,1))-AVERAGE(OFFSET($H$3,0,0,'Données projet'!$E$13+1,1))</f>
        <v>306.44760579759713</v>
      </c>
      <c r="CZ43" s="59">
        <f t="shared" si="42"/>
        <v>300.30192123221718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59.075123316588993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59.075123316588993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59.075123316588993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59.075123316588993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59.075123316588993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4.4000000000000004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16.133333333333336</v>
      </c>
      <c r="H44" s="67">
        <f t="shared" si="1"/>
        <v>192.13333333333333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59.264645502680942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9.7000000000000082</v>
      </c>
      <c r="N44" s="13">
        <f>IF('Données projet'!$A$36&gt;35,N43+M44-V43,IF(A44&lt;'Données projet'!$A$36,$K$205^A44,IF(A44='Données projet'!$A$36,'Données projet'!$B$36,N43+M44-V43)))</f>
        <v>243.8</v>
      </c>
      <c r="O44" s="13">
        <f>N44*VLOOKUP('Données projet'!$B$9,Paramètres!$A$1:$I$89,3,0)*VLOOKUP('Données projet'!$B$9,Paramètres!$A$1:$I$89,5,0)</f>
        <v>145.79240000000001</v>
      </c>
      <c r="P44" s="13">
        <f t="shared" si="33"/>
        <v>37.620815850919406</v>
      </c>
      <c r="Q44" s="20">
        <f t="shared" si="53"/>
        <v>319.44468427368463</v>
      </c>
      <c r="R44" s="59">
        <f t="shared" si="0"/>
        <v>573.41505111684808</v>
      </c>
      <c r="S44" s="59">
        <f ca="1">AVERAGE(OFFSET($R$3,0,0,'Données projet'!$E$9+1,1))-AVERAGE(OFFSET($H$3,0,0,'Données projet'!$E$9+1,1))</f>
        <v>299.45724561493057</v>
      </c>
      <c r="T44" s="59">
        <f t="shared" si="34"/>
        <v>297.63369027443196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10.92602915916747</v>
      </c>
      <c r="AA44" s="21">
        <f>EXP(-LN(2)/25)*AA43+(1-EXP(-LN(2)/25))/(LN(2)/25)*Calculateur!V44*Calculateur!X44*VLOOKUP('Données projet'!$B$9,Paramètres!$A$1:$I$89,3,0)*0.475*44/12</f>
        <v>32.540647579738376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43.466676738905846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59.264645502680942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19</v>
      </c>
      <c r="AI44" s="13">
        <f>IF('Données projet'!$A$62&gt;35,AI43+AH44-AQ43,IF(A44&lt;'Données projet'!$A$62,$AF$205^A44,IF(A44='Données projet'!$A$62,'Données projet'!$B$62,AI43+AH44-AQ43)))</f>
        <v>349.00000000000011</v>
      </c>
      <c r="AJ44" s="13">
        <f>AI44*VLOOKUP('Données projet'!$B$10,Paramètres!$A$1:$I$89,3,0)*VLOOKUP('Données projet'!$B$10,Paramètres!$A$1:$I$89,5,0)</f>
        <v>195.09100000000007</v>
      </c>
      <c r="AK44" s="13">
        <f t="shared" si="35"/>
        <v>48.663762686246173</v>
      </c>
      <c r="AL44" s="20">
        <f t="shared" si="4"/>
        <v>424.53954501187883</v>
      </c>
      <c r="AM44" s="59">
        <f t="shared" si="5"/>
        <v>678.50991185504222</v>
      </c>
      <c r="AN44" s="59">
        <f ca="1">AVERAGE(OFFSET($AM$3,0,0,'Données projet'!$E$10+1,1))-AVERAGE(OFFSET($H$3,0,0,'Données projet'!$E$10+1,1))</f>
        <v>363.98181065114898</v>
      </c>
      <c r="AO44" s="59">
        <f t="shared" si="36"/>
        <v>410.85213343666396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19.249205648122008</v>
      </c>
      <c r="AV44" s="21">
        <f>EXP(-LN(2)/25)*AV43+(1-EXP(-LN(2)/25))/(LN(2)/25)*Calculateur!AQ44*Calculateur!AS44*VLOOKUP('Données projet'!$B$10,Paramètres!$A$1:$I$89,3,0)*0.475*44/12</f>
        <v>40.181080341953027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59.430285990075035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59.264645502680942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10.212499999999999</v>
      </c>
      <c r="BD44" s="12">
        <f>IF('Données projet'!$A$88&gt;35,BD43+BC44-BL43,IF(A44&lt;'Données projet'!$A$88,$BA$205^A44,IF(A44='Données projet'!$A$88,'Données projet'!$B$88,BD43+BC44-BL43)))</f>
        <v>225.98750000000007</v>
      </c>
      <c r="BE44" s="13">
        <f>BD44*VLOOKUP('Données projet'!$B$11,Paramètres!$A$1:$I$89,3,0)*VLOOKUP('Données projet'!$B$11,Paramètres!$A$1:$I$89,5,0)</f>
        <v>197.4226800000001</v>
      </c>
      <c r="BF44" s="13">
        <f t="shared" si="37"/>
        <v>49.177323933129124</v>
      </c>
      <c r="BG44" s="20">
        <f t="shared" si="7"/>
        <v>429.49500685020001</v>
      </c>
      <c r="BH44" s="59">
        <f t="shared" si="8"/>
        <v>683.46537369336352</v>
      </c>
      <c r="BI44" s="59">
        <f ca="1">AVERAGE(OFFSET($BH$3,0,0,'Données projet'!$E$11+1,1))-AVERAGE(OFFSET($H$3,0,0,'Données projet'!$E$11+1,1))</f>
        <v>433.6995276469014</v>
      </c>
      <c r="BJ44" s="59">
        <f t="shared" si="38"/>
        <v>306.37969720280557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5.0105502559439605</v>
      </c>
      <c r="BQ44" s="21">
        <f>EXP(-LN(2)/25)*BQ43+(1-EXP(-LN(2)/25))/(LN(2)/25)*Calculateur!BL44*Calculateur!BN44*VLOOKUP('Données projet'!$B$11,Paramètres!$A$1:$I$89,3,0)*0.475*44/12</f>
        <v>5.5033595159257267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10.513909771869688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59.264645502680942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4.125</v>
      </c>
      <c r="BY44" s="12">
        <f>IF('Données projet'!$A$114&gt;35,BY43+BX44-CG43,IF(A44&lt;'Données projet'!$A$114,$BV$205^A44,IF(A44='Données projet'!$A$114,'Données projet'!$B$114,BY43+BX44-CG43)))</f>
        <v>20.500000000000004</v>
      </c>
      <c r="BZ44" s="13">
        <f>BY44*VLOOKUP('Données projet'!$B$12,Paramètres!$A$1:$I$89,3,0)*VLOOKUP('Données projet'!$B$12,Paramètres!$A$1:$I$89,5,0)</f>
        <v>19.827600000000004</v>
      </c>
      <c r="CA44" s="13">
        <f t="shared" si="39"/>
        <v>6.4538663630574016</v>
      </c>
      <c r="CB44" s="20">
        <f t="shared" si="10"/>
        <v>45.773553915658312</v>
      </c>
      <c r="CC44" s="59">
        <f t="shared" si="11"/>
        <v>299.74392075882179</v>
      </c>
      <c r="CD44" s="59">
        <f ca="1">AVERAGE(OFFSET($CC$3,0,0,'Données projet'!$E$12+1,1))-AVERAGE(OFFSET($H$3,0,0,'Données projet'!$E$12+1,1))</f>
        <v>455.95436253828132</v>
      </c>
      <c r="CE44" s="59">
        <f t="shared" si="40"/>
        <v>64.829921296688497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59.264645502680942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11.142857142857142</v>
      </c>
      <c r="CT44" s="12">
        <f>IF('Données projet'!$A$140&gt;35,CT43+CS44-DB43,IF(A44&lt;'Données projet'!$A$140,$CQ$205^A44,IF(A44='Données projet'!$A$140,'Données projet'!$B$140,CT43+CS44-DB43)))</f>
        <v>196.5714285714285</v>
      </c>
      <c r="CU44" s="17">
        <f>CT44*VLOOKUP('Données projet'!$B$13,Paramètres!$A$1:$I$89,3,0)*VLOOKUP('Données projet'!$B$13,Paramètres!$A$1:$I$89,5,0)</f>
        <v>153.32571428571424</v>
      </c>
      <c r="CV44" s="13">
        <f t="shared" si="41"/>
        <v>39.333398837614155</v>
      </c>
      <c r="CW44" s="20">
        <f t="shared" si="13"/>
        <v>335.5479553564636</v>
      </c>
      <c r="CX44" s="59">
        <f t="shared" si="14"/>
        <v>589.51832219962705</v>
      </c>
      <c r="CY44" s="59">
        <f ca="1">AVERAGE(OFFSET($CX$3,0,0,'Données projet'!$E$13+1,1))-AVERAGE(OFFSET($H$3,0,0,'Données projet'!$E$13+1,1))</f>
        <v>306.44760579759713</v>
      </c>
      <c r="CZ44" s="59">
        <f t="shared" si="42"/>
        <v>300.30192123221718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59.264645502680942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59.264645502680942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59.264645502680942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59.264645502680942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59.264645502680942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4.4000000000000004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16.133333333333336</v>
      </c>
      <c r="H45" s="67">
        <f t="shared" si="1"/>
        <v>192.13333333333333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59.45087990255233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9.7000000000000082</v>
      </c>
      <c r="N45" s="13">
        <f>IF('Données projet'!$A$36&gt;35,N44+M45-V44,IF(A45&lt;'Données projet'!$A$36,$K$205^A45,IF(A45='Données projet'!$A$36,'Données projet'!$B$36,N44+M45-V44)))</f>
        <v>253.50000000000003</v>
      </c>
      <c r="O45" s="13">
        <f>N45*VLOOKUP('Données projet'!$B$9,Paramètres!$A$1:$I$89,3,0)*VLOOKUP('Données projet'!$B$9,Paramètres!$A$1:$I$89,5,0)</f>
        <v>151.59300000000002</v>
      </c>
      <c r="P45" s="13">
        <f t="shared" si="33"/>
        <v>38.94037771081765</v>
      </c>
      <c r="Q45" s="20">
        <f t="shared" si="53"/>
        <v>331.84563284634072</v>
      </c>
      <c r="R45" s="59">
        <f t="shared" si="0"/>
        <v>586.49885915569928</v>
      </c>
      <c r="S45" s="59">
        <f ca="1">AVERAGE(OFFSET($R$3,0,0,'Données projet'!$E$9+1,1))-AVERAGE(OFFSET($H$3,0,0,'Données projet'!$E$9+1,1))</f>
        <v>299.45724561493057</v>
      </c>
      <c r="T45" s="59">
        <f t="shared" si="34"/>
        <v>297.63369027443196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10.711776391575945</v>
      </c>
      <c r="AA45" s="21">
        <f>EXP(-LN(2)/25)*AA44+(1-EXP(-LN(2)/25))/(LN(2)/25)*Calculateur!V45*Calculateur!X45*VLOOKUP('Données projet'!$B$9,Paramètres!$A$1:$I$89,3,0)*0.475*44/12</f>
        <v>31.650821860432146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42.362598252008091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59.45087990255233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19</v>
      </c>
      <c r="AI45" s="13">
        <f>IF('Données projet'!$A$62&gt;35,AI44+AH45-AQ44,IF(A45&lt;'Données projet'!$A$62,$AF$205^A45,IF(A45='Données projet'!$A$62,'Données projet'!$B$62,AI44+AH45-AQ44)))</f>
        <v>368.00000000000011</v>
      </c>
      <c r="AJ45" s="13">
        <f>AI45*VLOOKUP('Données projet'!$B$10,Paramètres!$A$1:$I$89,3,0)*VLOOKUP('Données projet'!$B$10,Paramètres!$A$1:$I$89,5,0)</f>
        <v>205.71200000000005</v>
      </c>
      <c r="AK45" s="13">
        <f t="shared" si="35"/>
        <v>50.997427696933762</v>
      </c>
      <c r="AL45" s="20">
        <f t="shared" si="4"/>
        <v>447.10225323882634</v>
      </c>
      <c r="AM45" s="59">
        <f t="shared" si="5"/>
        <v>701.75547954818489</v>
      </c>
      <c r="AN45" s="59">
        <f ca="1">AVERAGE(OFFSET($AM$3,0,0,'Données projet'!$E$10+1,1))-AVERAGE(OFFSET($H$3,0,0,'Données projet'!$E$10+1,1))</f>
        <v>363.98181065114898</v>
      </c>
      <c r="AO45" s="59">
        <f t="shared" si="36"/>
        <v>410.85213343666396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18.871740466218466</v>
      </c>
      <c r="AV45" s="21">
        <f>EXP(-LN(2)/25)*AV44+(1-EXP(-LN(2)/25))/(LN(2)/25)*Calculateur!AQ45*Calculateur!AS45*VLOOKUP('Données projet'!$B$10,Paramètres!$A$1:$I$89,3,0)*0.475*44/12</f>
        <v>39.082326586971142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57.954067053189604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59.45087990255233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236.2</v>
      </c>
      <c r="BB45" s="12">
        <f>VLOOKUP(A45,'Données projet'!$A$87:$I$107,9,0)</f>
        <v>10.212499999999999</v>
      </c>
      <c r="BC45" s="12">
        <f t="array" ref="BC45">INDEX(BB:BB,MIN(IF(ISNUMBER(BB45:BB241),ROW(BB45:BB241),"")))</f>
        <v>10.212499999999999</v>
      </c>
      <c r="BD45" s="12">
        <f>IF('Données projet'!$A$88&gt;35,BD44+BC45-BL44,IF(A45&lt;'Données projet'!$A$88,$BA$205^A45,IF(A45='Données projet'!$A$88,'Données projet'!$B$88,BD44+BC45-BL44)))</f>
        <v>236.20000000000007</v>
      </c>
      <c r="BE45" s="13">
        <f>BD45*VLOOKUP('Données projet'!$B$11,Paramètres!$A$1:$I$89,3,0)*VLOOKUP('Données projet'!$B$11,Paramètres!$A$1:$I$89,5,0)</f>
        <v>206.3443200000001</v>
      </c>
      <c r="BF45" s="13">
        <f t="shared" si="37"/>
        <v>51.1359129912763</v>
      </c>
      <c r="BG45" s="20">
        <f t="shared" si="7"/>
        <v>448.44473912647305</v>
      </c>
      <c r="BH45" s="59">
        <f t="shared" si="8"/>
        <v>703.09796543583161</v>
      </c>
      <c r="BI45" s="59">
        <f ca="1">AVERAGE(OFFSET($BH$3,0,0,'Données projet'!$E$11+1,1))-AVERAGE(OFFSET($H$3,0,0,'Données projet'!$E$11+1,1))</f>
        <v>433.6995276469014</v>
      </c>
      <c r="BJ45" s="59">
        <f t="shared" si="38"/>
        <v>306.37969720280557</v>
      </c>
      <c r="BK45" s="15">
        <f>IF(ISNA(VLOOKUP(A45,'Données projet'!$A$87:$I$107,3,0)),0,VLOOKUP(A45,'Données projet'!$A$87:$I$107,3,0))</f>
        <v>3</v>
      </c>
      <c r="BL45" s="15">
        <f>IF(ISNA(VLOOKUP(A45,'Données projet'!$A$87:$I$107,4,0)),0,VLOOKUP(A45,'Données projet'!$A$87:$I$107,4,0))</f>
        <v>47.2</v>
      </c>
      <c r="BM45" s="16">
        <f>IF(ISNA(VLOOKUP(A45,'Données projet'!$A$87:$I$107,5,0)),0%,VLOOKUP(A45,'Données projet'!$A$87:$I$107,5,0)*VLOOKUP('Données projet'!$B$11,Paramètres!$A$1:$I$89,7,0))</f>
        <v>0.25800000000000001</v>
      </c>
      <c r="BN45" s="16">
        <f>IF(ISNA(VLOOKUP(A45,'Données projet'!$A$87:$I$107,6,0)),0%,VLOOKUP(A45,'Données projet'!$A$87:$I$107,6,0)*VLOOKUP('Données projet'!$B$11,Paramètres!$A$1:$I$89,7,0))</f>
        <v>0.129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16.672678737102864</v>
      </c>
      <c r="BQ45" s="21">
        <f>EXP(-LN(2)/25)*BQ44+(1-EXP(-LN(2)/25))/(LN(2)/25)*Calculateur!BL45*Calculateur!BN45*VLOOKUP('Données projet'!$B$11,Paramètres!$A$1:$I$89,3,0)*0.475*44/12</f>
        <v>11.209908465209043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27.882587202311907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59.45087990255233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4.125</v>
      </c>
      <c r="BY45" s="12">
        <f>IF('Données projet'!$A$114&gt;35,BY44+BX45-CG44,IF(A45&lt;'Données projet'!$A$114,$BV$205^A45,IF(A45='Données projet'!$A$114,'Données projet'!$B$114,BY44+BX45-CG44)))</f>
        <v>24.625000000000004</v>
      </c>
      <c r="BZ45" s="13">
        <f>BY45*VLOOKUP('Données projet'!$B$12,Paramètres!$A$1:$I$89,3,0)*VLOOKUP('Données projet'!$B$12,Paramètres!$A$1:$I$89,5,0)</f>
        <v>23.817300000000003</v>
      </c>
      <c r="CA45" s="13">
        <f t="shared" si="39"/>
        <v>7.5888208714809249</v>
      </c>
      <c r="CB45" s="20">
        <f t="shared" si="10"/>
        <v>54.698993851162619</v>
      </c>
      <c r="CC45" s="59">
        <f t="shared" si="11"/>
        <v>309.35222016052114</v>
      </c>
      <c r="CD45" s="59">
        <f ca="1">AVERAGE(OFFSET($CC$3,0,0,'Données projet'!$E$12+1,1))-AVERAGE(OFFSET($H$3,0,0,'Données projet'!$E$12+1,1))</f>
        <v>455.95436253828132</v>
      </c>
      <c r="CE45" s="59">
        <f t="shared" si="40"/>
        <v>64.829921296688497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59.45087990255233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11.142857142857142</v>
      </c>
      <c r="CT45" s="12">
        <f>IF('Données projet'!$A$140&gt;35,CT44+CS45-DB44,IF(A45&lt;'Données projet'!$A$140,$CQ$205^A45,IF(A45='Données projet'!$A$140,'Données projet'!$B$140,CT44+CS45-DB44)))</f>
        <v>207.71428571428564</v>
      </c>
      <c r="CU45" s="17">
        <f>CT45*VLOOKUP('Données projet'!$B$13,Paramètres!$A$1:$I$89,3,0)*VLOOKUP('Données projet'!$B$13,Paramètres!$A$1:$I$89,5,0)</f>
        <v>162.0171428571428</v>
      </c>
      <c r="CV45" s="13">
        <f t="shared" si="41"/>
        <v>41.29715533509664</v>
      </c>
      <c r="CW45" s="20">
        <f t="shared" si="13"/>
        <v>354.10573601815037</v>
      </c>
      <c r="CX45" s="59">
        <f t="shared" si="14"/>
        <v>608.75896232750893</v>
      </c>
      <c r="CY45" s="59">
        <f ca="1">AVERAGE(OFFSET($CX$3,0,0,'Données projet'!$E$13+1,1))-AVERAGE(OFFSET($H$3,0,0,'Données projet'!$E$13+1,1))</f>
        <v>306.44760579759713</v>
      </c>
      <c r="CZ45" s="59">
        <f t="shared" si="42"/>
        <v>300.30192123221718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59.45087990255233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59.45087990255233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59.45087990255233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59.45087990255233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59.45087990255233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4.4000000000000004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16.133333333333336</v>
      </c>
      <c r="H46" s="67">
        <f t="shared" si="1"/>
        <v>192.13333333333333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59.63388355194369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9.7000000000000082</v>
      </c>
      <c r="N46" s="13">
        <f>IF('Données projet'!$A$36&gt;35,N45+M46-V45,IF(A46&lt;'Données projet'!$A$36,$K$205^A46,IF(A46='Données projet'!$A$36,'Données projet'!$B$36,N45+M46-V45)))</f>
        <v>263.20000000000005</v>
      </c>
      <c r="O46" s="13">
        <f>N46*VLOOKUP('Données projet'!$B$9,Paramètres!$A$1:$I$89,3,0)*VLOOKUP('Données projet'!$B$9,Paramètres!$A$1:$I$89,5,0)</f>
        <v>157.39360000000005</v>
      </c>
      <c r="P46" s="13">
        <f t="shared" si="33"/>
        <v>40.254073846368982</v>
      </c>
      <c r="Q46" s="20">
        <f t="shared" si="53"/>
        <v>344.23636528242605</v>
      </c>
      <c r="R46" s="59">
        <f t="shared" si="0"/>
        <v>599.56060497288627</v>
      </c>
      <c r="S46" s="59">
        <f ca="1">AVERAGE(OFFSET($R$3,0,0,'Données projet'!$E$9+1,1))-AVERAGE(OFFSET($H$3,0,0,'Données projet'!$E$9+1,1))</f>
        <v>299.45724561493057</v>
      </c>
      <c r="T46" s="59">
        <f t="shared" si="34"/>
        <v>297.63369027443196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10.501724990075607</v>
      </c>
      <c r="AA46" s="21">
        <f>EXP(-LN(2)/25)*AA45+(1-EXP(-LN(2)/25))/(LN(2)/25)*Calculateur!V46*Calculateur!X46*VLOOKUP('Données projet'!$B$9,Paramètres!$A$1:$I$89,3,0)*0.475*44/12</f>
        <v>30.785328472214246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41.287053462289855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59.63388355194369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19</v>
      </c>
      <c r="AI46" s="13">
        <f>IF('Données projet'!$A$62&gt;35,AI45+AH46-AQ45,IF(A46&lt;'Données projet'!$A$62,$AF$205^A46,IF(A46='Données projet'!$A$62,'Données projet'!$B$62,AI45+AH46-AQ45)))</f>
        <v>387.00000000000011</v>
      </c>
      <c r="AJ46" s="13">
        <f>AI46*VLOOKUP('Données projet'!$B$10,Paramètres!$A$1:$I$89,3,0)*VLOOKUP('Données projet'!$B$10,Paramètres!$A$1:$I$89,5,0)</f>
        <v>216.33300000000008</v>
      </c>
      <c r="AK46" s="13">
        <f t="shared" si="35"/>
        <v>53.317103385534637</v>
      </c>
      <c r="AL46" s="20">
        <f t="shared" si="4"/>
        <v>469.6405967298063</v>
      </c>
      <c r="AM46" s="59">
        <f t="shared" si="5"/>
        <v>724.96483642026647</v>
      </c>
      <c r="AN46" s="59">
        <f ca="1">AVERAGE(OFFSET($AM$3,0,0,'Données projet'!$E$10+1,1))-AVERAGE(OFFSET($H$3,0,0,'Données projet'!$E$10+1,1))</f>
        <v>363.98181065114898</v>
      </c>
      <c r="AO46" s="59">
        <f t="shared" si="36"/>
        <v>410.85213343666396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18.501677146301027</v>
      </c>
      <c r="AV46" s="21">
        <f>EXP(-LN(2)/25)*AV45+(1-EXP(-LN(2)/25))/(LN(2)/25)*Calculateur!AQ46*Calculateur!AS46*VLOOKUP('Données projet'!$B$10,Paramètres!$A$1:$I$89,3,0)*0.475*44/12</f>
        <v>38.013618311200183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56.51529545750121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59.63388355194369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13.587499999999999</v>
      </c>
      <c r="BD46" s="12">
        <f>IF('Données projet'!$A$88&gt;35,BD45+BC46-BL45,IF(A46&lt;'Données projet'!$A$88,$BA$205^A46,IF(A46='Données projet'!$A$88,'Données projet'!$B$88,BD45+BC46-BL45)))</f>
        <v>202.58750000000009</v>
      </c>
      <c r="BE46" s="13">
        <f>BD46*VLOOKUP('Données projet'!$B$11,Paramètres!$A$1:$I$89,3,0)*VLOOKUP('Données projet'!$B$11,Paramètres!$A$1:$I$89,5,0)</f>
        <v>176.9804400000001</v>
      </c>
      <c r="BF46" s="13">
        <f t="shared" si="37"/>
        <v>44.649729676139316</v>
      </c>
      <c r="BG46" s="20">
        <f t="shared" si="7"/>
        <v>386.00587885260944</v>
      </c>
      <c r="BH46" s="59">
        <f t="shared" si="8"/>
        <v>641.3301185430696</v>
      </c>
      <c r="BI46" s="59">
        <f ca="1">AVERAGE(OFFSET($BH$3,0,0,'Données projet'!$E$11+1,1))-AVERAGE(OFFSET($H$3,0,0,'Données projet'!$E$11+1,1))</f>
        <v>433.6995276469014</v>
      </c>
      <c r="BJ46" s="59">
        <f t="shared" si="38"/>
        <v>306.37969720280557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16.345737676398169</v>
      </c>
      <c r="BQ46" s="21">
        <f>EXP(-LN(2)/25)*BQ45+(1-EXP(-LN(2)/25))/(LN(2)/25)*Calculateur!BL46*Calculateur!BN46*VLOOKUP('Données projet'!$B$11,Paramètres!$A$1:$I$89,3,0)*0.475*44/12</f>
        <v>10.903372928724437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27.249110605122606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59.63388355194369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4.125</v>
      </c>
      <c r="BY46" s="12">
        <f>IF('Données projet'!$A$114&gt;35,BY45+BX46-CG45,IF(A46&lt;'Données projet'!$A$114,$BV$205^A46,IF(A46='Données projet'!$A$114,'Données projet'!$B$114,BY45+BX46-CG45)))</f>
        <v>28.750000000000004</v>
      </c>
      <c r="BZ46" s="13">
        <f>BY46*VLOOKUP('Données projet'!$B$12,Paramètres!$A$1:$I$89,3,0)*VLOOKUP('Données projet'!$B$12,Paramètres!$A$1:$I$89,5,0)</f>
        <v>27.807000000000006</v>
      </c>
      <c r="CA46" s="13">
        <f t="shared" si="39"/>
        <v>8.7017511680500679</v>
      </c>
      <c r="CB46" s="20">
        <f t="shared" si="10"/>
        <v>63.586074951020542</v>
      </c>
      <c r="CC46" s="59">
        <f t="shared" si="11"/>
        <v>318.91031464148074</v>
      </c>
      <c r="CD46" s="59">
        <f ca="1">AVERAGE(OFFSET($CC$3,0,0,'Données projet'!$E$12+1,1))-AVERAGE(OFFSET($H$3,0,0,'Données projet'!$E$12+1,1))</f>
        <v>455.95436253828132</v>
      </c>
      <c r="CE46" s="59">
        <f t="shared" si="40"/>
        <v>64.829921296688497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59.63388355194369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11.142857142857142</v>
      </c>
      <c r="CT46" s="12">
        <f>IF('Données projet'!$A$140&gt;35,CT45+CS46-DB45,IF(A46&lt;'Données projet'!$A$140,$CQ$205^A46,IF(A46='Données projet'!$A$140,'Données projet'!$B$140,CT45+CS46-DB45)))</f>
        <v>218.85714285714278</v>
      </c>
      <c r="CU46" s="17">
        <f>CT46*VLOOKUP('Données projet'!$B$13,Paramètres!$A$1:$I$89,3,0)*VLOOKUP('Données projet'!$B$13,Paramètres!$A$1:$I$89,5,0)</f>
        <v>170.70857142857136</v>
      </c>
      <c r="CV46" s="13">
        <f t="shared" si="41"/>
        <v>43.248681576985376</v>
      </c>
      <c r="CW46" s="20">
        <f t="shared" si="13"/>
        <v>372.64221565134466</v>
      </c>
      <c r="CX46" s="59">
        <f t="shared" si="14"/>
        <v>627.96645534180482</v>
      </c>
      <c r="CY46" s="59">
        <f ca="1">AVERAGE(OFFSET($CX$3,0,0,'Données projet'!$E$13+1,1))-AVERAGE(OFFSET($H$3,0,0,'Données projet'!$E$13+1,1))</f>
        <v>306.44760579759713</v>
      </c>
      <c r="CZ46" s="59">
        <f t="shared" si="42"/>
        <v>300.30192123221718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59.63388355194369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59.63388355194369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59.63388355194369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59.63388355194369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59.63388355194369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4.4000000000000004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16.133333333333336</v>
      </c>
      <c r="H47" s="67">
        <f t="shared" si="1"/>
        <v>192.13333333333333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59.813712497152977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9.7000000000000082</v>
      </c>
      <c r="N47" s="13">
        <f>IF('Données projet'!$A$36&gt;35,N46+M47-V46,IF(A47&lt;'Données projet'!$A$36,$K$205^A47,IF(A47='Données projet'!$A$36,'Données projet'!$B$36,N46+M47-V46)))</f>
        <v>272.90000000000003</v>
      </c>
      <c r="O47" s="13">
        <f>N47*VLOOKUP('Données projet'!$B$9,Paramètres!$A$1:$I$89,3,0)*VLOOKUP('Données projet'!$B$9,Paramètres!$A$1:$I$89,5,0)</f>
        <v>163.19420000000002</v>
      </c>
      <c r="P47" s="13">
        <f t="shared" si="33"/>
        <v>41.562145190533329</v>
      </c>
      <c r="Q47" s="20">
        <f t="shared" si="53"/>
        <v>356.61730120684553</v>
      </c>
      <c r="R47" s="59">
        <f t="shared" si="0"/>
        <v>612.60091369640645</v>
      </c>
      <c r="S47" s="59">
        <f ca="1">AVERAGE(OFFSET($R$3,0,0,'Données projet'!$E$9+1,1))-AVERAGE(OFFSET($H$3,0,0,'Données projet'!$E$9+1,1))</f>
        <v>299.45724561493057</v>
      </c>
      <c r="T47" s="59">
        <f t="shared" si="34"/>
        <v>297.63369027443196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10.295792568439985</v>
      </c>
      <c r="AA47" s="21">
        <f>EXP(-LN(2)/25)*AA46+(1-EXP(-LN(2)/25))/(LN(2)/25)*Calculateur!V47*Calculateur!X47*VLOOKUP('Données projet'!$B$9,Paramètres!$A$1:$I$89,3,0)*0.475*44/12</f>
        <v>29.943502046211485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40.23929461465147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59.813712497152977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19</v>
      </c>
      <c r="AI47" s="13">
        <f>IF('Données projet'!$A$62&gt;35,AI46+AH47-AQ46,IF(A47&lt;'Données projet'!$A$62,$AF$205^A47,IF(A47='Données projet'!$A$62,'Données projet'!$B$62,AI46+AH47-AQ46)))</f>
        <v>406.00000000000011</v>
      </c>
      <c r="AJ47" s="13">
        <f>AI47*VLOOKUP('Données projet'!$B$10,Paramètres!$A$1:$I$89,3,0)*VLOOKUP('Données projet'!$B$10,Paramètres!$A$1:$I$89,5,0)</f>
        <v>226.95400000000006</v>
      </c>
      <c r="AK47" s="13">
        <f t="shared" si="35"/>
        <v>55.623554954078735</v>
      </c>
      <c r="AL47" s="20">
        <f t="shared" si="4"/>
        <v>492.15590821168718</v>
      </c>
      <c r="AM47" s="59">
        <f t="shared" si="5"/>
        <v>748.1395207012481</v>
      </c>
      <c r="AN47" s="59">
        <f ca="1">AVERAGE(OFFSET($AM$3,0,0,'Données projet'!$E$10+1,1))-AVERAGE(OFFSET($H$3,0,0,'Données projet'!$E$10+1,1))</f>
        <v>363.98181065114898</v>
      </c>
      <c r="AO47" s="59">
        <f t="shared" si="36"/>
        <v>410.85213343666396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18.138870542370832</v>
      </c>
      <c r="AV47" s="21">
        <f>EXP(-LN(2)/25)*AV46+(1-EXP(-LN(2)/25))/(LN(2)/25)*Calculateur!AQ47*Calculateur!AS47*VLOOKUP('Données projet'!$B$10,Paramètres!$A$1:$I$89,3,0)*0.475*44/12</f>
        <v>36.974133919431111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55.113004461801943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59.813712497152977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13.587499999999999</v>
      </c>
      <c r="BD47" s="12">
        <f>IF('Données projet'!$A$88&gt;35,BD46+BC47-BL46,IF(A47&lt;'Données projet'!$A$88,$BA$205^A47,IF(A47='Données projet'!$A$88,'Données projet'!$B$88,BD46+BC47-BL46)))</f>
        <v>216.1750000000001</v>
      </c>
      <c r="BE47" s="13">
        <f>BD47*VLOOKUP('Données projet'!$B$11,Paramètres!$A$1:$I$89,3,0)*VLOOKUP('Données projet'!$B$11,Paramètres!$A$1:$I$89,5,0)</f>
        <v>188.85048000000012</v>
      </c>
      <c r="BF47" s="13">
        <f t="shared" si="37"/>
        <v>47.285720610544388</v>
      </c>
      <c r="BG47" s="20">
        <f t="shared" si="7"/>
        <v>411.2705493966983</v>
      </c>
      <c r="BH47" s="59">
        <f t="shared" si="8"/>
        <v>667.25416188625923</v>
      </c>
      <c r="BI47" s="59">
        <f ca="1">AVERAGE(OFFSET($BH$3,0,0,'Données projet'!$E$11+1,1))-AVERAGE(OFFSET($H$3,0,0,'Données projet'!$E$11+1,1))</f>
        <v>433.6995276469014</v>
      </c>
      <c r="BJ47" s="59">
        <f t="shared" si="38"/>
        <v>306.37969720280557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16.025207730479536</v>
      </c>
      <c r="BQ47" s="21">
        <f>EXP(-LN(2)/25)*BQ46+(1-EXP(-LN(2)/25))/(LN(2)/25)*Calculateur!BL47*Calculateur!BN47*VLOOKUP('Données projet'!$B$11,Paramètres!$A$1:$I$89,3,0)*0.475*44/12</f>
        <v>10.605219622605006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26.630427353084542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59.813712497152977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4.125</v>
      </c>
      <c r="BY47" s="12">
        <f>IF('Données projet'!$A$114&gt;35,BY46+BX47-CG46,IF(A47&lt;'Données projet'!$A$114,$BV$205^A47,IF(A47='Données projet'!$A$114,'Données projet'!$B$114,BY46+BX47-CG46)))</f>
        <v>32.875</v>
      </c>
      <c r="BZ47" s="13">
        <f>BY47*VLOOKUP('Données projet'!$B$12,Paramètres!$A$1:$I$89,3,0)*VLOOKUP('Données projet'!$B$12,Paramètres!$A$1:$I$89,5,0)</f>
        <v>31.796700000000001</v>
      </c>
      <c r="CA47" s="13">
        <f t="shared" si="39"/>
        <v>9.7961819669689731</v>
      </c>
      <c r="CB47" s="20">
        <f t="shared" si="10"/>
        <v>72.440936092470949</v>
      </c>
      <c r="CC47" s="59">
        <f t="shared" si="11"/>
        <v>328.42454858203183</v>
      </c>
      <c r="CD47" s="59">
        <f ca="1">AVERAGE(OFFSET($CC$3,0,0,'Données projet'!$E$12+1,1))-AVERAGE(OFFSET($H$3,0,0,'Données projet'!$E$12+1,1))</f>
        <v>455.95436253828132</v>
      </c>
      <c r="CE47" s="59">
        <f t="shared" si="40"/>
        <v>64.829921296688497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59.813712497152977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230</v>
      </c>
      <c r="CR47" s="12">
        <f>VLOOKUP(A47,'Données projet'!$A$139:$I$159,9,0)</f>
        <v>11.142857142857142</v>
      </c>
      <c r="CS47" s="12">
        <f t="array" ref="CS47">INDEX(CR:CR,MIN(IF(ISNUMBER(CR47:CR243),ROW(CR47:CR243),"")))</f>
        <v>11.142857142857142</v>
      </c>
      <c r="CT47" s="12">
        <f>IF('Données projet'!$A$140&gt;35,CT46+CS47-DB46,IF(A47&lt;'Données projet'!$A$140,$CQ$205^A47,IF(A47='Données projet'!$A$140,'Données projet'!$B$140,CT46+CS47-DB46)))</f>
        <v>229.99999999999991</v>
      </c>
      <c r="CU47" s="17">
        <f>CT47*VLOOKUP('Données projet'!$B$13,Paramètres!$A$1:$I$89,3,0)*VLOOKUP('Données projet'!$B$13,Paramètres!$A$1:$I$89,5,0)</f>
        <v>179.39999999999995</v>
      </c>
      <c r="CV47" s="13">
        <f t="shared" si="41"/>
        <v>45.188671291872232</v>
      </c>
      <c r="CW47" s="20">
        <f t="shared" si="13"/>
        <v>391.15860250001066</v>
      </c>
      <c r="CX47" s="59">
        <f t="shared" si="14"/>
        <v>647.14221498957158</v>
      </c>
      <c r="CY47" s="59">
        <f ca="1">AVERAGE(OFFSET($CX$3,0,0,'Données projet'!$E$13+1,1))-AVERAGE(OFFSET($H$3,0,0,'Données projet'!$E$13+1,1))</f>
        <v>306.44760579759713</v>
      </c>
      <c r="CZ47" s="59">
        <f t="shared" si="42"/>
        <v>300.30192123221718</v>
      </c>
      <c r="DA47" s="15">
        <f>IF(ISNA(VLOOKUP(A47,'Données projet'!$A$139:$I$159,3,0)),0,VLOOKUP(A47,'Données projet'!$A$139:$I$159,3,0))</f>
        <v>6</v>
      </c>
      <c r="DB47" s="15">
        <f>IF(ISNA(VLOOKUP(A47,'Données projet'!$A$139:$I$159,4,0)),0,VLOOKUP(A47,'Données projet'!$A$139:$I$159,4,0))</f>
        <v>43</v>
      </c>
      <c r="DC47" s="16">
        <f>IF(ISNA(VLOOKUP(A47,'Données projet'!$A$139:$I$159,5,0)),0%,VLOOKUP(A47,'Données projet'!$A$139:$I$159,5,0)*VLOOKUP('Données projet'!$B$13,Paramètres!$A$1:$I$89,7,0))</f>
        <v>0.129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4.7829944723100342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4.7829944723100342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59.813712497152977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59.813712497152977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59.813712497152977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59.813712497152977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59.813712497152977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4.4000000000000004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16.133333333333336</v>
      </c>
      <c r="H48" s="67">
        <f t="shared" si="1"/>
        <v>192.13333333333333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59.990421812200182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9.7000000000000082</v>
      </c>
      <c r="N48" s="13">
        <f>IF('Données projet'!$A$36&gt;35,N47+M48-V47,IF(A48&lt;'Données projet'!$A$36,$K$205^A48,IF(A48='Données projet'!$A$36,'Données projet'!$B$36,N47+M48-V47)))</f>
        <v>282.60000000000002</v>
      </c>
      <c r="O48" s="13">
        <f>N48*VLOOKUP('Données projet'!$B$9,Paramètres!$A$1:$I$89,3,0)*VLOOKUP('Données projet'!$B$9,Paramètres!$A$1:$I$89,5,0)</f>
        <v>168.99480000000003</v>
      </c>
      <c r="P48" s="13">
        <f t="shared" si="33"/>
        <v>42.864814577758281</v>
      </c>
      <c r="Q48" s="20">
        <f t="shared" si="53"/>
        <v>368.98882872292899</v>
      </c>
      <c r="R48" s="59">
        <f t="shared" si="0"/>
        <v>625.62037536766297</v>
      </c>
      <c r="S48" s="59">
        <f ca="1">AVERAGE(OFFSET($R$3,0,0,'Données projet'!$E$9+1,1))-AVERAGE(OFFSET($H$3,0,0,'Données projet'!$E$9+1,1))</f>
        <v>299.45724561493057</v>
      </c>
      <c r="T48" s="59">
        <f t="shared" si="34"/>
        <v>297.63369027443196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10.093898355986264</v>
      </c>
      <c r="AA48" s="21">
        <f>EXP(-LN(2)/25)*AA47+(1-EXP(-LN(2)/25))/(LN(2)/25)*Calculateur!V48*Calculateur!X48*VLOOKUP('Données projet'!$B$9,Paramètres!$A$1:$I$89,3,0)*0.475*44/12</f>
        <v>29.124695408097494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39.218593764083757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59.990421812200182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19</v>
      </c>
      <c r="AI48" s="13">
        <f>IF('Données projet'!$A$62&gt;35,AI47+AH48-AQ47,IF(A48&lt;'Données projet'!$A$62,$AF$205^A48,IF(A48='Données projet'!$A$62,'Données projet'!$B$62,AI47+AH48-AQ47)))</f>
        <v>425.00000000000011</v>
      </c>
      <c r="AJ48" s="13">
        <f>AI48*VLOOKUP('Données projet'!$B$10,Paramètres!$A$1:$I$89,3,0)*VLOOKUP('Données projet'!$B$10,Paramètres!$A$1:$I$89,5,0)</f>
        <v>237.57500000000007</v>
      </c>
      <c r="AK48" s="13">
        <f t="shared" si="35"/>
        <v>57.917471937261212</v>
      </c>
      <c r="AL48" s="20">
        <f t="shared" si="4"/>
        <v>514.64938862406336</v>
      </c>
      <c r="AM48" s="59">
        <f t="shared" si="5"/>
        <v>771.28093526879729</v>
      </c>
      <c r="AN48" s="59">
        <f ca="1">AVERAGE(OFFSET($AM$3,0,0,'Données projet'!$E$10+1,1))-AVERAGE(OFFSET($H$3,0,0,'Données projet'!$E$10+1,1))</f>
        <v>363.98181065114898</v>
      </c>
      <c r="AO48" s="59">
        <f t="shared" si="36"/>
        <v>410.85213343666396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17.783178354653529</v>
      </c>
      <c r="AV48" s="21">
        <f>EXP(-LN(2)/25)*AV47+(1-EXP(-LN(2)/25))/(LN(2)/25)*Calculateur!AQ48*Calculateur!AS48*VLOOKUP('Données projet'!$B$10,Paramètres!$A$1:$I$89,3,0)*0.475*44/12</f>
        <v>35.963074283019068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53.746252637672598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59.990421812200182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13.587499999999999</v>
      </c>
      <c r="BD48" s="12">
        <f>IF('Données projet'!$A$88&gt;35,BD47+BC48-BL47,IF(A48&lt;'Données projet'!$A$88,$BA$205^A48,IF(A48='Données projet'!$A$88,'Données projet'!$B$88,BD47+BC48-BL47)))</f>
        <v>229.7625000000001</v>
      </c>
      <c r="BE48" s="13">
        <f>BD48*VLOOKUP('Données projet'!$B$11,Paramètres!$A$1:$I$89,3,0)*VLOOKUP('Données projet'!$B$11,Paramètres!$A$1:$I$89,5,0)</f>
        <v>200.72052000000011</v>
      </c>
      <c r="BF48" s="13">
        <f t="shared" si="37"/>
        <v>49.902483056701961</v>
      </c>
      <c r="BG48" s="20">
        <f t="shared" si="7"/>
        <v>436.50173032375602</v>
      </c>
      <c r="BH48" s="59">
        <f t="shared" si="8"/>
        <v>693.13327696849001</v>
      </c>
      <c r="BI48" s="59">
        <f ca="1">AVERAGE(OFFSET($BH$3,0,0,'Données projet'!$E$11+1,1))-AVERAGE(OFFSET($H$3,0,0,'Données projet'!$E$11+1,1))</f>
        <v>433.6995276469014</v>
      </c>
      <c r="BJ48" s="59">
        <f t="shared" si="38"/>
        <v>306.37969720280557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15.710963181296405</v>
      </c>
      <c r="BQ48" s="21">
        <f>EXP(-LN(2)/25)*BQ47+(1-EXP(-LN(2)/25))/(LN(2)/25)*Calculateur!BL48*Calculateur!BN48*VLOOKUP('Données projet'!$B$11,Paramètres!$A$1:$I$89,3,0)*0.475*44/12</f>
        <v>10.315219334320611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26.026182515617016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59.990421812200182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37</v>
      </c>
      <c r="BW48" s="12">
        <f>VLOOKUP(A48,'Données projet'!$A$113:$I$133,9,0)</f>
        <v>4.125</v>
      </c>
      <c r="BX48" s="12">
        <f t="array" ref="BX48">INDEX(BW:BW,MIN(IF(ISNUMBER(BW48:BW244),ROW(BW48:BW244),"")))</f>
        <v>4.125</v>
      </c>
      <c r="BY48" s="12">
        <f>IF('Données projet'!$A$114&gt;35,BY47+BX48-CG47,IF(A48&lt;'Données projet'!$A$114,$BV$205^A48,IF(A48='Données projet'!$A$114,'Données projet'!$B$114,BY47+BX48-CG47)))</f>
        <v>37</v>
      </c>
      <c r="BZ48" s="13">
        <f>BY48*VLOOKUP('Données projet'!$B$12,Paramètres!$A$1:$I$89,3,0)*VLOOKUP('Données projet'!$B$12,Paramètres!$A$1:$I$89,5,0)</f>
        <v>35.7864</v>
      </c>
      <c r="CA48" s="13">
        <f t="shared" si="39"/>
        <v>10.874700382555321</v>
      </c>
      <c r="CB48" s="20">
        <f t="shared" si="10"/>
        <v>81.26808316628383</v>
      </c>
      <c r="CC48" s="59">
        <f t="shared" si="11"/>
        <v>337.8996298110178</v>
      </c>
      <c r="CD48" s="59">
        <f ca="1">AVERAGE(OFFSET($CC$3,0,0,'Données projet'!$E$12+1,1))-AVERAGE(OFFSET($H$3,0,0,'Données projet'!$E$12+1,1))</f>
        <v>455.95436253828132</v>
      </c>
      <c r="CE48" s="59">
        <f t="shared" si="40"/>
        <v>64.829921296688497</v>
      </c>
      <c r="CF48" s="15">
        <f>IF(ISNA(VLOOKUP(A48,'Données projet'!$A$113:$I$133,3,0)),0,VLOOKUP(A48,'Données projet'!$A$113:$I$133,3,0))</f>
        <v>2</v>
      </c>
      <c r="CG48" s="15">
        <f>IF(ISNA(VLOOKUP(A48,'Données projet'!$A$113:$I$133,4,0)),0,VLOOKUP(A48,'Données projet'!$A$113:$I$133,4,0))</f>
        <v>7</v>
      </c>
      <c r="CH48" s="16">
        <f>IF(ISNA(VLOOKUP(A48,'Données projet'!$A$113:$I$133,5,0)),0%,VLOOKUP(A48,'Données projet'!$A$113:$I$133,5,0)*VLOOKUP('Données projet'!$B$12,Paramètres!$A$1:$I$89,7,0))</f>
        <v>0.129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0.96549748882909536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0.96549748882909536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59.990421812200182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10.375</v>
      </c>
      <c r="CT48" s="12">
        <f>IF('Données projet'!$A$140&gt;35,CT47+CS48-DB47,IF(A48&lt;'Données projet'!$A$140,$CQ$205^A48,IF(A48='Données projet'!$A$140,'Données projet'!$B$140,CT47+CS48-DB47)))</f>
        <v>197.37499999999991</v>
      </c>
      <c r="CU48" s="17">
        <f>CT48*VLOOKUP('Données projet'!$B$13,Paramètres!$A$1:$I$89,3,0)*VLOOKUP('Données projet'!$B$13,Paramètres!$A$1:$I$89,5,0)</f>
        <v>153.95249999999993</v>
      </c>
      <c r="CV48" s="13">
        <f t="shared" si="41"/>
        <v>39.475441267837361</v>
      </c>
      <c r="CW48" s="20">
        <f t="shared" si="13"/>
        <v>336.88699770814992</v>
      </c>
      <c r="CX48" s="59">
        <f t="shared" si="14"/>
        <v>593.51854435288396</v>
      </c>
      <c r="CY48" s="59">
        <f ca="1">AVERAGE(OFFSET($CX$3,0,0,'Données projet'!$E$13+1,1))-AVERAGE(OFFSET($H$3,0,0,'Données projet'!$E$13+1,1))</f>
        <v>306.44760579759713</v>
      </c>
      <c r="CZ48" s="59">
        <f t="shared" si="42"/>
        <v>300.30192123221718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4.6892028680465989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4.6892028680465989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59.990421812200182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59.990421812200182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59.990421812200182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59.990421812200182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59.990421812200182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4.4000000000000004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16.133333333333336</v>
      </c>
      <c r="H49" s="67">
        <f t="shared" si="1"/>
        <v>192.13333333333333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60.164065615694156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292.3</v>
      </c>
      <c r="L49" s="12">
        <f>VLOOKUP(A49,'Données projet'!$A$35:$I$55,9,0)</f>
        <v>9.7000000000000082</v>
      </c>
      <c r="M49" s="12">
        <f t="array" ref="M49">INDEX(L:L,MIN(IF(ISNUMBER(L49:L245),ROW(L49:L245),"")))</f>
        <v>9.7000000000000082</v>
      </c>
      <c r="N49" s="13">
        <f>IF('Données projet'!$A$36&gt;35,N48+M49-V48,IF(A49&lt;'Données projet'!$A$36,$K$205^A49,IF(A49='Données projet'!$A$36,'Données projet'!$B$36,N48+M49-V48)))</f>
        <v>292.3</v>
      </c>
      <c r="O49" s="13">
        <f>N49*VLOOKUP('Données projet'!$B$9,Paramètres!$A$1:$I$89,3,0)*VLOOKUP('Données projet'!$B$9,Paramètres!$A$1:$I$89,5,0)</f>
        <v>174.7954</v>
      </c>
      <c r="P49" s="13">
        <f t="shared" si="33"/>
        <v>44.162288677628418</v>
      </c>
      <c r="Q49" s="20">
        <f t="shared" si="53"/>
        <v>381.35130778020283</v>
      </c>
      <c r="R49" s="59">
        <f t="shared" si="0"/>
        <v>638.61954837108146</v>
      </c>
      <c r="S49" s="59">
        <f ca="1">AVERAGE(OFFSET($R$3,0,0,'Données projet'!$E$9+1,1))-AVERAGE(OFFSET($H$3,0,0,'Données projet'!$E$9+1,1))</f>
        <v>299.45724561493057</v>
      </c>
      <c r="T49" s="59">
        <f t="shared" si="34"/>
        <v>297.63369027443196</v>
      </c>
      <c r="U49" s="15">
        <f>IF(ISNA(VLOOKUP(A49,'Données projet'!$A$35:$I$55,3,0)),0,VLOOKUP(A49,'Données projet'!$A$35:$I$55,3,0))</f>
        <v>7</v>
      </c>
      <c r="V49" s="15">
        <f>IF(ISNA(VLOOKUP(A49,'Données projet'!$A$35:$I$55,4,0)),0,VLOOKUP(A49,'Données projet'!$A$35:$I$55,4,0))</f>
        <v>28.7</v>
      </c>
      <c r="W49" s="16">
        <f>IF(ISNA(VLOOKUP(A49,'Données projet'!$A$35:$I$55,5,0)),0%,VLOOKUP(A49,'Données projet'!$A$35:$I$55,5,0)*VLOOKUP('Données projet'!$B$9,Paramètres!$A$1:$I$89,7,0))</f>
        <v>0.13500000000000001</v>
      </c>
      <c r="X49" s="16">
        <f>IF(ISNA(VLOOKUP(A49,'Données projet'!$A$35:$I$55,6,0)),0%,VLOOKUP(A49,'Données projet'!$A$35:$I$55,6,0)*VLOOKUP('Données projet'!$B$9,Paramètres!$A$1:$I$89,7,0))</f>
        <v>0.22500000000000001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12.969548007490548</v>
      </c>
      <c r="AA49" s="21">
        <f>EXP(-LN(2)/25)*AA48+(1-EXP(-LN(2)/25))/(LN(2)/25)*Calculateur!V49*Calculateur!X49*VLOOKUP('Données projet'!$B$9,Paramètres!$A$1:$I$89,3,0)*0.475*44/12</f>
        <v>33.43075069213873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46.400298699629275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60.164065615694156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444</v>
      </c>
      <c r="AG49" s="12">
        <f>VLOOKUP(A49,'Données projet'!$A$61:$I$81,9,0)</f>
        <v>19</v>
      </c>
      <c r="AH49" s="12">
        <f t="array" ref="AH49">INDEX(AG:AG,MIN(IF(ISNUMBER(AG49:AG245),ROW(AG49:AG245),"")))</f>
        <v>19</v>
      </c>
      <c r="AI49" s="13">
        <f>IF('Données projet'!$A$62&gt;35,AI48+AH49-AQ48,IF(A49&lt;'Données projet'!$A$62,$AF$205^A49,IF(A49='Données projet'!$A$62,'Données projet'!$B$62,AI48+AH49-AQ48)))</f>
        <v>444.00000000000011</v>
      </c>
      <c r="AJ49" s="13">
        <f>AI49*VLOOKUP('Données projet'!$B$10,Paramètres!$A$1:$I$89,3,0)*VLOOKUP('Données projet'!$B$10,Paramètres!$A$1:$I$89,5,0)</f>
        <v>248.19600000000005</v>
      </c>
      <c r="AK49" s="13">
        <f t="shared" si="35"/>
        <v>60.199478731755242</v>
      </c>
      <c r="AL49" s="20">
        <f t="shared" si="4"/>
        <v>537.1221254578071</v>
      </c>
      <c r="AM49" s="59">
        <f t="shared" si="5"/>
        <v>794.39036604868568</v>
      </c>
      <c r="AN49" s="59">
        <f ca="1">AVERAGE(OFFSET($AM$3,0,0,'Données projet'!$E$10+1,1))-AVERAGE(OFFSET($H$3,0,0,'Données projet'!$E$10+1,1))</f>
        <v>363.98181065114898</v>
      </c>
      <c r="AO49" s="59">
        <f t="shared" si="36"/>
        <v>410.85213343666396</v>
      </c>
      <c r="AP49" s="15">
        <f>IF(ISNA(VLOOKUP(A49,'Données projet'!$A$61:$I$81,3,0)),0,VLOOKUP(A49,'Données projet'!$A$61:$I$81,3,0))</f>
        <v>4</v>
      </c>
      <c r="AQ49" s="15">
        <f>IF(ISNA(VLOOKUP(A49,'Données projet'!$A$61:$I$81,4,0)),0,VLOOKUP(A49,'Données projet'!$A$61:$I$81,4,0))</f>
        <v>86</v>
      </c>
      <c r="AR49" s="16">
        <f>IF(ISNA(VLOOKUP(A49,'Données projet'!$A$61:$I$81,5,0)),0%,VLOOKUP(A49,'Données projet'!$A$61:$I$81,5,0)*VLOOKUP('Données projet'!$B$10,Paramètres!$A$1:$I$89,7,0))</f>
        <v>0.16500000000000001</v>
      </c>
      <c r="AS49" s="16">
        <f>IF(ISNA(VLOOKUP(A49,'Données projet'!$A$61:$I$81,6,0)),0%,VLOOKUP(A49,'Données projet'!$A$61:$I$81,6,0)*VLOOKUP('Données projet'!$B$10,Paramètres!$A$1:$I$89,7,0))</f>
        <v>0.27500000000000002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27.957048912868625</v>
      </c>
      <c r="AV49" s="21">
        <f>EXP(-LN(2)/25)*AV48+(1-EXP(-LN(2)/25))/(LN(2)/25)*Calculateur!AQ49*Calculateur!AS49*VLOOKUP('Données projet'!$B$10,Paramètres!$A$1:$I$89,3,0)*0.475*44/12</f>
        <v>52.4482561277662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80.405305040634829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60.164065615694156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13.587499999999999</v>
      </c>
      <c r="BD49" s="12">
        <f>IF('Données projet'!$A$88&gt;35,BD48+BC49-BL48,IF(A49&lt;'Données projet'!$A$88,$BA$205^A49,IF(A49='Données projet'!$A$88,'Données projet'!$B$88,BD48+BC49-BL48)))</f>
        <v>243.35000000000011</v>
      </c>
      <c r="BE49" s="13">
        <f>BD49*VLOOKUP('Données projet'!$B$11,Paramètres!$A$1:$I$89,3,0)*VLOOKUP('Données projet'!$B$11,Paramètres!$A$1:$I$89,5,0)</f>
        <v>212.59056000000012</v>
      </c>
      <c r="BF49" s="13">
        <f t="shared" si="37"/>
        <v>52.501283653296447</v>
      </c>
      <c r="BG49" s="20">
        <f t="shared" si="7"/>
        <v>461.70162769615814</v>
      </c>
      <c r="BH49" s="59">
        <f t="shared" si="8"/>
        <v>718.96986828703666</v>
      </c>
      <c r="BI49" s="59">
        <f ca="1">AVERAGE(OFFSET($BH$3,0,0,'Données projet'!$E$11+1,1))-AVERAGE(OFFSET($H$3,0,0,'Données projet'!$E$11+1,1))</f>
        <v>433.6995276469014</v>
      </c>
      <c r="BJ49" s="59">
        <f t="shared" si="38"/>
        <v>306.37969720280557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15.402880776052505</v>
      </c>
      <c r="BQ49" s="21">
        <f>EXP(-LN(2)/25)*BQ48+(1-EXP(-LN(2)/25))/(LN(2)/25)*Calculateur!BL49*Calculateur!BN49*VLOOKUP('Données projet'!$B$11,Paramètres!$A$1:$I$89,3,0)*0.475*44/12</f>
        <v>10.033149119169805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25.436029895222312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60.164065615694156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9.375</v>
      </c>
      <c r="BY49" s="12">
        <f>IF('Données projet'!$A$114&gt;35,BY48+BX49-CG48,IF(A49&lt;'Données projet'!$A$114,$BV$205^A49,IF(A49='Données projet'!$A$114,'Données projet'!$B$114,BY48+BX49-CG48)))</f>
        <v>39.375</v>
      </c>
      <c r="BZ49" s="13">
        <f>BY49*VLOOKUP('Données projet'!$B$12,Paramètres!$A$1:$I$89,3,0)*VLOOKUP('Données projet'!$B$12,Paramètres!$A$1:$I$89,5,0)</f>
        <v>38.083500000000001</v>
      </c>
      <c r="CA49" s="13">
        <f t="shared" si="39"/>
        <v>11.489235980970776</v>
      </c>
      <c r="CB49" s="20">
        <f t="shared" si="10"/>
        <v>86.339181833524094</v>
      </c>
      <c r="CC49" s="59">
        <f t="shared" si="11"/>
        <v>343.60742242440267</v>
      </c>
      <c r="CD49" s="59">
        <f ca="1">AVERAGE(OFFSET($CC$3,0,0,'Données projet'!$E$12+1,1))-AVERAGE(OFFSET($H$3,0,0,'Données projet'!$E$12+1,1))</f>
        <v>455.95436253828132</v>
      </c>
      <c r="CE49" s="59">
        <f t="shared" si="40"/>
        <v>64.829921296688497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0.94656467196847638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0.94656467196847638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60.164065615694156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10.375</v>
      </c>
      <c r="CT49" s="12">
        <f>IF('Données projet'!$A$140&gt;35,CT48+CS49-DB48,IF(A49&lt;'Données projet'!$A$140,$CQ$205^A49,IF(A49='Données projet'!$A$140,'Données projet'!$B$140,CT48+CS49-DB48)))</f>
        <v>207.74999999999991</v>
      </c>
      <c r="CU49" s="17">
        <f>CT49*VLOOKUP('Données projet'!$B$13,Paramètres!$A$1:$I$89,3,0)*VLOOKUP('Données projet'!$B$13,Paramètres!$A$1:$I$89,5,0)</f>
        <v>162.04499999999993</v>
      </c>
      <c r="CV49" s="13">
        <f t="shared" si="41"/>
        <v>41.303429372463391</v>
      </c>
      <c r="CW49" s="20">
        <f t="shared" si="13"/>
        <v>354.16518115704025</v>
      </c>
      <c r="CX49" s="59">
        <f t="shared" si="14"/>
        <v>611.43342174791883</v>
      </c>
      <c r="CY49" s="59">
        <f ca="1">AVERAGE(OFFSET($CX$3,0,0,'Données projet'!$E$13+1,1))-AVERAGE(OFFSET($H$3,0,0,'Données projet'!$E$13+1,1))</f>
        <v>306.44760579759713</v>
      </c>
      <c r="CZ49" s="59">
        <f t="shared" si="42"/>
        <v>300.30192123221718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4.5972504599355402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4.5972504599355402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60.164065615694156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60.164065615694156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60.164065615694156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60.164065615694156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60.164065615694156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4.4000000000000004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16.133333333333336</v>
      </c>
      <c r="H50" s="67">
        <f t="shared" si="1"/>
        <v>192.13333333333333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60.334697087406902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5.9375</v>
      </c>
      <c r="N50" s="13">
        <f>IF('Données projet'!$A$36&gt;35,N49+M50-V49,IF(A50&lt;'Données projet'!$A$36,$K$205^A50,IF(A50='Données projet'!$A$36,'Données projet'!$B$36,N49+M50-V49)))</f>
        <v>269.53750000000002</v>
      </c>
      <c r="O50" s="13">
        <f>N50*VLOOKUP('Données projet'!$B$9,Paramètres!$A$1:$I$89,3,0)*VLOOKUP('Données projet'!$B$9,Paramètres!$A$1:$I$89,5,0)</f>
        <v>161.18342500000003</v>
      </c>
      <c r="P50" s="13">
        <f t="shared" si="33"/>
        <v>41.109325630464198</v>
      </c>
      <c r="Q50" s="20">
        <f t="shared" si="53"/>
        <v>352.32654068139186</v>
      </c>
      <c r="R50" s="59">
        <f t="shared" si="0"/>
        <v>610.22043000188387</v>
      </c>
      <c r="S50" s="59">
        <f ca="1">AVERAGE(OFFSET($R$3,0,0,'Données projet'!$E$9+1,1))-AVERAGE(OFFSET($H$3,0,0,'Données projet'!$E$9+1,1))</f>
        <v>299.45724561493057</v>
      </c>
      <c r="T50" s="59">
        <f t="shared" si="34"/>
        <v>297.63369027443196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12.715223081706831</v>
      </c>
      <c r="AA50" s="21">
        <f>EXP(-LN(2)/25)*AA49+(1-EXP(-LN(2)/25))/(LN(2)/25)*Calculateur!V50*Calculateur!X50*VLOOKUP('Données projet'!$B$9,Paramètres!$A$1:$I$89,3,0)*0.475*44/12</f>
        <v>32.516585056415423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45.231808138122254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60.334697087406902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17.714285714285715</v>
      </c>
      <c r="AI50" s="13">
        <f>IF('Données projet'!$A$62&gt;35,AI49+AH50-AQ49,IF(A50&lt;'Données projet'!$A$62,$AF$205^A50,IF(A50='Données projet'!$A$62,'Données projet'!$B$62,AI49+AH50-AQ49)))</f>
        <v>375.71428571428584</v>
      </c>
      <c r="AJ50" s="13">
        <f>AI50*VLOOKUP('Données projet'!$B$10,Paramètres!$A$1:$I$89,3,0)*VLOOKUP('Données projet'!$B$10,Paramètres!$A$1:$I$89,5,0)</f>
        <v>210.02428571428578</v>
      </c>
      <c r="AK50" s="13">
        <f t="shared" si="35"/>
        <v>51.940892702173983</v>
      </c>
      <c r="AL50" s="20">
        <f t="shared" si="4"/>
        <v>456.25601907533405</v>
      </c>
      <c r="AM50" s="59">
        <f t="shared" si="5"/>
        <v>714.14990839582606</v>
      </c>
      <c r="AN50" s="59">
        <f ca="1">AVERAGE(OFFSET($AM$3,0,0,'Données projet'!$E$10+1,1))-AVERAGE(OFFSET($H$3,0,0,'Données projet'!$E$10+1,1))</f>
        <v>363.98181065114898</v>
      </c>
      <c r="AO50" s="59">
        <f t="shared" si="36"/>
        <v>410.85213343666396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27.408828235803352</v>
      </c>
      <c r="AV50" s="21">
        <f>EXP(-LN(2)/25)*AV49+(1-EXP(-LN(2)/25))/(LN(2)/25)*Calculateur!AQ50*Calculateur!AS50*VLOOKUP('Données projet'!$B$10,Paramètres!$A$1:$I$89,3,0)*0.475*44/12</f>
        <v>51.014055805818515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78.42288404162187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60.334697087406902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13.587499999999999</v>
      </c>
      <c r="BD50" s="12">
        <f>IF('Données projet'!$A$88&gt;35,BD49+BC50-BL49,IF(A50&lt;'Données projet'!$A$88,$BA$205^A50,IF(A50='Données projet'!$A$88,'Données projet'!$B$88,BD49+BC50-BL49)))</f>
        <v>256.93750000000011</v>
      </c>
      <c r="BE50" s="13">
        <f>BD50*VLOOKUP('Données projet'!$B$11,Paramètres!$A$1:$I$89,3,0)*VLOOKUP('Données projet'!$B$11,Paramètres!$A$1:$I$89,5,0)</f>
        <v>224.46060000000011</v>
      </c>
      <c r="BF50" s="13">
        <f t="shared" si="37"/>
        <v>55.083239604126604</v>
      </c>
      <c r="BG50" s="20">
        <f t="shared" si="7"/>
        <v>486.87218731052076</v>
      </c>
      <c r="BH50" s="59">
        <f t="shared" si="8"/>
        <v>744.76607663101277</v>
      </c>
      <c r="BI50" s="59">
        <f ca="1">AVERAGE(OFFSET($BH$3,0,0,'Données projet'!$E$11+1,1))-AVERAGE(OFFSET($H$3,0,0,'Données projet'!$E$11+1,1))</f>
        <v>433.6995276469014</v>
      </c>
      <c r="BJ50" s="59">
        <f t="shared" si="38"/>
        <v>306.37969720280557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15.100839678863727</v>
      </c>
      <c r="BQ50" s="21">
        <f>EXP(-LN(2)/25)*BQ49+(1-EXP(-LN(2)/25))/(LN(2)/25)*Calculateur!BL50*Calculateur!BN50*VLOOKUP('Données projet'!$B$11,Paramètres!$A$1:$I$89,3,0)*0.475*44/12</f>
        <v>9.7587921288857249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24.859631807749452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60.334697087406902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9.375</v>
      </c>
      <c r="BY50" s="12">
        <f>IF('Données projet'!$A$114&gt;35,BY49+BX50-CG49,IF(A50&lt;'Données projet'!$A$114,$BV$205^A50,IF(A50='Données projet'!$A$114,'Données projet'!$B$114,BY49+BX50-CG49)))</f>
        <v>48.75</v>
      </c>
      <c r="BZ50" s="13">
        <f>BY50*VLOOKUP('Données projet'!$B$12,Paramètres!$A$1:$I$89,3,0)*VLOOKUP('Données projet'!$B$12,Paramètres!$A$1:$I$89,5,0)</f>
        <v>47.151000000000003</v>
      </c>
      <c r="CA50" s="13">
        <f t="shared" si="39"/>
        <v>13.875499658600519</v>
      </c>
      <c r="CB50" s="20">
        <f t="shared" si="10"/>
        <v>106.28782023872924</v>
      </c>
      <c r="CC50" s="59">
        <f t="shared" si="11"/>
        <v>364.18170955922125</v>
      </c>
      <c r="CD50" s="59">
        <f ca="1">AVERAGE(OFFSET($CC$3,0,0,'Données projet'!$E$12+1,1))-AVERAGE(OFFSET($H$3,0,0,'Données projet'!$E$12+1,1))</f>
        <v>455.95436253828132</v>
      </c>
      <c r="CE50" s="59">
        <f t="shared" si="40"/>
        <v>64.829921296688497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0.92800311609861619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0.92800311609861619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60.334697087406902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10.375</v>
      </c>
      <c r="CT50" s="12">
        <f>IF('Données projet'!$A$140&gt;35,CT49+CS50-DB49,IF(A50&lt;'Données projet'!$A$140,$CQ$205^A50,IF(A50='Données projet'!$A$140,'Données projet'!$B$140,CT49+CS50-DB49)))</f>
        <v>218.12499999999991</v>
      </c>
      <c r="CU50" s="17">
        <f>CT50*VLOOKUP('Données projet'!$B$13,Paramètres!$A$1:$I$89,3,0)*VLOOKUP('Données projet'!$B$13,Paramètres!$A$1:$I$89,5,0)</f>
        <v>170.13749999999993</v>
      </c>
      <c r="CV50" s="13">
        <f t="shared" si="41"/>
        <v>43.120817562072375</v>
      </c>
      <c r="CW50" s="20">
        <f t="shared" si="13"/>
        <v>371.42490308727588</v>
      </c>
      <c r="CX50" s="59">
        <f t="shared" si="14"/>
        <v>629.31879240776789</v>
      </c>
      <c r="CY50" s="59">
        <f ca="1">AVERAGE(OFFSET($CX$3,0,0,'Données projet'!$E$13+1,1))-AVERAGE(OFFSET($H$3,0,0,'Données projet'!$E$13+1,1))</f>
        <v>306.44760579759713</v>
      </c>
      <c r="CZ50" s="59">
        <f t="shared" si="42"/>
        <v>300.30192123221718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4.5071011824621081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4.5071011824621081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60.334697087406902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60.334697087406902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60.334697087406902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60.334697087406902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60.334697087406902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4.4000000000000004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16.133333333333336</v>
      </c>
      <c r="H51" s="67">
        <f t="shared" si="1"/>
        <v>192.13333333333333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60.50236848456025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5.9375</v>
      </c>
      <c r="N51" s="13">
        <f>IF('Données projet'!$A$36&gt;35,N50+M51-V50,IF(A51&lt;'Données projet'!$A$36,$K$205^A51,IF(A51='Données projet'!$A$36,'Données projet'!$B$36,N50+M51-V50)))</f>
        <v>275.47500000000002</v>
      </c>
      <c r="O51" s="13">
        <f>N51*VLOOKUP('Données projet'!$B$9,Paramètres!$A$1:$I$89,3,0)*VLOOKUP('Données projet'!$B$9,Paramètres!$A$1:$I$89,5,0)</f>
        <v>164.73405000000002</v>
      </c>
      <c r="P51" s="13">
        <f t="shared" si="33"/>
        <v>41.908474807328531</v>
      </c>
      <c r="Q51" s="20">
        <f t="shared" si="53"/>
        <v>359.90239737276391</v>
      </c>
      <c r="R51" s="59">
        <f t="shared" si="0"/>
        <v>618.41108181615152</v>
      </c>
      <c r="S51" s="59">
        <f ca="1">AVERAGE(OFFSET($R$3,0,0,'Données projet'!$E$9+1,1))-AVERAGE(OFFSET($H$3,0,0,'Données projet'!$E$9+1,1))</f>
        <v>299.45724561493057</v>
      </c>
      <c r="T51" s="59">
        <f t="shared" si="34"/>
        <v>297.63369027443196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12.465885312594846</v>
      </c>
      <c r="AA51" s="21">
        <f>EXP(-LN(2)/25)*AA50+(1-EXP(-LN(2)/25))/(LN(2)/25)*Calculateur!V51*Calculateur!X51*VLOOKUP('Données projet'!$B$9,Paramètres!$A$1:$I$89,3,0)*0.475*44/12</f>
        <v>31.627417328074852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44.093302640669698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60.50236848456025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17.714285714285715</v>
      </c>
      <c r="AI51" s="13">
        <f>IF('Données projet'!$A$62&gt;35,AI50+AH51-AQ50,IF(A51&lt;'Données projet'!$A$62,$AF$205^A51,IF(A51='Données projet'!$A$62,'Données projet'!$B$62,AI50+AH51-AQ50)))</f>
        <v>393.42857142857156</v>
      </c>
      <c r="AJ51" s="13">
        <f>AI51*VLOOKUP('Données projet'!$B$10,Paramètres!$A$1:$I$89,3,0)*VLOOKUP('Données projet'!$B$10,Paramètres!$A$1:$I$89,5,0)</f>
        <v>219.92657142857149</v>
      </c>
      <c r="AK51" s="13">
        <f t="shared" si="35"/>
        <v>54.098926073340607</v>
      </c>
      <c r="AL51" s="20">
        <f t="shared" si="4"/>
        <v>477.26107481583023</v>
      </c>
      <c r="AM51" s="59">
        <f t="shared" si="5"/>
        <v>735.76975925921784</v>
      </c>
      <c r="AN51" s="59">
        <f ca="1">AVERAGE(OFFSET($AM$3,0,0,'Données projet'!$E$10+1,1))-AVERAGE(OFFSET($H$3,0,0,'Données projet'!$E$10+1,1))</f>
        <v>363.98181065114898</v>
      </c>
      <c r="AO51" s="59">
        <f t="shared" si="36"/>
        <v>410.85213343666396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26.871357831833734</v>
      </c>
      <c r="AV51" s="21">
        <f>EXP(-LN(2)/25)*AV50+(1-EXP(-LN(2)/25))/(LN(2)/25)*Calculateur!AQ51*Calculateur!AS51*VLOOKUP('Données projet'!$B$10,Paramètres!$A$1:$I$89,3,0)*0.475*44/12</f>
        <v>49.619073767095806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76.490431598929547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60.50236848456025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13.587499999999999</v>
      </c>
      <c r="BD51" s="12">
        <f>IF('Données projet'!$A$88&gt;35,BD50+BC51-BL50,IF(A51&lt;'Données projet'!$A$88,$BA$205^A51,IF(A51='Données projet'!$A$88,'Données projet'!$B$88,BD50+BC51-BL50)))</f>
        <v>270.52500000000009</v>
      </c>
      <c r="BE51" s="13">
        <f>BD51*VLOOKUP('Données projet'!$B$11,Paramètres!$A$1:$I$89,3,0)*VLOOKUP('Données projet'!$B$11,Paramètres!$A$1:$I$89,5,0)</f>
        <v>236.3306400000001</v>
      </c>
      <c r="BF51" s="13">
        <f t="shared" si="37"/>
        <v>57.649343278258847</v>
      </c>
      <c r="BG51" s="20">
        <f t="shared" si="7"/>
        <v>512.01513754296764</v>
      </c>
      <c r="BH51" s="59">
        <f t="shared" si="8"/>
        <v>770.52382198635519</v>
      </c>
      <c r="BI51" s="59">
        <f ca="1">AVERAGE(OFFSET($BH$3,0,0,'Données projet'!$E$11+1,1))-AVERAGE(OFFSET($H$3,0,0,'Données projet'!$E$11+1,1))</f>
        <v>433.6995276469014</v>
      </c>
      <c r="BJ51" s="59">
        <f t="shared" si="38"/>
        <v>306.37969720280557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14.804721423363942</v>
      </c>
      <c r="BQ51" s="21">
        <f>EXP(-LN(2)/25)*BQ50+(1-EXP(-LN(2)/25))/(LN(2)/25)*Calculateur!BL51*Calculateur!BN51*VLOOKUP('Données projet'!$B$11,Paramètres!$A$1:$I$89,3,0)*0.475*44/12</f>
        <v>9.4919374449287712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24.296658868292713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60.50236848456025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9.375</v>
      </c>
      <c r="BY51" s="12">
        <f>IF('Données projet'!$A$114&gt;35,BY50+BX51-CG50,IF(A51&lt;'Données projet'!$A$114,$BV$205^A51,IF(A51='Données projet'!$A$114,'Données projet'!$B$114,BY50+BX51-CG50)))</f>
        <v>58.125</v>
      </c>
      <c r="BZ51" s="13">
        <f>BY51*VLOOKUP('Données projet'!$B$12,Paramètres!$A$1:$I$89,3,0)*VLOOKUP('Données projet'!$B$12,Paramètres!$A$1:$I$89,5,0)</f>
        <v>56.218500000000006</v>
      </c>
      <c r="CA51" s="13">
        <f t="shared" si="39"/>
        <v>16.208595100542027</v>
      </c>
      <c r="CB51" s="20">
        <f t="shared" si="10"/>
        <v>126.14385730011071</v>
      </c>
      <c r="CC51" s="59">
        <f t="shared" si="11"/>
        <v>384.65254174349832</v>
      </c>
      <c r="CD51" s="59">
        <f ca="1">AVERAGE(OFFSET($CC$3,0,0,'Données projet'!$E$12+1,1))-AVERAGE(OFFSET($H$3,0,0,'Données projet'!$E$12+1,1))</f>
        <v>455.95436253828132</v>
      </c>
      <c r="CE51" s="59">
        <f t="shared" si="40"/>
        <v>64.829921296688497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0.90980554101793276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0.90980554101793276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60.50236848456025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10.375</v>
      </c>
      <c r="CT51" s="12">
        <f>IF('Données projet'!$A$140&gt;35,CT50+CS51-DB50,IF(A51&lt;'Données projet'!$A$140,$CQ$205^A51,IF(A51='Données projet'!$A$140,'Données projet'!$B$140,CT50+CS51-DB50)))</f>
        <v>228.49999999999991</v>
      </c>
      <c r="CU51" s="17">
        <f>CT51*VLOOKUP('Données projet'!$B$13,Paramètres!$A$1:$I$89,3,0)*VLOOKUP('Données projet'!$B$13,Paramètres!$A$1:$I$89,5,0)</f>
        <v>178.22999999999993</v>
      </c>
      <c r="CV51" s="13">
        <f t="shared" si="41"/>
        <v>44.928167580487852</v>
      </c>
      <c r="CW51" s="20">
        <f t="shared" si="13"/>
        <v>388.66714186934951</v>
      </c>
      <c r="CX51" s="59">
        <f t="shared" si="14"/>
        <v>647.17582631273717</v>
      </c>
      <c r="CY51" s="59">
        <f ca="1">AVERAGE(OFFSET($CX$3,0,0,'Données projet'!$E$13+1,1))-AVERAGE(OFFSET($H$3,0,0,'Données projet'!$E$13+1,1))</f>
        <v>306.44760579759713</v>
      </c>
      <c r="CZ51" s="59">
        <f t="shared" si="42"/>
        <v>300.30192123221718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4.4187196773343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4.4187196773343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60.50236848456025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60.50236848456025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60.50236848456025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60.50236848456025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60.50236848456025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4.4000000000000004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16.133333333333336</v>
      </c>
      <c r="H52" s="67">
        <f t="shared" si="1"/>
        <v>192.13333333333333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60.66713115783007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5.9375</v>
      </c>
      <c r="N52" s="13">
        <f>IF('Données projet'!$A$36&gt;35,N51+M52-V51,IF(A52&lt;'Données projet'!$A$36,$K$205^A52,IF(A52='Données projet'!$A$36,'Données projet'!$B$36,N51+M52-V51)))</f>
        <v>281.41250000000002</v>
      </c>
      <c r="O52" s="13">
        <f>N52*VLOOKUP('Données projet'!$B$9,Paramètres!$A$1:$I$89,3,0)*VLOOKUP('Données projet'!$B$9,Paramètres!$A$1:$I$89,5,0)</f>
        <v>168.28467500000005</v>
      </c>
      <c r="P52" s="13">
        <f t="shared" si="33"/>
        <v>42.705621389153698</v>
      </c>
      <c r="Q52" s="20">
        <f t="shared" si="53"/>
        <v>367.4747662111094</v>
      </c>
      <c r="R52" s="59">
        <f t="shared" si="0"/>
        <v>626.58758045648631</v>
      </c>
      <c r="S52" s="59">
        <f ca="1">AVERAGE(OFFSET($R$3,0,0,'Données projet'!$E$9+1,1))-AVERAGE(OFFSET($H$3,0,0,'Données projet'!$E$9+1,1))</f>
        <v>299.45724561493057</v>
      </c>
      <c r="T52" s="59">
        <f t="shared" si="34"/>
        <v>297.63369027443196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12.221436905054125</v>
      </c>
      <c r="AA52" s="21">
        <f>EXP(-LN(2)/25)*AA51+(1-EXP(-LN(2)/25))/(LN(2)/25)*Calculateur!V52*Calculateur!X52*VLOOKUP('Données projet'!$B$9,Paramètres!$A$1:$I$89,3,0)*0.475*44/12</f>
        <v>30.762563938025053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42.98400084307918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60.66713115783007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17.714285714285715</v>
      </c>
      <c r="AI52" s="13">
        <f>IF('Données projet'!$A$62&gt;35,AI51+AH52-AQ51,IF(A52&lt;'Données projet'!$A$62,$AF$205^A52,IF(A52='Données projet'!$A$62,'Données projet'!$B$62,AI51+AH52-AQ51)))</f>
        <v>411.14285714285728</v>
      </c>
      <c r="AJ52" s="13">
        <f>AI52*VLOOKUP('Données projet'!$B$10,Paramètres!$A$1:$I$89,3,0)*VLOOKUP('Données projet'!$B$10,Paramètres!$A$1:$I$89,5,0)</f>
        <v>229.82885714285723</v>
      </c>
      <c r="AK52" s="13">
        <f t="shared" si="35"/>
        <v>56.245674841098193</v>
      </c>
      <c r="AL52" s="20">
        <f t="shared" si="4"/>
        <v>498.24647653872233</v>
      </c>
      <c r="AM52" s="59">
        <f t="shared" si="5"/>
        <v>757.35929078409924</v>
      </c>
      <c r="AN52" s="59">
        <f ca="1">AVERAGE(OFFSET($AM$3,0,0,'Données projet'!$E$10+1,1))-AVERAGE(OFFSET($H$3,0,0,'Données projet'!$E$10+1,1))</f>
        <v>363.98181065114898</v>
      </c>
      <c r="AO52" s="59">
        <f t="shared" si="36"/>
        <v>410.85213343666396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26.344426894661382</v>
      </c>
      <c r="AV52" s="21">
        <f>EXP(-LN(2)/25)*AV51+(1-EXP(-LN(2)/25))/(LN(2)/25)*Calculateur!AQ52*Calculateur!AS52*VLOOKUP('Données projet'!$B$10,Paramètres!$A$1:$I$89,3,0)*0.475*44/12</f>
        <v>48.262237585580884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74.606664480242273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60.66713115783007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13.587499999999999</v>
      </c>
      <c r="BD52" s="12">
        <f>IF('Données projet'!$A$88&gt;35,BD51+BC52-BL51,IF(A52&lt;'Données projet'!$A$88,$BA$205^A52,IF(A52='Données projet'!$A$88,'Données projet'!$B$88,BD51+BC52-BL51)))</f>
        <v>284.11250000000007</v>
      </c>
      <c r="BE52" s="13">
        <f>BD52*VLOOKUP('Données projet'!$B$11,Paramètres!$A$1:$I$89,3,0)*VLOOKUP('Données projet'!$B$11,Paramètres!$A$1:$I$89,5,0)</f>
        <v>248.20068000000012</v>
      </c>
      <c r="BF52" s="13">
        <f t="shared" si="37"/>
        <v>60.200481727374978</v>
      </c>
      <c r="BG52" s="20">
        <f t="shared" si="7"/>
        <v>537.13202334184496</v>
      </c>
      <c r="BH52" s="59">
        <f t="shared" si="8"/>
        <v>796.24483758722181</v>
      </c>
      <c r="BI52" s="59">
        <f ca="1">AVERAGE(OFFSET($BH$3,0,0,'Données projet'!$E$11+1,1))-AVERAGE(OFFSET($H$3,0,0,'Données projet'!$E$11+1,1))</f>
        <v>433.6995276469014</v>
      </c>
      <c r="BJ52" s="59">
        <f t="shared" si="38"/>
        <v>306.37969720280557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14.514409866240205</v>
      </c>
      <c r="BQ52" s="21">
        <f>EXP(-LN(2)/25)*BQ51+(1-EXP(-LN(2)/25))/(LN(2)/25)*Calculateur!BL52*Calculateur!BN52*VLOOKUP('Données projet'!$B$11,Paramètres!$A$1:$I$89,3,0)*0.475*44/12</f>
        <v>9.2323799163378979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23.746789782578105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60.66713115783007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9.375</v>
      </c>
      <c r="BY52" s="12">
        <f>IF('Données projet'!$A$114&gt;35,BY51+BX52-CG51,IF(A52&lt;'Données projet'!$A$114,$BV$205^A52,IF(A52='Données projet'!$A$114,'Données projet'!$B$114,BY51+BX52-CG51)))</f>
        <v>67.5</v>
      </c>
      <c r="BZ52" s="13">
        <f>BY52*VLOOKUP('Données projet'!$B$12,Paramètres!$A$1:$I$89,3,0)*VLOOKUP('Données projet'!$B$12,Paramètres!$A$1:$I$89,5,0)</f>
        <v>65.286000000000001</v>
      </c>
      <c r="CA52" s="13">
        <f t="shared" si="39"/>
        <v>18.498097767862429</v>
      </c>
      <c r="CB52" s="20">
        <f t="shared" si="10"/>
        <v>145.92397027902709</v>
      </c>
      <c r="CC52" s="59">
        <f t="shared" si="11"/>
        <v>405.03678452440397</v>
      </c>
      <c r="CD52" s="59">
        <f ca="1">AVERAGE(OFFSET($CC$3,0,0,'Données projet'!$E$12+1,1))-AVERAGE(OFFSET($H$3,0,0,'Données projet'!$E$12+1,1))</f>
        <v>455.95436253828132</v>
      </c>
      <c r="CE52" s="59">
        <f t="shared" si="40"/>
        <v>64.829921296688497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0.89196480928515665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0.89196480928515665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60.66713115783007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10.375</v>
      </c>
      <c r="CT52" s="12">
        <f>IF('Données projet'!$A$140&gt;35,CT51+CS52-DB51,IF(A52&lt;'Données projet'!$A$140,$CQ$205^A52,IF(A52='Données projet'!$A$140,'Données projet'!$B$140,CT51+CS52-DB51)))</f>
        <v>238.87499999999991</v>
      </c>
      <c r="CU52" s="17">
        <f>CT52*VLOOKUP('Données projet'!$B$13,Paramètres!$A$1:$I$89,3,0)*VLOOKUP('Données projet'!$B$13,Paramètres!$A$1:$I$89,5,0)</f>
        <v>186.32249999999993</v>
      </c>
      <c r="CV52" s="13">
        <f t="shared" si="41"/>
        <v>46.725987276254116</v>
      </c>
      <c r="CW52" s="20">
        <f t="shared" si="13"/>
        <v>405.8927820061424</v>
      </c>
      <c r="CX52" s="59">
        <f t="shared" si="14"/>
        <v>665.00559625151936</v>
      </c>
      <c r="CY52" s="59">
        <f ca="1">AVERAGE(OFFSET($CX$3,0,0,'Données projet'!$E$13+1,1))-AVERAGE(OFFSET($H$3,0,0,'Données projet'!$E$13+1,1))</f>
        <v>306.44760579759713</v>
      </c>
      <c r="CZ52" s="59">
        <f t="shared" si="42"/>
        <v>300.30192123221718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4.3320712796146532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4.3320712796146532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60.66713115783007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60.66713115783007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60.66713115783007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60.66713115783007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60.66713115783007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4.4000000000000004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16.133333333333336</v>
      </c>
      <c r="H53" s="67">
        <f t="shared" si="1"/>
        <v>192.13333333333333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60.829035567072822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5.9375</v>
      </c>
      <c r="N53" s="13">
        <f>IF('Données projet'!$A$36&gt;35,N52+M53-V52,IF(A53&lt;'Données projet'!$A$36,$K$205^A53,IF(A53='Données projet'!$A$36,'Données projet'!$B$36,N52+M53-V52)))</f>
        <v>287.35000000000002</v>
      </c>
      <c r="O53" s="13">
        <f>N53*VLOOKUP('Données projet'!$B$9,Paramètres!$A$1:$I$89,3,0)*VLOOKUP('Données projet'!$B$9,Paramètres!$A$1:$I$89,5,0)</f>
        <v>171.83530000000002</v>
      </c>
      <c r="P53" s="13">
        <f t="shared" si="33"/>
        <v>43.500812495918424</v>
      </c>
      <c r="Q53" s="20">
        <f t="shared" si="53"/>
        <v>375.04372926372457</v>
      </c>
      <c r="R53" s="59">
        <f t="shared" si="0"/>
        <v>634.75019300965823</v>
      </c>
      <c r="S53" s="59">
        <f ca="1">AVERAGE(OFFSET($R$3,0,0,'Données projet'!$E$9+1,1))-AVERAGE(OFFSET($H$3,0,0,'Données projet'!$E$9+1,1))</f>
        <v>299.45724561493057</v>
      </c>
      <c r="T53" s="59">
        <f t="shared" si="34"/>
        <v>297.63369027443196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11.981781981686471</v>
      </c>
      <c r="AA53" s="21">
        <f>EXP(-LN(2)/25)*AA52+(1-EXP(-LN(2)/25))/(LN(2)/25)*Calculateur!V53*Calculateur!X53*VLOOKUP('Données projet'!$B$9,Paramètres!$A$1:$I$89,3,0)*0.475*44/12</f>
        <v>29.921360009406829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41.9031419910933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60.829035567072822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17.714285714285715</v>
      </c>
      <c r="AI53" s="13">
        <f>IF('Données projet'!$A$62&gt;35,AI52+AH53-AQ52,IF(A53&lt;'Données projet'!$A$62,$AF$205^A53,IF(A53='Données projet'!$A$62,'Données projet'!$B$62,AI52+AH53-AQ52)))</f>
        <v>428.857142857143</v>
      </c>
      <c r="AJ53" s="13">
        <f>AI53*VLOOKUP('Données projet'!$B$10,Paramètres!$A$1:$I$89,3,0)*VLOOKUP('Données projet'!$B$10,Paramètres!$A$1:$I$89,5,0)</f>
        <v>239.73114285714294</v>
      </c>
      <c r="AK53" s="13">
        <f t="shared" si="35"/>
        <v>58.381680785216801</v>
      </c>
      <c r="AL53" s="20">
        <f t="shared" si="4"/>
        <v>519.21316784377643</v>
      </c>
      <c r="AM53" s="59">
        <f t="shared" si="5"/>
        <v>778.91963158971009</v>
      </c>
      <c r="AN53" s="59">
        <f ca="1">AVERAGE(OFFSET($AM$3,0,0,'Données projet'!$E$10+1,1))-AVERAGE(OFFSET($H$3,0,0,'Données projet'!$E$10+1,1))</f>
        <v>363.98181065114898</v>
      </c>
      <c r="AO53" s="59">
        <f t="shared" si="36"/>
        <v>410.85213343666396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25.827828751770845</v>
      </c>
      <c r="AV53" s="21">
        <f>EXP(-LN(2)/25)*AV52+(1-EXP(-LN(2)/25))/(LN(2)/25)*Calculateur!AQ53*Calculateur!AS53*VLOOKUP('Données projet'!$B$10,Paramètres!$A$1:$I$89,3,0)*0.475*44/12</f>
        <v>46.942504160802407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72.770332912573252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60.829035567072822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297.7</v>
      </c>
      <c r="BB53" s="12">
        <f>VLOOKUP(A53,'Données projet'!$A$87:$I$107,9,0)</f>
        <v>13.587499999999999</v>
      </c>
      <c r="BC53" s="12">
        <f t="array" ref="BC53">INDEX(BB:BB,MIN(IF(ISNUMBER(BB53:BB249),ROW(BB53:BB249),"")))</f>
        <v>13.587499999999999</v>
      </c>
      <c r="BD53" s="12">
        <f>IF('Données projet'!$A$88&gt;35,BD52+BC53-BL52,IF(A53&lt;'Données projet'!$A$88,$BA$205^A53,IF(A53='Données projet'!$A$88,'Données projet'!$B$88,BD52+BC53-BL52)))</f>
        <v>297.70000000000005</v>
      </c>
      <c r="BE53" s="13">
        <f>BD53*VLOOKUP('Données projet'!$B$11,Paramètres!$A$1:$I$89,3,0)*VLOOKUP('Données projet'!$B$11,Paramètres!$A$1:$I$89,5,0)</f>
        <v>260.07072000000011</v>
      </c>
      <c r="BF53" s="13">
        <f t="shared" si="37"/>
        <v>62.737452363689243</v>
      </c>
      <c r="BG53" s="20">
        <f t="shared" si="7"/>
        <v>562.22423353342549</v>
      </c>
      <c r="BH53" s="59">
        <f t="shared" si="8"/>
        <v>821.93069727935915</v>
      </c>
      <c r="BI53" s="59">
        <f ca="1">AVERAGE(OFFSET($BH$3,0,0,'Données projet'!$E$11+1,1))-AVERAGE(OFFSET($H$3,0,0,'Données projet'!$E$11+1,1))</f>
        <v>433.6995276469014</v>
      </c>
      <c r="BJ53" s="59">
        <f t="shared" si="38"/>
        <v>306.37969720280557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79.7</v>
      </c>
      <c r="BM53" s="16">
        <f>IF(ISNA(VLOOKUP(A53,'Données projet'!$A$87:$I$107,5,0)),0%,VLOOKUP(A53,'Données projet'!$A$87:$I$107,5,0)*VLOOKUP('Données projet'!$B$11,Paramètres!$A$1:$I$89,7,0))</f>
        <v>0.25800000000000001</v>
      </c>
      <c r="BN53" s="16">
        <f>IF(ISNA(VLOOKUP(A53,'Données projet'!$A$87:$I$107,6,0)),0%,VLOOKUP(A53,'Données projet'!$A$87:$I$107,6,0)*VLOOKUP('Données projet'!$B$11,Paramètres!$A$1:$I$89,7,0))</f>
        <v>0.129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34.08789433127366</v>
      </c>
      <c r="BQ53" s="21">
        <f>EXP(-LN(2)/25)*BQ52+(1-EXP(-LN(2)/25))/(LN(2)/25)*Calculateur!BL53*Calculateur!BN53*VLOOKUP('Données projet'!$B$11,Paramètres!$A$1:$I$89,3,0)*0.475*44/12</f>
        <v>18.869877137419181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52.95777146869284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60.829035567072822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9.375</v>
      </c>
      <c r="BY53" s="12">
        <f>IF('Données projet'!$A$114&gt;35,BY52+BX53-CG52,IF(A53&lt;'Données projet'!$A$114,$BV$205^A53,IF(A53='Données projet'!$A$114,'Données projet'!$B$114,BY52+BX53-CG52)))</f>
        <v>76.875</v>
      </c>
      <c r="BZ53" s="13">
        <f>BY53*VLOOKUP('Données projet'!$B$12,Paramètres!$A$1:$I$89,3,0)*VLOOKUP('Données projet'!$B$12,Paramètres!$A$1:$I$89,5,0)</f>
        <v>74.353500000000011</v>
      </c>
      <c r="CA53" s="13">
        <f t="shared" si="39"/>
        <v>20.750759482204597</v>
      </c>
      <c r="CB53" s="20">
        <f t="shared" si="10"/>
        <v>165.63991859817301</v>
      </c>
      <c r="CC53" s="59">
        <f t="shared" si="11"/>
        <v>425.3463823441067</v>
      </c>
      <c r="CD53" s="59">
        <f ca="1">AVERAGE(OFFSET($CC$3,0,0,'Données projet'!$E$12+1,1))-AVERAGE(OFFSET($H$3,0,0,'Données projet'!$E$12+1,1))</f>
        <v>455.95436253828132</v>
      </c>
      <c r="CE53" s="59">
        <f t="shared" si="40"/>
        <v>64.829921296688497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0.87447392341988839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0.87447392341988839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60.829035567072822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10.375</v>
      </c>
      <c r="CT53" s="12">
        <f>IF('Données projet'!$A$140&gt;35,CT52+CS53-DB52,IF(A53&lt;'Données projet'!$A$140,$CQ$205^A53,IF(A53='Données projet'!$A$140,'Données projet'!$B$140,CT52+CS53-DB52)))</f>
        <v>249.24999999999991</v>
      </c>
      <c r="CU53" s="17">
        <f>CT53*VLOOKUP('Données projet'!$B$13,Paramètres!$A$1:$I$89,3,0)*VLOOKUP('Données projet'!$B$13,Paramètres!$A$1:$I$89,5,0)</f>
        <v>194.41499999999994</v>
      </c>
      <c r="CV53" s="13">
        <f t="shared" si="41"/>
        <v>48.514737888684927</v>
      </c>
      <c r="CW53" s="20">
        <f t="shared" si="13"/>
        <v>423.10262682279273</v>
      </c>
      <c r="CX53" s="59">
        <f t="shared" si="14"/>
        <v>682.80909056872633</v>
      </c>
      <c r="CY53" s="59">
        <f ca="1">AVERAGE(OFFSET($CX$3,0,0,'Données projet'!$E$13+1,1))-AVERAGE(OFFSET($H$3,0,0,'Données projet'!$E$13+1,1))</f>
        <v>306.44760579759713</v>
      </c>
      <c r="CZ53" s="59">
        <f t="shared" si="42"/>
        <v>300.30192123221718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4.2471220041239848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4.2471220041239848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60.829035567072822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60.829035567072822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60.829035567072822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60.829035567072822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60.829035567072822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4.4000000000000004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16.133333333333336</v>
      </c>
      <c r="H54" s="67">
        <f t="shared" si="1"/>
        <v>192.13333333333333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60.988131296779237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5.9375</v>
      </c>
      <c r="N54" s="13">
        <f>IF('Données projet'!$A$36&gt;35,N53+M54-V53,IF(A54&lt;'Données projet'!$A$36,$K$205^A54,IF(A54='Données projet'!$A$36,'Données projet'!$B$36,N53+M54-V53)))</f>
        <v>293.28750000000002</v>
      </c>
      <c r="O54" s="13">
        <f>N54*VLOOKUP('Données projet'!$B$9,Paramètres!$A$1:$I$89,3,0)*VLOOKUP('Données projet'!$B$9,Paramètres!$A$1:$I$89,5,0)</f>
        <v>175.38592500000004</v>
      </c>
      <c r="P54" s="13">
        <f t="shared" si="33"/>
        <v>44.294093189030633</v>
      </c>
      <c r="Q54" s="20">
        <f t="shared" si="53"/>
        <v>382.60936501256174</v>
      </c>
      <c r="R54" s="59">
        <f t="shared" si="0"/>
        <v>642.8991797674189</v>
      </c>
      <c r="S54" s="59">
        <f ca="1">AVERAGE(OFFSET($R$3,0,0,'Données projet'!$E$9+1,1))-AVERAGE(OFFSET($H$3,0,0,'Données projet'!$E$9+1,1))</f>
        <v>299.45724561493057</v>
      </c>
      <c r="T54" s="59">
        <f t="shared" si="34"/>
        <v>297.63369027443196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11.746826545190986</v>
      </c>
      <c r="AA54" s="21">
        <f>EXP(-LN(2)/25)*AA53+(1-EXP(-LN(2)/25))/(LN(2)/25)*Calculateur!V54*Calculateur!X54*VLOOKUP('Données projet'!$B$9,Paramètres!$A$1:$I$89,3,0)*0.475*44/12</f>
        <v>29.103158846453663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40.849985391644651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60.988131296779237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17.714285714285715</v>
      </c>
      <c r="AI54" s="13">
        <f>IF('Données projet'!$A$62&gt;35,AI53+AH54-AQ53,IF(A54&lt;'Données projet'!$A$62,$AF$205^A54,IF(A54='Données projet'!$A$62,'Données projet'!$B$62,AI53+AH54-AQ53)))</f>
        <v>446.57142857142873</v>
      </c>
      <c r="AJ54" s="13">
        <f>AI54*VLOOKUP('Données projet'!$B$10,Paramètres!$A$1:$I$89,3,0)*VLOOKUP('Données projet'!$B$10,Paramètres!$A$1:$I$89,5,0)</f>
        <v>249.63342857142865</v>
      </c>
      <c r="AK54" s="13">
        <f t="shared" si="35"/>
        <v>60.50743839573984</v>
      </c>
      <c r="AL54" s="20">
        <f t="shared" si="4"/>
        <v>540.16200996781845</v>
      </c>
      <c r="AM54" s="59">
        <f t="shared" si="5"/>
        <v>800.45182472267561</v>
      </c>
      <c r="AN54" s="59">
        <f ca="1">AVERAGE(OFFSET($AM$3,0,0,'Données projet'!$E$10+1,1))-AVERAGE(OFFSET($H$3,0,0,'Données projet'!$E$10+1,1))</f>
        <v>363.98181065114898</v>
      </c>
      <c r="AO54" s="59">
        <f t="shared" si="36"/>
        <v>410.85213343666396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25.321360783368636</v>
      </c>
      <c r="AV54" s="21">
        <f>EXP(-LN(2)/25)*AV53+(1-EXP(-LN(2)/25))/(LN(2)/25)*Calculateur!AQ54*Calculateur!AS54*VLOOKUP('Données projet'!$B$10,Paramètres!$A$1:$I$89,3,0)*0.475*44/12</f>
        <v>45.65885891592626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70.980219699294892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60.988131296779237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12.324999999999998</v>
      </c>
      <c r="BD54" s="12">
        <f>IF('Données projet'!$A$88&gt;35,BD53+BC54-BL53,IF(A54&lt;'Données projet'!$A$88,$BA$205^A54,IF(A54='Données projet'!$A$88,'Données projet'!$B$88,BD53+BC54-BL53)))</f>
        <v>230.32500000000005</v>
      </c>
      <c r="BE54" s="13">
        <f>BD54*VLOOKUP('Données projet'!$B$11,Paramètres!$A$1:$I$89,3,0)*VLOOKUP('Données projet'!$B$11,Paramètres!$A$1:$I$89,5,0)</f>
        <v>201.21192000000005</v>
      </c>
      <c r="BF54" s="13">
        <f t="shared" si="37"/>
        <v>50.010417340386411</v>
      </c>
      <c r="BG54" s="20">
        <f t="shared" si="7"/>
        <v>437.54557086783967</v>
      </c>
      <c r="BH54" s="59">
        <f t="shared" si="8"/>
        <v>697.83538562269689</v>
      </c>
      <c r="BI54" s="59">
        <f ca="1">AVERAGE(OFFSET($BH$3,0,0,'Données projet'!$E$11+1,1))-AVERAGE(OFFSET($H$3,0,0,'Données projet'!$E$11+1,1))</f>
        <v>433.6995276469014</v>
      </c>
      <c r="BJ54" s="59">
        <f t="shared" si="38"/>
        <v>306.37969720280557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33.419451514999928</v>
      </c>
      <c r="BQ54" s="21">
        <f>EXP(-LN(2)/25)*BQ53+(1-EXP(-LN(2)/25))/(LN(2)/25)*Calculateur!BL54*Calculateur!BN54*VLOOKUP('Données projet'!$B$11,Paramètres!$A$1:$I$89,3,0)*0.475*44/12</f>
        <v>18.353879354772744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51.773330869772671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60.988131296779237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9.375</v>
      </c>
      <c r="BY54" s="12">
        <f>IF('Données projet'!$A$114&gt;35,BY53+BX54-CG53,IF(A54&lt;'Données projet'!$A$114,$BV$205^A54,IF(A54='Données projet'!$A$114,'Données projet'!$B$114,BY53+BX54-CG53)))</f>
        <v>86.25</v>
      </c>
      <c r="BZ54" s="13">
        <f>BY54*VLOOKUP('Données projet'!$B$12,Paramètres!$A$1:$I$89,3,0)*VLOOKUP('Données projet'!$B$12,Paramètres!$A$1:$I$89,5,0)</f>
        <v>83.421000000000006</v>
      </c>
      <c r="CA54" s="13">
        <f t="shared" si="39"/>
        <v>22.97158706718762</v>
      </c>
      <c r="CB54" s="20">
        <f t="shared" si="10"/>
        <v>185.30042247535178</v>
      </c>
      <c r="CC54" s="59">
        <f t="shared" si="11"/>
        <v>445.59023723020903</v>
      </c>
      <c r="CD54" s="59">
        <f ca="1">AVERAGE(OFFSET($CC$3,0,0,'Données projet'!$E$12+1,1))-AVERAGE(OFFSET($H$3,0,0,'Données projet'!$E$12+1,1))</f>
        <v>455.95436253828132</v>
      </c>
      <c r="CE54" s="59">
        <f t="shared" si="40"/>
        <v>64.829921296688497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0.85732602315805106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0.85732602315805106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60.988131296779237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10.375</v>
      </c>
      <c r="CT54" s="12">
        <f>IF('Données projet'!$A$140&gt;35,CT53+CS54-DB53,IF(A54&lt;'Données projet'!$A$140,$CQ$205^A54,IF(A54='Données projet'!$A$140,'Données projet'!$B$140,CT53+CS54-DB53)))</f>
        <v>259.62499999999989</v>
      </c>
      <c r="CU54" s="17">
        <f>CT54*VLOOKUP('Données projet'!$B$13,Paramètres!$A$1:$I$89,3,0)*VLOOKUP('Données projet'!$B$13,Paramètres!$A$1:$I$89,5,0)</f>
        <v>202.50749999999991</v>
      </c>
      <c r="CV54" s="13">
        <f t="shared" si="41"/>
        <v>50.294840086606349</v>
      </c>
      <c r="CW54" s="20">
        <f t="shared" si="13"/>
        <v>440.29740898417253</v>
      </c>
      <c r="CX54" s="59">
        <f t="shared" si="14"/>
        <v>700.5872237390297</v>
      </c>
      <c r="CY54" s="59">
        <f ca="1">AVERAGE(OFFSET($CX$3,0,0,'Données projet'!$E$13+1,1))-AVERAGE(OFFSET($H$3,0,0,'Données projet'!$E$13+1,1))</f>
        <v>306.44760579759713</v>
      </c>
      <c r="CZ54" s="59">
        <f t="shared" si="42"/>
        <v>300.30192123221718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4.1638385321117468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4.1638385321117468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60.988131296779237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60.988131296779237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60.988131296779237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60.988131296779237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60.988131296779237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4.4000000000000004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16.133333333333336</v>
      </c>
      <c r="H55" s="67">
        <f t="shared" si="1"/>
        <v>192.13333333333333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61.14446707126001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5.9375</v>
      </c>
      <c r="N55" s="13">
        <f>IF('Données projet'!$A$36&gt;35,N54+M55-V54,IF(A55&lt;'Données projet'!$A$36,$K$205^A55,IF(A55='Données projet'!$A$36,'Données projet'!$B$36,N54+M55-V54)))</f>
        <v>299.22500000000002</v>
      </c>
      <c r="O55" s="13">
        <f>N55*VLOOKUP('Données projet'!$B$9,Paramètres!$A$1:$I$89,3,0)*VLOOKUP('Données projet'!$B$9,Paramètres!$A$1:$I$89,5,0)</f>
        <v>178.93655000000004</v>
      </c>
      <c r="P55" s="13">
        <f t="shared" si="33"/>
        <v>45.08550660108569</v>
      </c>
      <c r="Q55" s="20">
        <f t="shared" si="53"/>
        <v>390.17174858022435</v>
      </c>
      <c r="R55" s="59">
        <f t="shared" si="0"/>
        <v>651.0347945081777</v>
      </c>
      <c r="S55" s="59">
        <f ca="1">AVERAGE(OFFSET($R$3,0,0,'Données projet'!$E$9+1,1))-AVERAGE(OFFSET($H$3,0,0,'Données projet'!$E$9+1,1))</f>
        <v>299.45724561493057</v>
      </c>
      <c r="T55" s="59">
        <f t="shared" si="34"/>
        <v>297.63369027443196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11.516478441496513</v>
      </c>
      <c r="AA55" s="21">
        <f>EXP(-LN(2)/25)*AA54+(1-EXP(-LN(2)/25))/(LN(2)/25)*Calculateur!V55*Calculateur!X55*VLOOKUP('Données projet'!$B$9,Paramètres!$A$1:$I$89,3,0)*0.475*44/12</f>
        <v>28.307331437328781</v>
      </c>
      <c r="AB55" s="21">
        <f>EXP(-LN(2)/2)*AB54+(1-EXP(-LN(2)/2))/(LN(2)/2)*V55*Y55*VLOOKUP('Données projet'!$B$9,Paramètres!$A$1:$I$89,3,0)*0.475*44/12</f>
        <v>0</v>
      </c>
      <c r="AC55" s="22">
        <f t="shared" si="3"/>
        <v>39.823809878825294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61.14446707126001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17.714285714285715</v>
      </c>
      <c r="AI55" s="13">
        <f>IF('Données projet'!$A$62&gt;35,AI54+AH55-AQ54,IF(A55&lt;'Données projet'!$A$62,$AF$205^A55,IF(A55='Données projet'!$A$62,'Données projet'!$B$62,AI54+AH55-AQ54)))</f>
        <v>464.28571428571445</v>
      </c>
      <c r="AJ55" s="13">
        <f>AI55*VLOOKUP('Données projet'!$B$10,Paramètres!$A$1:$I$89,3,0)*VLOOKUP('Données projet'!$B$10,Paramètres!$A$1:$I$89,5,0)</f>
        <v>259.53571428571439</v>
      </c>
      <c r="AK55" s="13">
        <f t="shared" si="35"/>
        <v>62.623400711752197</v>
      </c>
      <c r="AL55" s="20">
        <f t="shared" si="4"/>
        <v>561.09379195392091</v>
      </c>
      <c r="AM55" s="59">
        <f t="shared" si="5"/>
        <v>821.95683788187421</v>
      </c>
      <c r="AN55" s="59">
        <f ca="1">AVERAGE(OFFSET($AM$3,0,0,'Données projet'!$E$10+1,1))-AVERAGE(OFFSET($H$3,0,0,'Données projet'!$E$10+1,1))</f>
        <v>363.98181065114898</v>
      </c>
      <c r="AO55" s="59">
        <f t="shared" si="36"/>
        <v>410.85213343666396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24.824824342911835</v>
      </c>
      <c r="AV55" s="21">
        <f>EXP(-LN(2)/25)*AV54+(1-EXP(-LN(2)/25))/(LN(2)/25)*Calculateur!AQ55*Calculateur!AS55*VLOOKUP('Données projet'!$B$10,Paramètres!$A$1:$I$89,3,0)*0.475*44/12</f>
        <v>44.410315017775218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69.235139360687057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61.14446707126001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12.324999999999998</v>
      </c>
      <c r="BD55" s="12">
        <f>IF('Données projet'!$A$88&gt;35,BD54+BC55-BL54,IF(A55&lt;'Données projet'!$A$88,$BA$205^A55,IF(A55='Données projet'!$A$88,'Données projet'!$B$88,BD54+BC55-BL54)))</f>
        <v>242.65000000000003</v>
      </c>
      <c r="BE55" s="13">
        <f>BD55*VLOOKUP('Données projet'!$B$11,Paramètres!$A$1:$I$89,3,0)*VLOOKUP('Données projet'!$B$11,Paramètres!$A$1:$I$89,5,0)</f>
        <v>211.97904000000008</v>
      </c>
      <c r="BF55" s="13">
        <f t="shared" si="37"/>
        <v>52.367819358175034</v>
      </c>
      <c r="BG55" s="20">
        <f t="shared" si="7"/>
        <v>460.40411338215495</v>
      </c>
      <c r="BH55" s="59">
        <f t="shared" si="8"/>
        <v>721.26715931010835</v>
      </c>
      <c r="BI55" s="59">
        <f ca="1">AVERAGE(OFFSET($BH$3,0,0,'Données projet'!$E$11+1,1))-AVERAGE(OFFSET($H$3,0,0,'Données projet'!$E$11+1,1))</f>
        <v>433.6995276469014</v>
      </c>
      <c r="BJ55" s="59">
        <f t="shared" si="38"/>
        <v>306.37969720280557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32.764116454643464</v>
      </c>
      <c r="BQ55" s="21">
        <f>EXP(-LN(2)/25)*BQ54+(1-EXP(-LN(2)/25))/(LN(2)/25)*Calculateur!BL55*Calculateur!BN55*VLOOKUP('Données projet'!$B$11,Paramètres!$A$1:$I$89,3,0)*0.475*44/12</f>
        <v>17.851991558627915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50.616108013271379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61.14446707126001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9.375</v>
      </c>
      <c r="BY55" s="12">
        <f>IF('Données projet'!$A$114&gt;35,BY54+BX55-CG54,IF(A55&lt;'Données projet'!$A$114,$BV$205^A55,IF(A55='Données projet'!$A$114,'Données projet'!$B$114,BY54+BX55-CG54)))</f>
        <v>95.625</v>
      </c>
      <c r="BZ55" s="13">
        <f>BY55*VLOOKUP('Données projet'!$B$12,Paramètres!$A$1:$I$89,3,0)*VLOOKUP('Données projet'!$B$12,Paramètres!$A$1:$I$89,5,0)</f>
        <v>92.488500000000002</v>
      </c>
      <c r="CA55" s="13">
        <f t="shared" si="39"/>
        <v>25.164435260097743</v>
      </c>
      <c r="CB55" s="20">
        <f t="shared" si="10"/>
        <v>204.91219557800355</v>
      </c>
      <c r="CC55" s="59">
        <f t="shared" si="11"/>
        <v>465.7752415059569</v>
      </c>
      <c r="CD55" s="59">
        <f ca="1">AVERAGE(OFFSET($CC$3,0,0,'Données projet'!$E$12+1,1))-AVERAGE(OFFSET($H$3,0,0,'Données projet'!$E$12+1,1))</f>
        <v>455.95436253828132</v>
      </c>
      <c r="CE55" s="59">
        <f t="shared" si="40"/>
        <v>64.829921296688497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0.84051438276116197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0.84051438276116197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61.14446707126001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>
        <f>VLOOKUP(A55,'Données projet'!$A$139:$I$159,2,0)</f>
        <v>270</v>
      </c>
      <c r="CR55" s="12">
        <f>VLOOKUP(A55,'Données projet'!$A$139:$I$159,9,0)</f>
        <v>10.375</v>
      </c>
      <c r="CS55" s="12">
        <f t="array" ref="CS55">INDEX(CR:CR,MIN(IF(ISNUMBER(CR55:CR251),ROW(CR55:CR251),"")))</f>
        <v>10.375</v>
      </c>
      <c r="CT55" s="12">
        <f>IF('Données projet'!$A$140&gt;35,CT54+CS55-DB54,IF(A55&lt;'Données projet'!$A$140,$CQ$205^A55,IF(A55='Données projet'!$A$140,'Données projet'!$B$140,CT54+CS55-DB54)))</f>
        <v>269.99999999999989</v>
      </c>
      <c r="CU55" s="17">
        <f>CT55*VLOOKUP('Données projet'!$B$13,Paramètres!$A$1:$I$89,3,0)*VLOOKUP('Données projet'!$B$13,Paramètres!$A$1:$I$89,5,0)</f>
        <v>210.59999999999991</v>
      </c>
      <c r="CV55" s="13">
        <f t="shared" si="41"/>
        <v>52.066679014659961</v>
      </c>
      <c r="CW55" s="20">
        <f t="shared" si="13"/>
        <v>457.47779928386586</v>
      </c>
      <c r="CX55" s="59">
        <f t="shared" si="14"/>
        <v>718.34084521181921</v>
      </c>
      <c r="CY55" s="59">
        <f ca="1">AVERAGE(OFFSET($CX$3,0,0,'Données projet'!$E$13+1,1))-AVERAGE(OFFSET($H$3,0,0,'Données projet'!$E$13+1,1))</f>
        <v>306.44760579759713</v>
      </c>
      <c r="CZ55" s="59">
        <f t="shared" si="42"/>
        <v>300.30192123221718</v>
      </c>
      <c r="DA55" s="15">
        <f>IF(ISNA(VLOOKUP(A55,'Données projet'!$A$139:$I$159,3,0)),0,VLOOKUP(A55,'Données projet'!$A$139:$I$159,3,0))</f>
        <v>7</v>
      </c>
      <c r="DB55" s="15">
        <f>IF(ISNA(VLOOKUP(A55,'Données projet'!$A$139:$I$159,4,0)),0,VLOOKUP(A55,'Données projet'!$A$139:$I$159,4,0))</f>
        <v>48</v>
      </c>
      <c r="DC55" s="16">
        <f>IF(ISNA(VLOOKUP(A55,'Données projet'!$A$139:$I$159,5,0)),0%,VLOOKUP(A55,'Données projet'!$A$139:$I$159,5,0)*VLOOKUP('Données projet'!$B$13,Paramètres!$A$1:$I$89,7,0))</f>
        <v>0.129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9.4213448184408275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9.4213448184408275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61.14446707126001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61.14446707126001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61.14446707126001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61.14446707126001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61.14446707126001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4.4000000000000004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16.133333333333336</v>
      </c>
      <c r="H56" s="67">
        <f t="shared" si="1"/>
        <v>192.13333333333333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61.298090769567978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5.9375</v>
      </c>
      <c r="N56" s="13">
        <f>IF('Données projet'!$A$36&gt;35,N55+M56-V55,IF(A56&lt;'Données projet'!$A$36,$K$205^A56,IF(A56='Données projet'!$A$36,'Données projet'!$B$36,N55+M56-V55)))</f>
        <v>305.16250000000002</v>
      </c>
      <c r="O56" s="13">
        <f>N56*VLOOKUP('Données projet'!$B$9,Paramètres!$A$1:$I$89,3,0)*VLOOKUP('Données projet'!$B$9,Paramètres!$A$1:$I$89,5,0)</f>
        <v>182.48717500000001</v>
      </c>
      <c r="P56" s="13">
        <f t="shared" si="33"/>
        <v>45.875094055035092</v>
      </c>
      <c r="Q56" s="20">
        <f t="shared" si="53"/>
        <v>397.73095193751942</v>
      </c>
      <c r="R56" s="59">
        <f t="shared" si="0"/>
        <v>659.15728475926858</v>
      </c>
      <c r="S56" s="59">
        <f ca="1">AVERAGE(OFFSET($R$3,0,0,'Données projet'!$E$9+1,1))-AVERAGE(OFFSET($H$3,0,0,'Données projet'!$E$9+1,1))</f>
        <v>299.45724561493057</v>
      </c>
      <c r="T56" s="59">
        <f t="shared" si="34"/>
        <v>297.63369027443196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11.290647323617018</v>
      </c>
      <c r="AA56" s="21">
        <f>EXP(-LN(2)/25)*AA55+(1-EXP(-LN(2)/25))/(LN(2)/25)*Calculateur!V56*Calculateur!X56*VLOOKUP('Données projet'!$B$9,Paramètres!$A$1:$I$89,3,0)*0.475*44/12</f>
        <v>27.533265970557164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38.823913294174183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61.298090769567978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>
        <f>VLOOKUP(A56,'Données projet'!$A$61:$I$81,2,0)</f>
        <v>482</v>
      </c>
      <c r="AG56" s="12">
        <f>VLOOKUP(A56,'Données projet'!$A$61:$I$81,9,0)</f>
        <v>17.714285714285715</v>
      </c>
      <c r="AH56" s="12">
        <f t="array" ref="AH56">INDEX(AG:AG,MIN(IF(ISNUMBER(AG56:AG252),ROW(AG56:AG252),"")))</f>
        <v>17.714285714285715</v>
      </c>
      <c r="AI56" s="13">
        <f>IF('Données projet'!$A$62&gt;35,AI55+AH56-AQ55,IF(A56&lt;'Données projet'!$A$62,$AF$205^A56,IF(A56='Données projet'!$A$62,'Données projet'!$B$62,AI55+AH56-AQ55)))</f>
        <v>482.00000000000017</v>
      </c>
      <c r="AJ56" s="13">
        <f>AI56*VLOOKUP('Données projet'!$B$10,Paramètres!$A$1:$I$89,3,0)*VLOOKUP('Données projet'!$B$10,Paramètres!$A$1:$I$89,5,0)</f>
        <v>269.4380000000001</v>
      </c>
      <c r="AK56" s="13">
        <f t="shared" si="35"/>
        <v>64.729984244002807</v>
      </c>
      <c r="AL56" s="20">
        <f t="shared" si="4"/>
        <v>582.00923922497179</v>
      </c>
      <c r="AM56" s="59">
        <f t="shared" si="5"/>
        <v>843.43557204672106</v>
      </c>
      <c r="AN56" s="59">
        <f ca="1">AVERAGE(OFFSET($AM$3,0,0,'Données projet'!$E$10+1,1))-AVERAGE(OFFSET($H$3,0,0,'Données projet'!$E$10+1,1))</f>
        <v>363.98181065114898</v>
      </c>
      <c r="AO56" s="59">
        <f t="shared" si="36"/>
        <v>410.85213343666396</v>
      </c>
      <c r="AP56" s="15">
        <f>IF(ISNA(VLOOKUP(A56,'Données projet'!$A$61:$I$81,3,0)),0,VLOOKUP(A56,'Données projet'!$A$61:$I$81,3,0))</f>
        <v>5</v>
      </c>
      <c r="AQ56" s="15">
        <f>IF(ISNA(VLOOKUP(A56,'Données projet'!$A$61:$I$81,4,0)),0,VLOOKUP(A56,'Données projet'!$A$61:$I$81,4,0))</f>
        <v>80</v>
      </c>
      <c r="AR56" s="16">
        <f>IF(ISNA(VLOOKUP(A56,'Données projet'!$A$61:$I$81,5,0)),0%,VLOOKUP(A56,'Données projet'!$A$61:$I$81,5,0)*VLOOKUP('Données projet'!$B$10,Paramètres!$A$1:$I$89,7,0))</f>
        <v>0.38500000000000001</v>
      </c>
      <c r="AS56" s="16">
        <f>IF(ISNA(VLOOKUP(A56,'Données projet'!$A$61:$I$81,6,0)),0%,VLOOKUP(A56,'Données projet'!$A$61:$I$81,6,0)*VLOOKUP('Données projet'!$B$10,Paramètres!$A$1:$I$89,7,0))</f>
        <v>0.16500000000000001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47.17775022138872</v>
      </c>
      <c r="AV56" s="21">
        <f>EXP(-LN(2)/25)*AV55+(1-EXP(-LN(2)/25))/(LN(2)/25)*Calculateur!AQ56*Calculateur!AS56*VLOOKUP('Données projet'!$B$10,Paramètres!$A$1:$I$89,3,0)*0.475*44/12</f>
        <v>52.945825549655616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100.12357577104433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61.298090769567978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12.324999999999998</v>
      </c>
      <c r="BD56" s="12">
        <f>IF('Données projet'!$A$88&gt;35,BD55+BC56-BL55,IF(A56&lt;'Données projet'!$A$88,$BA$205^A56,IF(A56='Données projet'!$A$88,'Données projet'!$B$88,BD55+BC56-BL55)))</f>
        <v>254.97500000000002</v>
      </c>
      <c r="BE56" s="13">
        <f>BD56*VLOOKUP('Données projet'!$B$11,Paramètres!$A$1:$I$89,3,0)*VLOOKUP('Données projet'!$B$11,Paramètres!$A$1:$I$89,5,0)</f>
        <v>222.74616000000006</v>
      </c>
      <c r="BF56" s="13">
        <f t="shared" si="37"/>
        <v>54.711318416900006</v>
      </c>
      <c r="BG56" s="20">
        <f t="shared" si="7"/>
        <v>483.23844157610097</v>
      </c>
      <c r="BH56" s="59">
        <f t="shared" si="8"/>
        <v>744.66477439785012</v>
      </c>
      <c r="BI56" s="59">
        <f ca="1">AVERAGE(OFFSET($BH$3,0,0,'Données projet'!$E$11+1,1))-AVERAGE(OFFSET($H$3,0,0,'Données projet'!$E$11+1,1))</f>
        <v>433.6995276469014</v>
      </c>
      <c r="BJ56" s="59">
        <f t="shared" si="38"/>
        <v>306.37969720280557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32.121632115105676</v>
      </c>
      <c r="BQ56" s="21">
        <f>EXP(-LN(2)/25)*BQ55+(1-EXP(-LN(2)/25))/(LN(2)/25)*Calculateur!BL56*Calculateur!BN56*VLOOKUP('Données projet'!$B$11,Paramètres!$A$1:$I$89,3,0)*0.475*44/12</f>
        <v>17.363827910661801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49.48546002576748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61.298090769567978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>
        <f>VLOOKUP(A56,'Données projet'!$A$113:$I$133,2,0)</f>
        <v>105</v>
      </c>
      <c r="BW56" s="12">
        <f>VLOOKUP(A56,'Données projet'!$A$113:$I$133,9,0)</f>
        <v>9.375</v>
      </c>
      <c r="BX56" s="12">
        <f t="array" ref="BX56">INDEX(BW:BW,MIN(IF(ISNUMBER(BW56:BW252),ROW(BW56:BW252),"")))</f>
        <v>9.375</v>
      </c>
      <c r="BY56" s="12">
        <f>IF('Données projet'!$A$114&gt;35,BY55+BX56-CG55,IF(A56&lt;'Données projet'!$A$114,$BV$205^A56,IF(A56='Données projet'!$A$114,'Données projet'!$B$114,BY55+BX56-CG55)))</f>
        <v>105</v>
      </c>
      <c r="BZ56" s="13">
        <f>BY56*VLOOKUP('Données projet'!$B$12,Paramètres!$A$1:$I$89,3,0)*VLOOKUP('Données projet'!$B$12,Paramètres!$A$1:$I$89,5,0)</f>
        <v>101.556</v>
      </c>
      <c r="CA56" s="13">
        <f t="shared" si="39"/>
        <v>27.332359320696909</v>
      </c>
      <c r="CB56" s="20">
        <f t="shared" si="10"/>
        <v>224.48055915021379</v>
      </c>
      <c r="CC56" s="59">
        <f t="shared" si="11"/>
        <v>485.90689197196298</v>
      </c>
      <c r="CD56" s="59">
        <f ca="1">AVERAGE(OFFSET($CC$3,0,0,'Données projet'!$E$12+1,1))-AVERAGE(OFFSET($H$3,0,0,'Données projet'!$E$12+1,1))</f>
        <v>455.95436253828132</v>
      </c>
      <c r="CE56" s="59">
        <f t="shared" si="40"/>
        <v>64.829921296688497</v>
      </c>
      <c r="CF56" s="15">
        <f>IF(ISNA(VLOOKUP(A56,'Données projet'!$A$113:$I$133,3,0)),0,VLOOKUP(A56,'Données projet'!$A$113:$I$133,3,0))</f>
        <v>3</v>
      </c>
      <c r="CG56" s="15">
        <f>IF(ISNA(VLOOKUP(A56,'Données projet'!$A$113:$I$133,4,0)),0,VLOOKUP(A56,'Données projet'!$A$113:$I$133,4,0))</f>
        <v>15</v>
      </c>
      <c r="CH56" s="16">
        <f>IF(ISNA(VLOOKUP(A56,'Données projet'!$A$113:$I$133,5,0)),0%,VLOOKUP(A56,'Données projet'!$A$113:$I$133,5,0)*VLOOKUP('Données projet'!$B$12,Paramètres!$A$1:$I$89,7,0))</f>
        <v>0.129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2.892955598726429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2.892955598726429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61.298090769567978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9.375</v>
      </c>
      <c r="CT56" s="12">
        <f>IF('Données projet'!$A$140&gt;35,CT55+CS56-DB55,IF(A56&lt;'Données projet'!$A$140,$CQ$205^A56,IF(A56='Données projet'!$A$140,'Données projet'!$B$140,CT55+CS56-DB55)))</f>
        <v>231.37499999999989</v>
      </c>
      <c r="CU56" s="17">
        <f>CT56*VLOOKUP('Données projet'!$B$13,Paramètres!$A$1:$I$89,3,0)*VLOOKUP('Données projet'!$B$13,Paramètres!$A$1:$I$89,5,0)</f>
        <v>180.47249999999991</v>
      </c>
      <c r="CV56" s="13">
        <f t="shared" si="41"/>
        <v>45.427292666837829</v>
      </c>
      <c r="CW56" s="20">
        <f t="shared" si="13"/>
        <v>393.44213889474241</v>
      </c>
      <c r="CX56" s="59">
        <f t="shared" si="14"/>
        <v>654.86847171649163</v>
      </c>
      <c r="CY56" s="59">
        <f ca="1">AVERAGE(OFFSET($CX$3,0,0,'Données projet'!$E$13+1,1))-AVERAGE(OFFSET($H$3,0,0,'Données projet'!$E$13+1,1))</f>
        <v>306.44760579759713</v>
      </c>
      <c r="CZ56" s="59">
        <f t="shared" si="42"/>
        <v>300.30192123221718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9.2365979930041266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9.2365979930041266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61.298090769567978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61.298090769567978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61.298090769567978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61.298090769567978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61.298090769567978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4.4000000000000004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16.133333333333336</v>
      </c>
      <c r="H57" s="67">
        <f t="shared" si="1"/>
        <v>192.13333333333333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61.449049440161431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311.10000000000002</v>
      </c>
      <c r="L57" s="12">
        <f>VLOOKUP(A57,'Données projet'!$A$35:$I$55,9,0)</f>
        <v>5.9375</v>
      </c>
      <c r="M57" s="12">
        <f t="array" ref="M57">INDEX(L:L,MIN(IF(ISNUMBER(L57:L253),ROW(L57:L253),"")))</f>
        <v>5.9375</v>
      </c>
      <c r="N57" s="13">
        <f>IF('Données projet'!$A$36&gt;35,N56+M57-V56,IF(A57&lt;'Données projet'!$A$36,$K$205^A57,IF(A57='Données projet'!$A$36,'Données projet'!$B$36,N56+M57-V56)))</f>
        <v>311.10000000000002</v>
      </c>
      <c r="O57" s="13">
        <f>N57*VLOOKUP('Données projet'!$B$9,Paramètres!$A$1:$I$89,3,0)*VLOOKUP('Données projet'!$B$9,Paramètres!$A$1:$I$89,5,0)</f>
        <v>186.03780000000003</v>
      </c>
      <c r="P57" s="13">
        <f t="shared" si="33"/>
        <v>46.66289517381837</v>
      </c>
      <c r="Q57" s="20">
        <f t="shared" si="53"/>
        <v>405.28704409440041</v>
      </c>
      <c r="R57" s="59">
        <f t="shared" si="0"/>
        <v>667.26689204165905</v>
      </c>
      <c r="S57" s="59">
        <f ca="1">AVERAGE(OFFSET($R$3,0,0,'Données projet'!$E$9+1,1))-AVERAGE(OFFSET($H$3,0,0,'Données projet'!$E$9+1,1))</f>
        <v>299.45724561493057</v>
      </c>
      <c r="T57" s="59">
        <f t="shared" si="34"/>
        <v>297.63369027443196</v>
      </c>
      <c r="U57" s="15">
        <f>IF(ISNA(VLOOKUP(A57,'Données projet'!$A$35:$I$55,3,0)),0,VLOOKUP(A57,'Données projet'!$A$35:$I$55,3,0))</f>
        <v>8</v>
      </c>
      <c r="V57" s="15">
        <f>IF(ISNA(VLOOKUP(A57,'Données projet'!$A$35:$I$55,4,0)),0,VLOOKUP(A57,'Données projet'!$A$35:$I$55,4,0))</f>
        <v>15.6</v>
      </c>
      <c r="W57" s="16">
        <f>IF(ISNA(VLOOKUP(A57,'Données projet'!$A$35:$I$55,5,0)),0%,VLOOKUP(A57,'Données projet'!$A$35:$I$55,5,0)*VLOOKUP('Données projet'!$B$9,Paramètres!$A$1:$I$89,7,0))</f>
        <v>0.315</v>
      </c>
      <c r="X57" s="16">
        <f>IF(ISNA(VLOOKUP(A57,'Données projet'!$A$35:$I$55,6,0)),0%,VLOOKUP(A57,'Données projet'!$A$35:$I$55,6,0)*VLOOKUP('Données projet'!$B$9,Paramètres!$A$1:$I$89,7,0))</f>
        <v>0.13500000000000001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14.967449781165639</v>
      </c>
      <c r="AA57" s="21">
        <f>EXP(-LN(2)/25)*AA56+(1-EXP(-LN(2)/25))/(LN(2)/25)*Calculateur!V57*Calculateur!X57*VLOOKUP('Données projet'!$B$9,Paramètres!$A$1:$I$89,3,0)*0.475*44/12</f>
        <v>28.444448698630545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43.411898479796186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61.449049440161431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16.428571428571427</v>
      </c>
      <c r="AI57" s="13">
        <f>IF('Données projet'!$A$62&gt;35,AI56+AH57-AQ56,IF(A57&lt;'Données projet'!$A$62,$AF$205^A57,IF(A57='Données projet'!$A$62,'Données projet'!$B$62,AI56+AH57-AQ56)))</f>
        <v>418.42857142857162</v>
      </c>
      <c r="AJ57" s="13">
        <f>AI57*VLOOKUP('Données projet'!$B$10,Paramètres!$A$1:$I$89,3,0)*VLOOKUP('Données projet'!$B$10,Paramètres!$A$1:$I$89,5,0)</f>
        <v>233.90157142857154</v>
      </c>
      <c r="AK57" s="13">
        <f t="shared" si="35"/>
        <v>57.125464834218377</v>
      </c>
      <c r="AL57" s="20">
        <f t="shared" si="4"/>
        <v>506.87208815769242</v>
      </c>
      <c r="AM57" s="59">
        <f t="shared" si="5"/>
        <v>768.85193610495094</v>
      </c>
      <c r="AN57" s="59">
        <f ca="1">AVERAGE(OFFSET($AM$3,0,0,'Données projet'!$E$10+1,1))-AVERAGE(OFFSET($H$3,0,0,'Données projet'!$E$10+1,1))</f>
        <v>363.98181065114898</v>
      </c>
      <c r="AO57" s="59">
        <f t="shared" si="36"/>
        <v>410.85213343666396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46.252623315133569</v>
      </c>
      <c r="AV57" s="21">
        <f>EXP(-LN(2)/25)*AV56+(1-EXP(-LN(2)/25))/(LN(2)/25)*Calculateur!AQ57*Calculateur!AS57*VLOOKUP('Données projet'!$B$10,Paramètres!$A$1:$I$89,3,0)*0.475*44/12</f>
        <v>51.498019165700327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97.750642480833903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61.449049440161431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12.324999999999998</v>
      </c>
      <c r="BD57" s="12">
        <f>IF('Données projet'!$A$88&gt;35,BD56+BC57-BL56,IF(A57&lt;'Données projet'!$A$88,$BA$205^A57,IF(A57='Données projet'!$A$88,'Données projet'!$B$88,BD56+BC57-BL56)))</f>
        <v>267.3</v>
      </c>
      <c r="BE57" s="13">
        <f>BD57*VLOOKUP('Données projet'!$B$11,Paramètres!$A$1:$I$89,3,0)*VLOOKUP('Données projet'!$B$11,Paramètres!$A$1:$I$89,5,0)</f>
        <v>233.51328000000004</v>
      </c>
      <c r="BF57" s="13">
        <f t="shared" si="37"/>
        <v>57.041663274479895</v>
      </c>
      <c r="BG57" s="20">
        <f t="shared" si="7"/>
        <v>506.04985953638578</v>
      </c>
      <c r="BH57" s="59">
        <f t="shared" si="8"/>
        <v>768.02970748364442</v>
      </c>
      <c r="BI57" s="59">
        <f ca="1">AVERAGE(OFFSET($BH$3,0,0,'Données projet'!$E$11+1,1))-AVERAGE(OFFSET($H$3,0,0,'Données projet'!$E$11+1,1))</f>
        <v>433.6995276469014</v>
      </c>
      <c r="BJ57" s="59">
        <f t="shared" si="38"/>
        <v>306.37969720280557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31.491746501589468</v>
      </c>
      <c r="BQ57" s="21">
        <f>EXP(-LN(2)/25)*BQ56+(1-EXP(-LN(2)/25))/(LN(2)/25)*Calculateur!BL57*Calculateur!BN57*VLOOKUP('Données projet'!$B$11,Paramètres!$A$1:$I$89,3,0)*0.475*44/12</f>
        <v>16.88901312332073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48.380759624910198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61.449049440161431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8.375</v>
      </c>
      <c r="BY57" s="12">
        <f>IF('Données projet'!$A$114&gt;35,BY56+BX57-CG56,IF(A57&lt;'Données projet'!$A$114,$BV$205^A57,IF(A57='Données projet'!$A$114,'Données projet'!$B$114,BY56+BX57-CG56)))</f>
        <v>98.375</v>
      </c>
      <c r="BZ57" s="13">
        <f>BY57*VLOOKUP('Données projet'!$B$12,Paramètres!$A$1:$I$89,3,0)*VLOOKUP('Données projet'!$B$12,Paramètres!$A$1:$I$89,5,0)</f>
        <v>95.148300000000006</v>
      </c>
      <c r="CA57" s="13">
        <f t="shared" si="39"/>
        <v>25.802822676955092</v>
      </c>
      <c r="CB57" s="20">
        <f t="shared" si="10"/>
        <v>210.65653866236343</v>
      </c>
      <c r="CC57" s="59">
        <f t="shared" si="11"/>
        <v>472.63638660962204</v>
      </c>
      <c r="CD57" s="59">
        <f ca="1">AVERAGE(OFFSET($CC$3,0,0,'Données projet'!$E$12+1,1))-AVERAGE(OFFSET($H$3,0,0,'Données projet'!$E$12+1,1))</f>
        <v>455.95436253828132</v>
      </c>
      <c r="CE57" s="59">
        <f t="shared" si="40"/>
        <v>64.829921296688497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2.8362265039640864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2.8362265039640864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61.449049440161431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9.375</v>
      </c>
      <c r="CT57" s="12">
        <f>IF('Données projet'!$A$140&gt;35,CT56+CS57-DB56,IF(A57&lt;'Données projet'!$A$140,$CQ$205^A57,IF(A57='Données projet'!$A$140,'Données projet'!$B$140,CT56+CS57-DB56)))</f>
        <v>240.74999999999989</v>
      </c>
      <c r="CU57" s="17">
        <f>CT57*VLOOKUP('Données projet'!$B$13,Paramètres!$A$1:$I$89,3,0)*VLOOKUP('Données projet'!$B$13,Paramètres!$A$1:$I$89,5,0)</f>
        <v>187.78499999999991</v>
      </c>
      <c r="CV57" s="13">
        <f t="shared" si="41"/>
        <v>47.049914090154054</v>
      </c>
      <c r="CW57" s="20">
        <f t="shared" si="13"/>
        <v>409.0041420403515</v>
      </c>
      <c r="CX57" s="59">
        <f t="shared" si="14"/>
        <v>670.98398998761013</v>
      </c>
      <c r="CY57" s="59">
        <f ca="1">AVERAGE(OFFSET($CX$3,0,0,'Données projet'!$E$13+1,1))-AVERAGE(OFFSET($H$3,0,0,'Données projet'!$E$13+1,1))</f>
        <v>306.44760579759713</v>
      </c>
      <c r="CZ57" s="59">
        <f t="shared" si="42"/>
        <v>300.30192123221718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9.0554739401298026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9.0554739401298026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61.449049440161431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61.449049440161431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61.449049440161431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61.449049440161431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61.449049440161431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4.4000000000000004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16.133333333333336</v>
      </c>
      <c r="H58" s="67">
        <f t="shared" si="1"/>
        <v>192.13333333333333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61.597389315313123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2.4750000000000014</v>
      </c>
      <c r="N58" s="13">
        <f>IF('Données projet'!$A$36&gt;35,N57+M58-V57,IF(A58&lt;'Données projet'!$A$36,$K$205^A58,IF(A58='Données projet'!$A$36,'Données projet'!$B$36,N57+M58-V57)))</f>
        <v>297.97500000000002</v>
      </c>
      <c r="O58" s="13">
        <f>N58*VLOOKUP('Données projet'!$B$9,Paramètres!$A$1:$I$89,3,0)*VLOOKUP('Données projet'!$B$9,Paramètres!$A$1:$I$89,5,0)</f>
        <v>178.18905000000004</v>
      </c>
      <c r="P58" s="13">
        <f t="shared" si="33"/>
        <v>44.919046352313657</v>
      </c>
      <c r="Q58" s="20">
        <f t="shared" si="53"/>
        <v>388.57993448027963</v>
      </c>
      <c r="R58" s="59">
        <f t="shared" si="0"/>
        <v>651.10369530309436</v>
      </c>
      <c r="S58" s="59">
        <f ca="1">AVERAGE(OFFSET($R$3,0,0,'Données projet'!$E$9+1,1))-AVERAGE(OFFSET($H$3,0,0,'Données projet'!$E$9+1,1))</f>
        <v>299.45724561493057</v>
      </c>
      <c r="T58" s="59">
        <f t="shared" si="34"/>
        <v>297.63369027443196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14.67394722019991</v>
      </c>
      <c r="AA58" s="21">
        <f>EXP(-LN(2)/25)*AA57+(1-EXP(-LN(2)/25))/(LN(2)/25)*Calculateur!V58*Calculateur!X58*VLOOKUP('Données projet'!$B$9,Paramètres!$A$1:$I$89,3,0)*0.475*44/12</f>
        <v>27.666633753137948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42.340580973337858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61.597389315313123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16.428571428571427</v>
      </c>
      <c r="AI58" s="13">
        <f>IF('Données projet'!$A$62&gt;35,AI57+AH58-AQ57,IF(A58&lt;'Données projet'!$A$62,$AF$205^A58,IF(A58='Données projet'!$A$62,'Données projet'!$B$62,AI57+AH58-AQ57)))</f>
        <v>434.85714285714306</v>
      </c>
      <c r="AJ58" s="13">
        <f>AI58*VLOOKUP('Données projet'!$B$10,Paramètres!$A$1:$I$89,3,0)*VLOOKUP('Données projet'!$B$10,Paramètres!$A$1:$I$89,5,0)</f>
        <v>243.08514285714296</v>
      </c>
      <c r="AK58" s="13">
        <f t="shared" si="35"/>
        <v>59.102819748715035</v>
      </c>
      <c r="AL58" s="20">
        <f t="shared" si="4"/>
        <v>526.31070153853602</v>
      </c>
      <c r="AM58" s="59">
        <f t="shared" si="5"/>
        <v>788.8344623613508</v>
      </c>
      <c r="AN58" s="59">
        <f ca="1">AVERAGE(OFFSET($AM$3,0,0,'Données projet'!$E$10+1,1))-AVERAGE(OFFSET($H$3,0,0,'Données projet'!$E$10+1,1))</f>
        <v>363.98181065114898</v>
      </c>
      <c r="AO58" s="59">
        <f t="shared" si="36"/>
        <v>410.85213343666396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45.345637583238386</v>
      </c>
      <c r="AV58" s="21">
        <f>EXP(-LN(2)/25)*AV57+(1-EXP(-LN(2)/25))/(LN(2)/25)*Calculateur!AQ58*Calculateur!AS58*VLOOKUP('Données projet'!$B$10,Paramètres!$A$1:$I$89,3,0)*0.475*44/12</f>
        <v>50.089803123451127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95.435440706689519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61.597389315313123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12.324999999999998</v>
      </c>
      <c r="BD58" s="12">
        <f>IF('Données projet'!$A$88&gt;35,BD57+BC58-BL57,IF(A58&lt;'Données projet'!$A$88,$BA$205^A58,IF(A58='Données projet'!$A$88,'Données projet'!$B$88,BD57+BC58-BL57)))</f>
        <v>279.625</v>
      </c>
      <c r="BE58" s="13">
        <f>BD58*VLOOKUP('Données projet'!$B$11,Paramètres!$A$1:$I$89,3,0)*VLOOKUP('Données projet'!$B$11,Paramètres!$A$1:$I$89,5,0)</f>
        <v>244.28040000000001</v>
      </c>
      <c r="BF58" s="13">
        <f t="shared" si="37"/>
        <v>59.359529736886969</v>
      </c>
      <c r="BG58" s="20">
        <f t="shared" si="7"/>
        <v>528.8395442917448</v>
      </c>
      <c r="BH58" s="59">
        <f t="shared" si="8"/>
        <v>791.36330511455958</v>
      </c>
      <c r="BI58" s="59">
        <f ca="1">AVERAGE(OFFSET($BH$3,0,0,'Données projet'!$E$11+1,1))-AVERAGE(OFFSET($H$3,0,0,'Données projet'!$E$11+1,1))</f>
        <v>433.6995276469014</v>
      </c>
      <c r="BJ58" s="59">
        <f t="shared" si="38"/>
        <v>306.37969720280557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30.874212560762025</v>
      </c>
      <c r="BQ58" s="21">
        <f>EXP(-LN(2)/25)*BQ57+(1-EXP(-LN(2)/25))/(LN(2)/25)*Calculateur!BL58*Calculateur!BN58*VLOOKUP('Données projet'!$B$11,Paramètres!$A$1:$I$89,3,0)*0.475*44/12</f>
        <v>16.427182171308925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47.301394732070946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61.597389315313123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8.375</v>
      </c>
      <c r="BY58" s="12">
        <f>IF('Données projet'!$A$114&gt;35,BY57+BX58-CG57,IF(A58&lt;'Données projet'!$A$114,$BV$205^A58,IF(A58='Données projet'!$A$114,'Données projet'!$B$114,BY57+BX58-CG57)))</f>
        <v>106.75</v>
      </c>
      <c r="BZ58" s="13">
        <f>BY58*VLOOKUP('Données projet'!$B$12,Paramètres!$A$1:$I$89,3,0)*VLOOKUP('Données projet'!$B$12,Paramètres!$A$1:$I$89,5,0)</f>
        <v>103.24860000000001</v>
      </c>
      <c r="CA58" s="13">
        <f t="shared" si="39"/>
        <v>27.734485826972868</v>
      </c>
      <c r="CB58" s="20">
        <f t="shared" si="10"/>
        <v>228.12887448197773</v>
      </c>
      <c r="CC58" s="59">
        <f t="shared" si="11"/>
        <v>490.65263530479251</v>
      </c>
      <c r="CD58" s="59">
        <f ca="1">AVERAGE(OFFSET($CC$3,0,0,'Données projet'!$E$12+1,1))-AVERAGE(OFFSET($H$3,0,0,'Données projet'!$E$12+1,1))</f>
        <v>455.95436253828132</v>
      </c>
      <c r="CE58" s="59">
        <f t="shared" si="40"/>
        <v>64.829921296688497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2.7806098321487021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2.7806098321487021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61.597389315313123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9.375</v>
      </c>
      <c r="CT58" s="12">
        <f>IF('Données projet'!$A$140&gt;35,CT57+CS58-DB57,IF(A58&lt;'Données projet'!$A$140,$CQ$205^A58,IF(A58='Données projet'!$A$140,'Données projet'!$B$140,CT57+CS58-DB57)))</f>
        <v>250.12499999999989</v>
      </c>
      <c r="CU58" s="17">
        <f>CT58*VLOOKUP('Données projet'!$B$13,Paramètres!$A$1:$I$89,3,0)*VLOOKUP('Données projet'!$B$13,Paramètres!$A$1:$I$89,5,0)</f>
        <v>195.09749999999991</v>
      </c>
      <c r="CV58" s="13">
        <f t="shared" si="41"/>
        <v>48.66519532492579</v>
      </c>
      <c r="CW58" s="20">
        <f t="shared" si="13"/>
        <v>424.55336102424553</v>
      </c>
      <c r="CX58" s="59">
        <f t="shared" si="14"/>
        <v>687.07712184706031</v>
      </c>
      <c r="CY58" s="59">
        <f ca="1">AVERAGE(OFFSET($CX$3,0,0,'Données projet'!$E$13+1,1))-AVERAGE(OFFSET($H$3,0,0,'Données projet'!$E$13+1,1))</f>
        <v>306.44760579759713</v>
      </c>
      <c r="CZ58" s="59">
        <f t="shared" si="42"/>
        <v>300.30192123221718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8.8779016194575799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8.8779016194575799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61.597389315313123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61.597389315313123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61.597389315313123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61.597389315313123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61.597389315313123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4.4000000000000004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16.133333333333336</v>
      </c>
      <c r="H59" s="67">
        <f t="shared" si="1"/>
        <v>192.13333333333333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61.743155825269206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2.4750000000000014</v>
      </c>
      <c r="N59" s="13">
        <f>IF('Données projet'!$A$36&gt;35,N58+M59-V58,IF(A59&lt;'Données projet'!$A$36,$K$205^A59,IF(A59='Données projet'!$A$36,'Données projet'!$B$36,N58+M59-V58)))</f>
        <v>300.45000000000005</v>
      </c>
      <c r="O59" s="13">
        <f>N59*VLOOKUP('Données projet'!$B$9,Paramètres!$A$1:$I$89,3,0)*VLOOKUP('Données projet'!$B$9,Paramètres!$A$1:$I$89,5,0)</f>
        <v>179.66910000000004</v>
      </c>
      <c r="P59" s="13">
        <f t="shared" si="33"/>
        <v>45.248559131054236</v>
      </c>
      <c r="Q59" s="20">
        <f t="shared" si="53"/>
        <v>391.73158965325291</v>
      </c>
      <c r="R59" s="59">
        <f t="shared" si="0"/>
        <v>654.78982767924003</v>
      </c>
      <c r="S59" s="59">
        <f ca="1">AVERAGE(OFFSET($R$3,0,0,'Données projet'!$E$9+1,1))-AVERAGE(OFFSET($H$3,0,0,'Données projet'!$E$9+1,1))</f>
        <v>299.45724561493057</v>
      </c>
      <c r="T59" s="59">
        <f t="shared" si="34"/>
        <v>297.63369027443196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14.386200065435833</v>
      </c>
      <c r="AA59" s="21">
        <f>EXP(-LN(2)/25)*AA58+(1-EXP(-LN(2)/25))/(LN(2)/25)*Calculateur!V59*Calculateur!X59*VLOOKUP('Données projet'!$B$9,Paramètres!$A$1:$I$89,3,0)*0.475*44/12</f>
        <v>26.910088198233353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41.296288263669183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61.743155825269206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16.428571428571427</v>
      </c>
      <c r="AI59" s="13">
        <f>IF('Données projet'!$A$62&gt;35,AI58+AH59-AQ58,IF(A59&lt;'Données projet'!$A$62,$AF$205^A59,IF(A59='Données projet'!$A$62,'Données projet'!$B$62,AI58+AH59-AQ58)))</f>
        <v>451.2857142857145</v>
      </c>
      <c r="AJ59" s="13">
        <f>AI59*VLOOKUP('Données projet'!$B$10,Paramètres!$A$1:$I$89,3,0)*VLOOKUP('Données projet'!$B$10,Paramètres!$A$1:$I$89,5,0)</f>
        <v>252.2687142857144</v>
      </c>
      <c r="AK59" s="13">
        <f t="shared" si="35"/>
        <v>61.071496149027759</v>
      </c>
      <c r="AL59" s="20">
        <f t="shared" si="4"/>
        <v>545.73419984050929</v>
      </c>
      <c r="AM59" s="59">
        <f t="shared" si="5"/>
        <v>808.79243786649636</v>
      </c>
      <c r="AN59" s="59">
        <f ca="1">AVERAGE(OFFSET($AM$3,0,0,'Données projet'!$E$10+1,1))-AVERAGE(OFFSET($H$3,0,0,'Données projet'!$E$10+1,1))</f>
        <v>363.98181065114898</v>
      </c>
      <c r="AO59" s="59">
        <f t="shared" si="36"/>
        <v>410.85213343666396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44.456437288338996</v>
      </c>
      <c r="AV59" s="21">
        <f>EXP(-LN(2)/25)*AV58+(1-EXP(-LN(2)/25))/(LN(2)/25)*Calculateur!AQ59*Calculateur!AS59*VLOOKUP('Données projet'!$B$10,Paramètres!$A$1:$I$89,3,0)*0.475*44/12</f>
        <v>48.72009482293209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93.176532111271086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61.743155825269206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12.324999999999998</v>
      </c>
      <c r="BD59" s="12">
        <f>IF('Données projet'!$A$88&gt;35,BD58+BC59-BL58,IF(A59&lt;'Données projet'!$A$88,$BA$205^A59,IF(A59='Données projet'!$A$88,'Données projet'!$B$88,BD58+BC59-BL58)))</f>
        <v>291.95</v>
      </c>
      <c r="BE59" s="13">
        <f>BD59*VLOOKUP('Données projet'!$B$11,Paramètres!$A$1:$I$89,3,0)*VLOOKUP('Données projet'!$B$11,Paramètres!$A$1:$I$89,5,0)</f>
        <v>255.04752000000005</v>
      </c>
      <c r="BF59" s="13">
        <f t="shared" si="37"/>
        <v>61.665530666742399</v>
      </c>
      <c r="BG59" s="20">
        <f t="shared" si="7"/>
        <v>551.60856324457643</v>
      </c>
      <c r="BH59" s="59">
        <f t="shared" si="8"/>
        <v>814.66680127056361</v>
      </c>
      <c r="BI59" s="59">
        <f ca="1">AVERAGE(OFFSET($BH$3,0,0,'Données projet'!$E$11+1,1))-AVERAGE(OFFSET($H$3,0,0,'Données projet'!$E$11+1,1))</f>
        <v>433.6995276469014</v>
      </c>
      <c r="BJ59" s="59">
        <f t="shared" si="38"/>
        <v>306.37969720280557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30.268788083855696</v>
      </c>
      <c r="BQ59" s="21">
        <f>EXP(-LN(2)/25)*BQ58+(1-EXP(-LN(2)/25))/(LN(2)/25)*Calculateur!BL59*Calculateur!BN59*VLOOKUP('Données projet'!$B$11,Paramètres!$A$1:$I$89,3,0)*0.475*44/12</f>
        <v>15.977980010966517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46.246768094822215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61.743155825269206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8.375</v>
      </c>
      <c r="BY59" s="12">
        <f>IF('Données projet'!$A$114&gt;35,BY58+BX59-CG58,IF(A59&lt;'Données projet'!$A$114,$BV$205^A59,IF(A59='Données projet'!$A$114,'Données projet'!$B$114,BY58+BX59-CG58)))</f>
        <v>115.125</v>
      </c>
      <c r="BZ59" s="13">
        <f>BY59*VLOOKUP('Données projet'!$B$12,Paramètres!$A$1:$I$89,3,0)*VLOOKUP('Données projet'!$B$12,Paramètres!$A$1:$I$89,5,0)</f>
        <v>111.3489</v>
      </c>
      <c r="CA59" s="13">
        <f t="shared" si="39"/>
        <v>29.648570142963315</v>
      </c>
      <c r="CB59" s="20">
        <f t="shared" si="10"/>
        <v>245.57059383232777</v>
      </c>
      <c r="CC59" s="59">
        <f t="shared" si="11"/>
        <v>508.62883185831492</v>
      </c>
      <c r="CD59" s="59">
        <f ca="1">AVERAGE(OFFSET($CC$3,0,0,'Données projet'!$E$12+1,1))-AVERAGE(OFFSET($H$3,0,0,'Données projet'!$E$12+1,1))</f>
        <v>455.95436253828132</v>
      </c>
      <c r="CE59" s="59">
        <f t="shared" si="40"/>
        <v>64.829921296688497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2.7260837693447972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2.7260837693447972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61.743155825269206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9.375</v>
      </c>
      <c r="CT59" s="12">
        <f>IF('Données projet'!$A$140&gt;35,CT58+CS59-DB58,IF(A59&lt;'Données projet'!$A$140,$CQ$205^A59,IF(A59='Données projet'!$A$140,'Données projet'!$B$140,CT58+CS59-DB58)))</f>
        <v>259.49999999999989</v>
      </c>
      <c r="CU59" s="17">
        <f>CT59*VLOOKUP('Données projet'!$B$13,Paramètres!$A$1:$I$89,3,0)*VLOOKUP('Données projet'!$B$13,Paramètres!$A$1:$I$89,5,0)</f>
        <v>202.40999999999991</v>
      </c>
      <c r="CV59" s="13">
        <f t="shared" si="41"/>
        <v>50.273442991661817</v>
      </c>
      <c r="CW59" s="20">
        <f t="shared" si="13"/>
        <v>440.09032987714414</v>
      </c>
      <c r="CX59" s="59">
        <f t="shared" si="14"/>
        <v>703.14856790313127</v>
      </c>
      <c r="CY59" s="59">
        <f ca="1">AVERAGE(OFFSET($CX$3,0,0,'Données projet'!$E$13+1,1))-AVERAGE(OFFSET($H$3,0,0,'Données projet'!$E$13+1,1))</f>
        <v>306.44760579759713</v>
      </c>
      <c r="CZ59" s="59">
        <f t="shared" si="42"/>
        <v>300.30192123221718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8.7038113836853199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8.7038113836853199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61.743155825269206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61.743155825269206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61.743155825269206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61.743155825269206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61.743155825269206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4.4000000000000004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16.133333333333336</v>
      </c>
      <c r="H60" s="67">
        <f t="shared" si="1"/>
        <v>192.13333333333333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61.886393612162649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2.4750000000000014</v>
      </c>
      <c r="N60" s="13">
        <f>IF('Données projet'!$A$36&gt;35,N59+M60-V59,IF(A60&lt;'Données projet'!$A$36,$K$205^A60,IF(A60='Données projet'!$A$36,'Données projet'!$B$36,N59+M60-V59)))</f>
        <v>302.92500000000007</v>
      </c>
      <c r="O60" s="13">
        <f>N60*VLOOKUP('Données projet'!$B$9,Paramètres!$A$1:$I$89,3,0)*VLOOKUP('Données projet'!$B$9,Paramètres!$A$1:$I$89,5,0)</f>
        <v>181.14915000000008</v>
      </c>
      <c r="P60" s="13">
        <f t="shared" si="33"/>
        <v>45.577756100262611</v>
      </c>
      <c r="Q60" s="20">
        <f t="shared" si="53"/>
        <v>394.88269479129082</v>
      </c>
      <c r="R60" s="59">
        <f t="shared" si="0"/>
        <v>658.46613803588718</v>
      </c>
      <c r="S60" s="59">
        <f ca="1">AVERAGE(OFFSET($R$3,0,0,'Données projet'!$E$9+1,1))-AVERAGE(OFFSET($H$3,0,0,'Données projet'!$E$9+1,1))</f>
        <v>299.45724561493057</v>
      </c>
      <c r="T60" s="59">
        <f t="shared" si="34"/>
        <v>297.63369027443196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14.104095456868246</v>
      </c>
      <c r="AA60" s="21">
        <f>EXP(-LN(2)/25)*AA59+(1-EXP(-LN(2)/25))/(LN(2)/25)*Calculateur!V60*Calculateur!X60*VLOOKUP('Données projet'!$B$9,Paramètres!$A$1:$I$89,3,0)*0.475*44/12</f>
        <v>26.174230421312629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40.278325878180873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61.886393612162649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16.428571428571427</v>
      </c>
      <c r="AI60" s="13">
        <f>IF('Données projet'!$A$62&gt;35,AI59+AH60-AQ59,IF(A60&lt;'Données projet'!$A$62,$AF$205^A60,IF(A60='Données projet'!$A$62,'Données projet'!$B$62,AI59+AH60-AQ59)))</f>
        <v>467.71428571428595</v>
      </c>
      <c r="AJ60" s="13">
        <f>AI60*VLOOKUP('Données projet'!$B$10,Paramètres!$A$1:$I$89,3,0)*VLOOKUP('Données projet'!$B$10,Paramètres!$A$1:$I$89,5,0)</f>
        <v>261.45228571428589</v>
      </c>
      <c r="AK60" s="13">
        <f t="shared" si="35"/>
        <v>63.031846153602828</v>
      </c>
      <c r="AL60" s="20">
        <f t="shared" si="4"/>
        <v>565.14319633657283</v>
      </c>
      <c r="AM60" s="59">
        <f t="shared" si="5"/>
        <v>828.72663958116914</v>
      </c>
      <c r="AN60" s="59">
        <f ca="1">AVERAGE(OFFSET($AM$3,0,0,'Données projet'!$E$10+1,1))-AVERAGE(OFFSET($H$3,0,0,'Données projet'!$E$10+1,1))</f>
        <v>363.98181065114898</v>
      </c>
      <c r="AO60" s="59">
        <f t="shared" si="36"/>
        <v>410.85213343666396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43.584673668863957</v>
      </c>
      <c r="AV60" s="21">
        <f>EXP(-LN(2)/25)*AV59+(1-EXP(-LN(2)/25))/(LN(2)/25)*Calculateur!AQ60*Calculateur!AS60*VLOOKUP('Données projet'!$B$10,Paramètres!$A$1:$I$89,3,0)*0.475*44/12</f>
        <v>47.387841267920578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90.972514936784535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61.886393612162649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12.324999999999998</v>
      </c>
      <c r="BD60" s="12">
        <f>IF('Données projet'!$A$88&gt;35,BD59+BC60-BL59,IF(A60&lt;'Données projet'!$A$88,$BA$205^A60,IF(A60='Données projet'!$A$88,'Données projet'!$B$88,BD59+BC60-BL59)))</f>
        <v>304.27499999999998</v>
      </c>
      <c r="BE60" s="13">
        <f>BD60*VLOOKUP('Données projet'!$B$11,Paramètres!$A$1:$I$89,3,0)*VLOOKUP('Données projet'!$B$11,Paramètres!$A$1:$I$89,5,0)</f>
        <v>265.81464</v>
      </c>
      <c r="BF60" s="13">
        <f t="shared" si="37"/>
        <v>63.960224254172132</v>
      </c>
      <c r="BG60" s="20">
        <f t="shared" si="7"/>
        <v>574.35788857601642</v>
      </c>
      <c r="BH60" s="59">
        <f t="shared" si="8"/>
        <v>837.94133182061273</v>
      </c>
      <c r="BI60" s="59">
        <f ca="1">AVERAGE(OFFSET($BH$3,0,0,'Données projet'!$E$11+1,1))-AVERAGE(OFFSET($H$3,0,0,'Données projet'!$E$11+1,1))</f>
        <v>433.6995276469014</v>
      </c>
      <c r="BJ60" s="59">
        <f t="shared" si="38"/>
        <v>306.37969720280557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29.675235611669034</v>
      </c>
      <c r="BQ60" s="21">
        <f>EXP(-LN(2)/25)*BQ59+(1-EXP(-LN(2)/25))/(LN(2)/25)*Calculateur!BL60*Calculateur!BN60*VLOOKUP('Données projet'!$B$11,Paramètres!$A$1:$I$89,3,0)*0.475*44/12</f>
        <v>15.541061307321186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45.216296918990224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61.886393612162649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8.375</v>
      </c>
      <c r="BY60" s="12">
        <f>IF('Données projet'!$A$114&gt;35,BY59+BX60-CG59,IF(A60&lt;'Données projet'!$A$114,$BV$205^A60,IF(A60='Données projet'!$A$114,'Données projet'!$B$114,BY59+BX60-CG59)))</f>
        <v>123.5</v>
      </c>
      <c r="BZ60" s="13">
        <f>BY60*VLOOKUP('Données projet'!$B$12,Paramètres!$A$1:$I$89,3,0)*VLOOKUP('Données projet'!$B$12,Paramètres!$A$1:$I$89,5,0)</f>
        <v>119.44919999999999</v>
      </c>
      <c r="CA60" s="13">
        <f t="shared" si="39"/>
        <v>31.54649986262719</v>
      </c>
      <c r="CB60" s="20">
        <f t="shared" si="10"/>
        <v>262.98417726074234</v>
      </c>
      <c r="CC60" s="59">
        <f t="shared" si="11"/>
        <v>526.56762050533871</v>
      </c>
      <c r="CD60" s="59">
        <f ca="1">AVERAGE(OFFSET($CC$3,0,0,'Données projet'!$E$12+1,1))-AVERAGE(OFFSET($H$3,0,0,'Données projet'!$E$12+1,1))</f>
        <v>455.95436253828132</v>
      </c>
      <c r="CE60" s="59">
        <f t="shared" si="40"/>
        <v>64.829921296688497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2.6726269293748626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2.6726269293748626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61.886393612162649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9.375</v>
      </c>
      <c r="CT60" s="12">
        <f>IF('Données projet'!$A$140&gt;35,CT59+CS60-DB59,IF(A60&lt;'Données projet'!$A$140,$CQ$205^A60,IF(A60='Données projet'!$A$140,'Données projet'!$B$140,CT59+CS60-DB59)))</f>
        <v>268.87499999999989</v>
      </c>
      <c r="CU60" s="17">
        <f>CT60*VLOOKUP('Données projet'!$B$13,Paramètres!$A$1:$I$89,3,0)*VLOOKUP('Données projet'!$B$13,Paramètres!$A$1:$I$89,5,0)</f>
        <v>209.72249999999991</v>
      </c>
      <c r="CV60" s="13">
        <f t="shared" si="41"/>
        <v>51.874940300502246</v>
      </c>
      <c r="CW60" s="20">
        <f t="shared" si="13"/>
        <v>455.61554185670792</v>
      </c>
      <c r="CX60" s="59">
        <f t="shared" si="14"/>
        <v>719.19898510130429</v>
      </c>
      <c r="CY60" s="59">
        <f ca="1">AVERAGE(OFFSET($CX$3,0,0,'Données projet'!$E$13+1,1))-AVERAGE(OFFSET($H$3,0,0,'Données projet'!$E$13+1,1))</f>
        <v>306.44760579759713</v>
      </c>
      <c r="CZ60" s="59">
        <f t="shared" si="42"/>
        <v>300.30192123221718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8.5331349512519949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8.5331349512519949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61.886393612162649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61.886393612162649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61.886393612162649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61.886393612162649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61.886393612162649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4.4000000000000004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16.133333333333336</v>
      </c>
      <c r="H61" s="67">
        <f t="shared" si="1"/>
        <v>192.13333333333333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62.027146543685213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2.4750000000000014</v>
      </c>
      <c r="N61" s="13">
        <f>IF('Données projet'!$A$36&gt;35,N60+M61-V60,IF(A61&lt;'Données projet'!$A$36,$K$205^A61,IF(A61='Données projet'!$A$36,'Données projet'!$B$36,N60+M61-V60)))</f>
        <v>305.40000000000009</v>
      </c>
      <c r="O61" s="13">
        <f>N61*VLOOKUP('Données projet'!$B$9,Paramètres!$A$1:$I$89,3,0)*VLOOKUP('Données projet'!$B$9,Paramètres!$A$1:$I$89,5,0)</f>
        <v>182.62920000000005</v>
      </c>
      <c r="P61" s="13">
        <f t="shared" si="33"/>
        <v>45.906640139248182</v>
      </c>
      <c r="Q61" s="20">
        <f t="shared" si="53"/>
        <v>398.0332549091907</v>
      </c>
      <c r="R61" s="59">
        <f t="shared" si="0"/>
        <v>662.13279223603649</v>
      </c>
      <c r="S61" s="59">
        <f ca="1">AVERAGE(OFFSET($R$3,0,0,'Données projet'!$E$9+1,1))-AVERAGE(OFFSET($H$3,0,0,'Données projet'!$E$9+1,1))</f>
        <v>299.45724561493057</v>
      </c>
      <c r="T61" s="59">
        <f t="shared" si="34"/>
        <v>297.63369027443196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13.827522747607848</v>
      </c>
      <c r="AA61" s="21">
        <f>EXP(-LN(2)/25)*AA60+(1-EXP(-LN(2)/25))/(LN(2)/25)*Calculateur!V61*Calculateur!X61*VLOOKUP('Données projet'!$B$9,Paramètres!$A$1:$I$89,3,0)*0.475*44/12</f>
        <v>25.458494713998878</v>
      </c>
      <c r="AB61" s="21">
        <f>EXP(-LN(2)/2)*AB60+(1-EXP(-LN(2)/2))/(LN(2)/2)*V61*Y61*VLOOKUP('Données projet'!$B$9,Paramètres!$A$1:$I$89,3,0)*0.475*44/12</f>
        <v>0</v>
      </c>
      <c r="AC61" s="22">
        <f t="shared" si="3"/>
        <v>39.286017461606725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62.027146543685213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16.428571428571427</v>
      </c>
      <c r="AI61" s="13">
        <f>IF('Données projet'!$A$62&gt;35,AI60+AH61-AQ60,IF(A61&lt;'Données projet'!$A$62,$AF$205^A61,IF(A61='Données projet'!$A$62,'Données projet'!$B$62,AI60+AH61-AQ60)))</f>
        <v>484.14285714285739</v>
      </c>
      <c r="AJ61" s="13">
        <f>AI61*VLOOKUP('Données projet'!$B$10,Paramètres!$A$1:$I$89,3,0)*VLOOKUP('Données projet'!$B$10,Paramètres!$A$1:$I$89,5,0)</f>
        <v>270.63585714285728</v>
      </c>
      <c r="AK61" s="13">
        <f t="shared" si="35"/>
        <v>64.98419574180447</v>
      </c>
      <c r="AL61" s="20">
        <f t="shared" si="4"/>
        <v>584.53825877411907</v>
      </c>
      <c r="AM61" s="59">
        <f t="shared" si="5"/>
        <v>848.63779610096481</v>
      </c>
      <c r="AN61" s="59">
        <f ca="1">AVERAGE(OFFSET($AM$3,0,0,'Données projet'!$E$10+1,1))-AVERAGE(OFFSET($H$3,0,0,'Données projet'!$E$10+1,1))</f>
        <v>363.98181065114898</v>
      </c>
      <c r="AO61" s="59">
        <f t="shared" si="36"/>
        <v>410.85213343666396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42.730004802243521</v>
      </c>
      <c r="AV61" s="21">
        <f>EXP(-LN(2)/25)*AV60+(1-EXP(-LN(2)/25))/(LN(2)/25)*Calculateur!AQ61*Calculateur!AS61*VLOOKUP('Données projet'!$B$10,Paramètres!$A$1:$I$89,3,0)*0.475*44/12</f>
        <v>46.092018256431025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88.822023058674546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62.027146543685213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12.324999999999998</v>
      </c>
      <c r="BD61" s="12">
        <f>IF('Données projet'!$A$88&gt;35,BD60+BC61-BL60,IF(A61&lt;'Données projet'!$A$88,$BA$205^A61,IF(A61='Données projet'!$A$88,'Données projet'!$B$88,BD60+BC61-BL60)))</f>
        <v>316.59999999999997</v>
      </c>
      <c r="BE61" s="13">
        <f>BD61*VLOOKUP('Données projet'!$B$11,Paramètres!$A$1:$I$89,3,0)*VLOOKUP('Données projet'!$B$11,Paramètres!$A$1:$I$89,5,0)</f>
        <v>276.58175999999997</v>
      </c>
      <c r="BF61" s="13">
        <f t="shared" si="37"/>
        <v>66.244120909848903</v>
      </c>
      <c r="BG61" s="20">
        <f t="shared" si="7"/>
        <v>597.08840925132006</v>
      </c>
      <c r="BH61" s="59">
        <f t="shared" si="8"/>
        <v>861.18794657816579</v>
      </c>
      <c r="BI61" s="59">
        <f ca="1">AVERAGE(OFFSET($BH$3,0,0,'Données projet'!$E$11+1,1))-AVERAGE(OFFSET($H$3,0,0,'Données projet'!$E$11+1,1))</f>
        <v>433.6995276469014</v>
      </c>
      <c r="BJ61" s="59">
        <f t="shared" si="38"/>
        <v>306.37969720280557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29.093322341430692</v>
      </c>
      <c r="BQ61" s="21">
        <f>EXP(-LN(2)/25)*BQ60+(1-EXP(-LN(2)/25))/(LN(2)/25)*Calculateur!BL61*Calculateur!BN61*VLOOKUP('Données projet'!$B$11,Paramètres!$A$1:$I$89,3,0)*0.475*44/12</f>
        <v>15.116090168603593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44.209412510034284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62.027146543685213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8.375</v>
      </c>
      <c r="BY61" s="12">
        <f>IF('Données projet'!$A$114&gt;35,BY60+BX61-CG60,IF(A61&lt;'Données projet'!$A$114,$BV$205^A61,IF(A61='Données projet'!$A$114,'Données projet'!$B$114,BY60+BX61-CG60)))</f>
        <v>131.875</v>
      </c>
      <c r="BZ61" s="13">
        <f>BY61*VLOOKUP('Données projet'!$B$12,Paramètres!$A$1:$I$89,3,0)*VLOOKUP('Données projet'!$B$12,Paramètres!$A$1:$I$89,5,0)</f>
        <v>127.54950000000001</v>
      </c>
      <c r="CA61" s="13">
        <f t="shared" si="39"/>
        <v>33.429495125876585</v>
      </c>
      <c r="CB61" s="20">
        <f t="shared" si="10"/>
        <v>280.37174984423507</v>
      </c>
      <c r="CC61" s="59">
        <f t="shared" si="11"/>
        <v>544.4712871710808</v>
      </c>
      <c r="CD61" s="59">
        <f ca="1">AVERAGE(OFFSET($CC$3,0,0,'Données projet'!$E$12+1,1))-AVERAGE(OFFSET($H$3,0,0,'Données projet'!$E$12+1,1))</f>
        <v>455.95436253828132</v>
      </c>
      <c r="CE61" s="59">
        <f t="shared" si="40"/>
        <v>64.829921296688497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2.6202183454312853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2.6202183454312853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62.027146543685213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9.375</v>
      </c>
      <c r="CT61" s="12">
        <f>IF('Données projet'!$A$140&gt;35,CT60+CS61-DB60,IF(A61&lt;'Données projet'!$A$140,$CQ$205^A61,IF(A61='Données projet'!$A$140,'Données projet'!$B$140,CT60+CS61-DB60)))</f>
        <v>278.24999999999989</v>
      </c>
      <c r="CU61" s="17">
        <f>CT61*VLOOKUP('Données projet'!$B$13,Paramètres!$A$1:$I$89,3,0)*VLOOKUP('Données projet'!$B$13,Paramètres!$A$1:$I$89,5,0)</f>
        <v>217.03499999999991</v>
      </c>
      <c r="CV61" s="13">
        <f t="shared" si="41"/>
        <v>53.469949591969474</v>
      </c>
      <c r="CW61" s="20">
        <f t="shared" si="13"/>
        <v>471.12945387267996</v>
      </c>
      <c r="CX61" s="59">
        <f t="shared" si="14"/>
        <v>735.22899119952581</v>
      </c>
      <c r="CY61" s="59">
        <f ca="1">AVERAGE(OFFSET($CX$3,0,0,'Données projet'!$E$13+1,1))-AVERAGE(OFFSET($H$3,0,0,'Données projet'!$E$13+1,1))</f>
        <v>306.44760579759713</v>
      </c>
      <c r="CZ61" s="59">
        <f t="shared" si="42"/>
        <v>300.30192123221718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8.3658053795563418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8.3658053795563418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62.027146543685213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62.027146543685213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62.027146543685213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62.027146543685213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62.027146543685213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4.4000000000000004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16.133333333333336</v>
      </c>
      <c r="H62" s="67">
        <f t="shared" si="1"/>
        <v>192.13333333333333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62.165457726522263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2.4750000000000014</v>
      </c>
      <c r="N62" s="13">
        <f>IF('Données projet'!$A$36&gt;35,N61+M62-V61,IF(A62&lt;'Données projet'!$A$36,$K$205^A62,IF(A62='Données projet'!$A$36,'Données projet'!$B$36,N61+M62-V61)))</f>
        <v>307.87500000000011</v>
      </c>
      <c r="O62" s="13">
        <f>N62*VLOOKUP('Données projet'!$B$9,Paramètres!$A$1:$I$89,3,0)*VLOOKUP('Données projet'!$B$9,Paramètres!$A$1:$I$89,5,0)</f>
        <v>184.10925000000009</v>
      </c>
      <c r="P62" s="13">
        <f t="shared" si="33"/>
        <v>46.235214077957437</v>
      </c>
      <c r="Q62" s="20">
        <f t="shared" si="53"/>
        <v>401.18327493577596</v>
      </c>
      <c r="R62" s="59">
        <f t="shared" si="0"/>
        <v>665.78995326635754</v>
      </c>
      <c r="S62" s="59">
        <f ca="1">AVERAGE(OFFSET($R$3,0,0,'Données projet'!$E$9+1,1))-AVERAGE(OFFSET($H$3,0,0,'Données projet'!$E$9+1,1))</f>
        <v>299.45724561493057</v>
      </c>
      <c r="T62" s="59">
        <f t="shared" si="34"/>
        <v>297.63369027443196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13.55637346048335</v>
      </c>
      <c r="AA62" s="21">
        <f>EXP(-LN(2)/25)*AA61+(1-EXP(-LN(2)/25))/(LN(2)/25)*Calculateur!V62*Calculateur!X62*VLOOKUP('Données projet'!$B$9,Paramètres!$A$1:$I$89,3,0)*0.475*44/12</f>
        <v>24.762330837240526</v>
      </c>
      <c r="AB62" s="21">
        <f>EXP(-LN(2)/2)*AB61+(1-EXP(-LN(2)/2))/(LN(2)/2)*V62*Y62*VLOOKUP('Données projet'!$B$9,Paramètres!$A$1:$I$89,3,0)*0.475*44/12</f>
        <v>0</v>
      </c>
      <c r="AC62" s="22">
        <f t="shared" si="3"/>
        <v>38.318704297723876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62.165457726522263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16.428571428571427</v>
      </c>
      <c r="AI62" s="13">
        <f>IF('Données projet'!$A$62&gt;35,AI61+AH62-AQ61,IF(A62&lt;'Données projet'!$A$62,$AF$205^A62,IF(A62='Données projet'!$A$62,'Données projet'!$B$62,AI61+AH62-AQ61)))</f>
        <v>500.57142857142884</v>
      </c>
      <c r="AJ62" s="13">
        <f>AI62*VLOOKUP('Données projet'!$B$10,Paramètres!$A$1:$I$89,3,0)*VLOOKUP('Données projet'!$B$10,Paramètres!$A$1:$I$89,5,0)</f>
        <v>279.81942857142872</v>
      </c>
      <c r="AK62" s="13">
        <f t="shared" si="35"/>
        <v>66.928847514833734</v>
      </c>
      <c r="AL62" s="20">
        <f t="shared" si="4"/>
        <v>603.91991418357372</v>
      </c>
      <c r="AM62" s="59">
        <f t="shared" si="5"/>
        <v>868.52659251415537</v>
      </c>
      <c r="AN62" s="59">
        <f ca="1">AVERAGE(OFFSET($AM$3,0,0,'Données projet'!$E$10+1,1))-AVERAGE(OFFSET($H$3,0,0,'Données projet'!$E$10+1,1))</f>
        <v>363.98181065114898</v>
      </c>
      <c r="AO62" s="59">
        <f t="shared" si="36"/>
        <v>410.85213343666396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41.892095470800975</v>
      </c>
      <c r="AV62" s="21">
        <f>EXP(-LN(2)/25)*AV61+(1-EXP(-LN(2)/25))/(LN(2)/25)*Calculateur!AQ62*Calculateur!AS62*VLOOKUP('Données projet'!$B$10,Paramètres!$A$1:$I$89,3,0)*0.475*44/12</f>
        <v>44.831629593335023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86.723725064136005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62.165457726522263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12.324999999999998</v>
      </c>
      <c r="BD62" s="12">
        <f>IF('Données projet'!$A$88&gt;35,BD61+BC62-BL61,IF(A62&lt;'Données projet'!$A$88,$BA$205^A62,IF(A62='Données projet'!$A$88,'Données projet'!$B$88,BD61+BC62-BL61)))</f>
        <v>328.92499999999995</v>
      </c>
      <c r="BE62" s="13">
        <f>BD62*VLOOKUP('Données projet'!$B$11,Paramètres!$A$1:$I$89,3,0)*VLOOKUP('Données projet'!$B$11,Paramètres!$A$1:$I$89,5,0)</f>
        <v>287.34887999999995</v>
      </c>
      <c r="BF62" s="13">
        <f t="shared" si="37"/>
        <v>68.517689054473152</v>
      </c>
      <c r="BG62" s="20">
        <f t="shared" si="7"/>
        <v>619.80094110320726</v>
      </c>
      <c r="BH62" s="59">
        <f t="shared" si="8"/>
        <v>884.40761943378891</v>
      </c>
      <c r="BI62" s="59">
        <f ca="1">AVERAGE(OFFSET($BH$3,0,0,'Données projet'!$E$11+1,1))-AVERAGE(OFFSET($H$3,0,0,'Données projet'!$E$11+1,1))</f>
        <v>433.6995276469014</v>
      </c>
      <c r="BJ62" s="59">
        <f t="shared" si="38"/>
        <v>306.37969720280557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28.522820035489673</v>
      </c>
      <c r="BQ62" s="21">
        <f>EXP(-LN(2)/25)*BQ61+(1-EXP(-LN(2)/25))/(LN(2)/25)*Calculateur!BL62*Calculateur!BN62*VLOOKUP('Données projet'!$B$11,Paramètres!$A$1:$I$89,3,0)*0.475*44/12</f>
        <v>14.702739888022494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43.225559923512165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62.165457726522263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8.375</v>
      </c>
      <c r="BY62" s="12">
        <f>IF('Données projet'!$A$114&gt;35,BY61+BX62-CG61,IF(A62&lt;'Données projet'!$A$114,$BV$205^A62,IF(A62='Données projet'!$A$114,'Données projet'!$B$114,BY61+BX62-CG61)))</f>
        <v>140.25</v>
      </c>
      <c r="BZ62" s="13">
        <f>BY62*VLOOKUP('Données projet'!$B$12,Paramètres!$A$1:$I$89,3,0)*VLOOKUP('Données projet'!$B$12,Paramètres!$A$1:$I$89,5,0)</f>
        <v>135.6498</v>
      </c>
      <c r="CA62" s="13">
        <f t="shared" si="39"/>
        <v>35.298612336565817</v>
      </c>
      <c r="CB62" s="20">
        <f t="shared" si="10"/>
        <v>297.73515148618543</v>
      </c>
      <c r="CC62" s="59">
        <f t="shared" si="11"/>
        <v>562.34182981676713</v>
      </c>
      <c r="CD62" s="59">
        <f ca="1">AVERAGE(OFFSET($CC$3,0,0,'Données projet'!$E$12+1,1))-AVERAGE(OFFSET($H$3,0,0,'Données projet'!$E$12+1,1))</f>
        <v>455.95436253828132</v>
      </c>
      <c r="CE62" s="59">
        <f t="shared" si="40"/>
        <v>64.829921296688497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2.5688374618527616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2.5688374618527616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62.165457726522263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9.375</v>
      </c>
      <c r="CT62" s="12">
        <f>IF('Données projet'!$A$140&gt;35,CT61+CS62-DB61,IF(A62&lt;'Données projet'!$A$140,$CQ$205^A62,IF(A62='Données projet'!$A$140,'Données projet'!$B$140,CT61+CS62-DB61)))</f>
        <v>287.62499999999989</v>
      </c>
      <c r="CU62" s="17">
        <f>CT62*VLOOKUP('Données projet'!$B$13,Paramètres!$A$1:$I$89,3,0)*VLOOKUP('Données projet'!$B$13,Paramètres!$A$1:$I$89,5,0)</f>
        <v>224.34749999999991</v>
      </c>
      <c r="CV62" s="13">
        <f t="shared" si="41"/>
        <v>55.058714525680429</v>
      </c>
      <c r="CW62" s="20">
        <f t="shared" si="13"/>
        <v>486.63249029889329</v>
      </c>
      <c r="CX62" s="59">
        <f t="shared" si="14"/>
        <v>751.23916862947499</v>
      </c>
      <c r="CY62" s="59">
        <f ca="1">AVERAGE(OFFSET($CX$3,0,0,'Données projet'!$E$13+1,1))-AVERAGE(OFFSET($H$3,0,0,'Données projet'!$E$13+1,1))</f>
        <v>306.44760579759713</v>
      </c>
      <c r="CZ62" s="59">
        <f t="shared" si="42"/>
        <v>300.30192123221718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8.2017570387006806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8.2017570387006806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62.165457726522263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62.165457726522263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62.165457726522263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62.165457726522263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62.165457726522263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4.4000000000000004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16.133333333333336</v>
      </c>
      <c r="H63" s="67">
        <f t="shared" si="1"/>
        <v>192.13333333333333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62.301369519554584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2.4750000000000014</v>
      </c>
      <c r="N63" s="13">
        <f>IF('Données projet'!$A$36&gt;35,N62+M63-V62,IF(A63&lt;'Données projet'!$A$36,$K$205^A63,IF(A63='Données projet'!$A$36,'Données projet'!$B$36,N62+M63-V62)))</f>
        <v>310.35000000000014</v>
      </c>
      <c r="O63" s="13">
        <f>N63*VLOOKUP('Données projet'!$B$9,Paramètres!$A$1:$I$89,3,0)*VLOOKUP('Données projet'!$B$9,Paramètres!$A$1:$I$89,5,0)</f>
        <v>185.58930000000012</v>
      </c>
      <c r="P63" s="13">
        <f t="shared" si="33"/>
        <v>46.563480698210078</v>
      </c>
      <c r="Q63" s="20">
        <f t="shared" si="53"/>
        <v>404.3327597160494</v>
      </c>
      <c r="R63" s="59">
        <f t="shared" si="0"/>
        <v>669.43778128774954</v>
      </c>
      <c r="S63" s="59">
        <f ca="1">AVERAGE(OFFSET($R$3,0,0,'Données projet'!$E$9+1,1))-AVERAGE(OFFSET($H$3,0,0,'Données projet'!$E$9+1,1))</f>
        <v>299.45724561493057</v>
      </c>
      <c r="T63" s="59">
        <f t="shared" si="34"/>
        <v>297.63369027443196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13.290541245494628</v>
      </c>
      <c r="AA63" s="21">
        <f>EXP(-LN(2)/25)*AA62+(1-EXP(-LN(2)/25))/(LN(2)/25)*Calculateur!V63*Calculateur!X63*VLOOKUP('Données projet'!$B$9,Paramètres!$A$1:$I$89,3,0)*0.475*44/12</f>
        <v>24.085203598301799</v>
      </c>
      <c r="AB63" s="21">
        <f>EXP(-LN(2)/2)*AB62+(1-EXP(-LN(2)/2))/(LN(2)/2)*V63*Y63*VLOOKUP('Données projet'!$B$9,Paramètres!$A$1:$I$89,3,0)*0.475*44/12</f>
        <v>0</v>
      </c>
      <c r="AC63" s="22">
        <f t="shared" si="3"/>
        <v>37.375744843796426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62.301369519554584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517</v>
      </c>
      <c r="AG63" s="12">
        <f>VLOOKUP(A63,'Données projet'!$A$61:$I$81,9,0)</f>
        <v>16.428571428571427</v>
      </c>
      <c r="AH63" s="12">
        <f t="array" ref="AH63">INDEX(AG:AG,MIN(IF(ISNUMBER(AG63:AG259),ROW(AG63:AG259),"")))</f>
        <v>16.428571428571427</v>
      </c>
      <c r="AI63" s="13">
        <f>IF('Données projet'!$A$62&gt;35,AI62+AH63-AQ62,IF(A63&lt;'Données projet'!$A$62,$AF$205^A63,IF(A63='Données projet'!$A$62,'Données projet'!$B$62,AI62+AH63-AQ62)))</f>
        <v>517.00000000000023</v>
      </c>
      <c r="AJ63" s="13">
        <f>AI63*VLOOKUP('Données projet'!$B$10,Paramètres!$A$1:$I$89,3,0)*VLOOKUP('Données projet'!$B$10,Paramètres!$A$1:$I$89,5,0)</f>
        <v>289.0030000000001</v>
      </c>
      <c r="AK63" s="13">
        <f t="shared" si="35"/>
        <v>68.866083084015429</v>
      </c>
      <c r="AL63" s="20">
        <f t="shared" si="4"/>
        <v>623.28865303799364</v>
      </c>
      <c r="AM63" s="59">
        <f t="shared" si="5"/>
        <v>888.39367460969379</v>
      </c>
      <c r="AN63" s="59">
        <f ca="1">AVERAGE(OFFSET($AM$3,0,0,'Données projet'!$E$10+1,1))-AVERAGE(OFFSET($H$3,0,0,'Données projet'!$E$10+1,1))</f>
        <v>363.98181065114898</v>
      </c>
      <c r="AO63" s="59">
        <f t="shared" si="36"/>
        <v>410.85213343666396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97</v>
      </c>
      <c r="AR63" s="16">
        <f>IF(ISNA(VLOOKUP(A63,'Données projet'!$A$61:$I$81,5,0)),0%,VLOOKUP(A63,'Données projet'!$A$61:$I$81,5,0)*VLOOKUP('Données projet'!$B$10,Paramètres!$A$1:$I$89,7,0))</f>
        <v>0.38500000000000001</v>
      </c>
      <c r="AS63" s="16">
        <f>IF(ISNA(VLOOKUP(A63,'Données projet'!$A$61:$I$81,6,0)),0%,VLOOKUP(A63,'Données projet'!$A$61:$I$81,6,0)*VLOOKUP('Données projet'!$B$10,Paramètres!$A$1:$I$89,7,0))</f>
        <v>0.16500000000000001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68.763784250183591</v>
      </c>
      <c r="AV63" s="21">
        <f>EXP(-LN(2)/25)*AV62+(1-EXP(-LN(2)/25))/(LN(2)/25)*Calculateur!AQ63*Calculateur!AS63*VLOOKUP('Données projet'!$B$10,Paramètres!$A$1:$I$89,3,0)*0.475*44/12</f>
        <v>55.427475753929933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124.19126000411353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62.301369519554584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12.324999999999998</v>
      </c>
      <c r="BD63" s="12">
        <f>IF('Données projet'!$A$88&gt;35,BD62+BC63-BL62,IF(A63&lt;'Données projet'!$A$88,$BA$205^A63,IF(A63='Données projet'!$A$88,'Données projet'!$B$88,BD62+BC63-BL62)))</f>
        <v>341.24999999999994</v>
      </c>
      <c r="BE63" s="13">
        <f>BD63*VLOOKUP('Données projet'!$B$11,Paramètres!$A$1:$I$89,3,0)*VLOOKUP('Données projet'!$B$11,Paramètres!$A$1:$I$89,5,0)</f>
        <v>298.11599999999999</v>
      </c>
      <c r="BF63" s="13">
        <f t="shared" si="37"/>
        <v>70.781360016116508</v>
      </c>
      <c r="BG63" s="20">
        <f t="shared" si="7"/>
        <v>642.49623536140291</v>
      </c>
      <c r="BH63" s="59">
        <f t="shared" si="8"/>
        <v>907.60125693310306</v>
      </c>
      <c r="BI63" s="59">
        <f ca="1">AVERAGE(OFFSET($BH$3,0,0,'Données projet'!$E$11+1,1))-AVERAGE(OFFSET($H$3,0,0,'Données projet'!$E$11+1,1))</f>
        <v>433.6995276469014</v>
      </c>
      <c r="BJ63" s="59">
        <f t="shared" si="38"/>
        <v>306.37969720280557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27.963504931796113</v>
      </c>
      <c r="BQ63" s="21">
        <f>EXP(-LN(2)/25)*BQ62+(1-EXP(-LN(2)/25))/(LN(2)/25)*Calculateur!BL63*Calculateur!BN63*VLOOKUP('Données projet'!$B$11,Paramètres!$A$1:$I$89,3,0)*0.475*44/12</f>
        <v>14.300692692601032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42.264197624397141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62.301369519554584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8.375</v>
      </c>
      <c r="BY63" s="12">
        <f>IF('Données projet'!$A$114&gt;35,BY62+BX63-CG62,IF(A63&lt;'Données projet'!$A$114,$BV$205^A63,IF(A63='Données projet'!$A$114,'Données projet'!$B$114,BY62+BX63-CG62)))</f>
        <v>148.625</v>
      </c>
      <c r="BZ63" s="13">
        <f>BY63*VLOOKUP('Données projet'!$B$12,Paramètres!$A$1:$I$89,3,0)*VLOOKUP('Données projet'!$B$12,Paramètres!$A$1:$I$89,5,0)</f>
        <v>143.7501</v>
      </c>
      <c r="CA63" s="13">
        <f t="shared" si="39"/>
        <v>37.154774604766416</v>
      </c>
      <c r="CB63" s="20">
        <f t="shared" si="10"/>
        <v>315.07598993663481</v>
      </c>
      <c r="CC63" s="59">
        <f t="shared" si="11"/>
        <v>580.1810115083349</v>
      </c>
      <c r="CD63" s="59">
        <f ca="1">AVERAGE(OFFSET($CC$3,0,0,'Données projet'!$E$12+1,1))-AVERAGE(OFFSET($H$3,0,0,'Données projet'!$E$12+1,1))</f>
        <v>455.95436253828132</v>
      </c>
      <c r="CE63" s="59">
        <f t="shared" si="40"/>
        <v>64.829921296688497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2.5184641260619687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2.5184641260619687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62.301369519554584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297</v>
      </c>
      <c r="CR63" s="12">
        <f>VLOOKUP(A63,'Données projet'!$A$139:$I$159,9,0)</f>
        <v>9.375</v>
      </c>
      <c r="CS63" s="12">
        <f t="array" ref="CS63">INDEX(CR:CR,MIN(IF(ISNUMBER(CR63:CR259),ROW(CR63:CR259),"")))</f>
        <v>9.375</v>
      </c>
      <c r="CT63" s="12">
        <f>IF('Données projet'!$A$140&gt;35,CT62+CS63-DB62,IF(A63&lt;'Données projet'!$A$140,$CQ$205^A63,IF(A63='Données projet'!$A$140,'Données projet'!$B$140,CT62+CS63-DB62)))</f>
        <v>296.99999999999989</v>
      </c>
      <c r="CU63" s="17">
        <f>CT63*VLOOKUP('Données projet'!$B$13,Paramètres!$A$1:$I$89,3,0)*VLOOKUP('Données projet'!$B$13,Paramètres!$A$1:$I$89,5,0)</f>
        <v>231.65999999999991</v>
      </c>
      <c r="CV63" s="13">
        <f t="shared" si="41"/>
        <v>56.641461975682766</v>
      </c>
      <c r="CW63" s="20">
        <f t="shared" si="13"/>
        <v>502.125046274314</v>
      </c>
      <c r="CX63" s="59">
        <f t="shared" si="14"/>
        <v>767.23006784601421</v>
      </c>
      <c r="CY63" s="59">
        <f ca="1">AVERAGE(OFFSET($CX$3,0,0,'Données projet'!$E$13+1,1))-AVERAGE(OFFSET($H$3,0,0,'Données projet'!$E$13+1,1))</f>
        <v>306.44760579759713</v>
      </c>
      <c r="CZ63" s="59">
        <f t="shared" si="42"/>
        <v>300.30192123221718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47</v>
      </c>
      <c r="DC63" s="16">
        <f>IF(ISNA(VLOOKUP(A63,'Données projet'!$A$139:$I$159,5,0)),0%,VLOOKUP(A63,'Données projet'!$A$139:$I$159,5,0)*VLOOKUP('Données projet'!$B$13,Paramètres!$A$1:$I$89,7,0))</f>
        <v>0.25800000000000001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18.496773967078504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18.496773967078504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62.301369519554584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62.301369519554584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62.301369519554584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62.301369519554584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62.301369519554584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4.4000000000000004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16.133333333333336</v>
      </c>
      <c r="H64" s="67">
        <f t="shared" si="1"/>
        <v>192.13333333333333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62.434923546831037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2.4750000000000014</v>
      </c>
      <c r="N64" s="13">
        <f>IF('Données projet'!$A$36&gt;35,N63+M64-V63,IF(A64&lt;'Données projet'!$A$36,$K$205^A64,IF(A64='Données projet'!$A$36,'Données projet'!$B$36,N63+M64-V63)))</f>
        <v>312.82500000000016</v>
      </c>
      <c r="O64" s="13">
        <f>N64*VLOOKUP('Données projet'!$B$9,Paramètres!$A$1:$I$89,3,0)*VLOOKUP('Données projet'!$B$9,Paramètres!$A$1:$I$89,5,0)</f>
        <v>187.0693500000001</v>
      </c>
      <c r="P64" s="13">
        <f t="shared" si="33"/>
        <v>46.891442734894476</v>
      </c>
      <c r="Q64" s="20">
        <f t="shared" si="53"/>
        <v>407.48171401327471</v>
      </c>
      <c r="R64" s="59">
        <f t="shared" si="0"/>
        <v>673.07643368498861</v>
      </c>
      <c r="S64" s="59">
        <f ca="1">AVERAGE(OFFSET($R$3,0,0,'Données projet'!$E$9+1,1))-AVERAGE(OFFSET($H$3,0,0,'Données projet'!$E$9+1,1))</f>
        <v>299.45724561493057</v>
      </c>
      <c r="T64" s="59">
        <f t="shared" si="34"/>
        <v>297.63369027443196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13.029921838100195</v>
      </c>
      <c r="AA64" s="21">
        <f>EXP(-LN(2)/25)*AA63+(1-EXP(-LN(2)/25))/(LN(2)/25)*Calculateur!V64*Calculateur!X64*VLOOKUP('Données projet'!$B$9,Paramètres!$A$1:$I$89,3,0)*0.475*44/12</f>
        <v>23.426592439320427</v>
      </c>
      <c r="AB64" s="21">
        <f>EXP(-LN(2)/2)*AB63+(1-EXP(-LN(2)/2))/(LN(2)/2)*V64*Y64*VLOOKUP('Données projet'!$B$9,Paramètres!$A$1:$I$89,3,0)*0.475*44/12</f>
        <v>0</v>
      </c>
      <c r="AC64" s="22">
        <f t="shared" si="3"/>
        <v>36.456514277420624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62.434923546831037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14.428571428571429</v>
      </c>
      <c r="AI64" s="13">
        <f>IF('Données projet'!$A$62&gt;35,AI63+AH64-AQ63,IF(A64&lt;'Données projet'!$A$62,$AF$205^A64,IF(A64='Données projet'!$A$62,'Données projet'!$B$62,AI63+AH64-AQ63)))</f>
        <v>434.42857142857167</v>
      </c>
      <c r="AJ64" s="13">
        <f>AI64*VLOOKUP('Données projet'!$B$10,Paramètres!$A$1:$I$89,3,0)*VLOOKUP('Données projet'!$B$10,Paramètres!$A$1:$I$89,5,0)</f>
        <v>242.84557142857156</v>
      </c>
      <c r="AK64" s="13">
        <f t="shared" si="35"/>
        <v>59.051348413541952</v>
      </c>
      <c r="AL64" s="20">
        <f t="shared" si="4"/>
        <v>525.80380205834774</v>
      </c>
      <c r="AM64" s="59">
        <f t="shared" si="5"/>
        <v>791.39852173006159</v>
      </c>
      <c r="AN64" s="59">
        <f ca="1">AVERAGE(OFFSET($AM$3,0,0,'Données projet'!$E$10+1,1))-AVERAGE(OFFSET($H$3,0,0,'Données projet'!$E$10+1,1))</f>
        <v>363.98181065114898</v>
      </c>
      <c r="AO64" s="59">
        <f t="shared" si="36"/>
        <v>410.85213343666396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67.415368382804473</v>
      </c>
      <c r="AV64" s="21">
        <f>EXP(-LN(2)/25)*AV63+(1-EXP(-LN(2)/25))/(LN(2)/25)*Calculateur!AQ64*Calculateur!AS64*VLOOKUP('Données projet'!$B$10,Paramètres!$A$1:$I$89,3,0)*0.475*44/12</f>
        <v>53.911808514634451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121.32717689743893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62.434923546831037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12.324999999999998</v>
      </c>
      <c r="BD64" s="12">
        <f>IF('Données projet'!$A$88&gt;35,BD63+BC64-BL63,IF(A64&lt;'Données projet'!$A$88,$BA$205^A64,IF(A64='Données projet'!$A$88,'Données projet'!$B$88,BD63+BC64-BL63)))</f>
        <v>353.57499999999993</v>
      </c>
      <c r="BE64" s="13">
        <f>BD64*VLOOKUP('Données projet'!$B$11,Paramètres!$A$1:$I$89,3,0)*VLOOKUP('Données projet'!$B$11,Paramètres!$A$1:$I$89,5,0)</f>
        <v>308.88311999999996</v>
      </c>
      <c r="BF64" s="13">
        <f t="shared" si="37"/>
        <v>73.035532200167751</v>
      </c>
      <c r="BG64" s="20">
        <f t="shared" si="7"/>
        <v>665.17498591529204</v>
      </c>
      <c r="BH64" s="59">
        <f t="shared" si="8"/>
        <v>930.76970558700589</v>
      </c>
      <c r="BI64" s="59">
        <f ca="1">AVERAGE(OFFSET($BH$3,0,0,'Données projet'!$E$11+1,1))-AVERAGE(OFFSET($H$3,0,0,'Données projet'!$E$11+1,1))</f>
        <v>433.6995276469014</v>
      </c>
      <c r="BJ64" s="59">
        <f t="shared" si="38"/>
        <v>306.37969720280557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27.415157656137453</v>
      </c>
      <c r="BQ64" s="21">
        <f>EXP(-LN(2)/25)*BQ63+(1-EXP(-LN(2)/25))/(LN(2)/25)*Calculateur!BL64*Calculateur!BN64*VLOOKUP('Données projet'!$B$11,Paramètres!$A$1:$I$89,3,0)*0.475*44/12</f>
        <v>13.909639498881113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41.324797155018565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62.434923546831037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>
        <f>VLOOKUP(A64,'Données projet'!$A$113:$I$133,2,0)</f>
        <v>157</v>
      </c>
      <c r="BW64" s="12">
        <f>VLOOKUP(A64,'Données projet'!$A$113:$I$133,9,0)</f>
        <v>8.375</v>
      </c>
      <c r="BX64" s="12">
        <f t="array" ref="BX64">INDEX(BW:BW,MIN(IF(ISNUMBER(BW64:BW260),ROW(BW64:BW260),"")))</f>
        <v>8.375</v>
      </c>
      <c r="BY64" s="12">
        <f>IF('Données projet'!$A$114&gt;35,BY63+BX64-CG63,IF(A64&lt;'Données projet'!$A$114,$BV$205^A64,IF(A64='Données projet'!$A$114,'Données projet'!$B$114,BY63+BX64-CG63)))</f>
        <v>157</v>
      </c>
      <c r="BZ64" s="13">
        <f>BY64*VLOOKUP('Données projet'!$B$12,Paramètres!$A$1:$I$89,3,0)*VLOOKUP('Données projet'!$B$12,Paramètres!$A$1:$I$89,5,0)</f>
        <v>151.85040000000001</v>
      </c>
      <c r="CA64" s="13">
        <f t="shared" si="39"/>
        <v>38.998795130362446</v>
      </c>
      <c r="CB64" s="20">
        <f t="shared" si="10"/>
        <v>332.39568151871464</v>
      </c>
      <c r="CC64" s="59">
        <f t="shared" si="11"/>
        <v>597.99040119042843</v>
      </c>
      <c r="CD64" s="59">
        <f ca="1">AVERAGE(OFFSET($CC$3,0,0,'Données projet'!$E$12+1,1))-AVERAGE(OFFSET($H$3,0,0,'Données projet'!$E$12+1,1))</f>
        <v>455.95436253828132</v>
      </c>
      <c r="CE64" s="59">
        <f t="shared" si="40"/>
        <v>64.829921296688497</v>
      </c>
      <c r="CF64" s="15">
        <f>IF(ISNA(VLOOKUP(A64,'Données projet'!$A$113:$I$133,3,0)),0,VLOOKUP(A64,'Données projet'!$A$113:$I$133,3,0))</f>
        <v>4</v>
      </c>
      <c r="CG64" s="15">
        <f>IF(ISNA(VLOOKUP(A64,'Données projet'!$A$113:$I$133,4,0)),0,VLOOKUP(A64,'Données projet'!$A$113:$I$133,4,0))</f>
        <v>31</v>
      </c>
      <c r="CH64" s="16">
        <f>IF(ISNA(VLOOKUP(A64,'Données projet'!$A$113:$I$133,5,0)),0%,VLOOKUP(A64,'Données projet'!$A$113:$I$133,5,0)*VLOOKUP('Données projet'!$B$12,Paramètres!$A$1:$I$89,7,0))</f>
        <v>0.25800000000000001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11.02062776743332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11.02062776743332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62.434923546831037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8.6666666666666661</v>
      </c>
      <c r="CT64" s="12">
        <f>IF('Données projet'!$A$140&gt;35,CT63+CS64-DB63,IF(A64&lt;'Données projet'!$A$140,$CQ$205^A64,IF(A64='Données projet'!$A$140,'Données projet'!$B$140,CT63+CS64-DB63)))</f>
        <v>258.66666666666657</v>
      </c>
      <c r="CU64" s="17">
        <f>CT64*VLOOKUP('Données projet'!$B$13,Paramètres!$A$1:$I$89,3,0)*VLOOKUP('Données projet'!$B$13,Paramètres!$A$1:$I$89,5,0)</f>
        <v>201.75999999999993</v>
      </c>
      <c r="CV64" s="13">
        <f t="shared" si="41"/>
        <v>50.130765000424169</v>
      </c>
      <c r="CW64" s="20">
        <f t="shared" si="13"/>
        <v>438.70974904240529</v>
      </c>
      <c r="CX64" s="59">
        <f t="shared" si="14"/>
        <v>704.30446871411914</v>
      </c>
      <c r="CY64" s="59">
        <f ca="1">AVERAGE(OFFSET($CX$3,0,0,'Données projet'!$E$13+1,1))-AVERAGE(OFFSET($H$3,0,0,'Données projet'!$E$13+1,1))</f>
        <v>306.44760579759713</v>
      </c>
      <c r="CZ64" s="59">
        <f t="shared" si="42"/>
        <v>300.30192123221718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18.134063511502216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18.134063511502216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62.434923546831037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62.434923546831037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62.434923546831037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62.434923546831037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62.434923546831037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4.4000000000000004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16.133333333333336</v>
      </c>
      <c r="H65" s="67">
        <f t="shared" si="1"/>
        <v>192.13333333333333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62.566160710316318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315.3</v>
      </c>
      <c r="L65" s="12">
        <f>VLOOKUP(A65,'Données projet'!$A$35:$I$55,9,0)</f>
        <v>2.4750000000000014</v>
      </c>
      <c r="M65" s="12">
        <f t="array" ref="M65">INDEX(L:L,MIN(IF(ISNUMBER(L65:L261),ROW(L65:L261),"")))</f>
        <v>2.4750000000000014</v>
      </c>
      <c r="N65" s="13">
        <f>IF('Données projet'!$A$36&gt;35,N64+M65-V64,IF(A65&lt;'Données projet'!$A$36,$K$205^A65,IF(A65='Données projet'!$A$36,'Données projet'!$B$36,N64+M65-V64)))</f>
        <v>315.30000000000018</v>
      </c>
      <c r="O65" s="13">
        <f>N65*VLOOKUP('Données projet'!$B$9,Paramètres!$A$1:$I$89,3,0)*VLOOKUP('Données projet'!$B$9,Paramètres!$A$1:$I$89,5,0)</f>
        <v>188.54940000000013</v>
      </c>
      <c r="P65" s="13">
        <f t="shared" si="33"/>
        <v>47.219102877124527</v>
      </c>
      <c r="Q65" s="20">
        <f t="shared" si="53"/>
        <v>410.63014251099207</v>
      </c>
      <c r="R65" s="59">
        <f t="shared" si="0"/>
        <v>676.70606511548522</v>
      </c>
      <c r="S65" s="59">
        <f ca="1">AVERAGE(OFFSET($R$3,0,0,'Données projet'!$E$9+1,1))-AVERAGE(OFFSET($H$3,0,0,'Données projet'!$E$9+1,1))</f>
        <v>299.45724561493057</v>
      </c>
      <c r="T65" s="59">
        <f t="shared" si="34"/>
        <v>297.63369027443196</v>
      </c>
      <c r="U65" s="15">
        <f>IF(ISNA(VLOOKUP(A65,'Données projet'!$A$35:$I$55,3,0)),0,VLOOKUP(A65,'Données projet'!$A$35:$I$55,3,0))</f>
        <v>9</v>
      </c>
      <c r="V65" s="15">
        <f>IF(ISNA(VLOOKUP(A65,'Données projet'!$A$35:$I$55,4,0)),0,VLOOKUP(A65,'Données projet'!$A$35:$I$55,4,0))</f>
        <v>6.5</v>
      </c>
      <c r="W65" s="16">
        <f>IF(ISNA(VLOOKUP(A65,'Données projet'!$A$35:$I$55,5,0)),0%,VLOOKUP(A65,'Données projet'!$A$35:$I$55,5,0)*VLOOKUP('Données projet'!$B$9,Paramètres!$A$1:$I$89,7,0))</f>
        <v>0.315</v>
      </c>
      <c r="X65" s="16">
        <f>IF(ISNA(VLOOKUP(A65,'Données projet'!$A$35:$I$55,6,0)),0%,VLOOKUP(A65,'Données projet'!$A$35:$I$55,6,0)*VLOOKUP('Données projet'!$B$9,Paramètres!$A$1:$I$89,7,0))</f>
        <v>0.13500000000000001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14.398665170385074</v>
      </c>
      <c r="AA65" s="21">
        <f>EXP(-LN(2)/25)*AA64+(1-EXP(-LN(2)/25))/(LN(2)/25)*Calculateur!V65*Calculateur!X65*VLOOKUP('Données projet'!$B$9,Paramètres!$A$1:$I$89,3,0)*0.475*44/12</f>
        <v>23.479358259595337</v>
      </c>
      <c r="AB65" s="21">
        <f>EXP(-LN(2)/2)*AB64+(1-EXP(-LN(2)/2))/(LN(2)/2)*V65*Y65*VLOOKUP('Données projet'!$B$9,Paramètres!$A$1:$I$89,3,0)*0.475*44/12</f>
        <v>0</v>
      </c>
      <c r="AC65" s="22">
        <f t="shared" si="3"/>
        <v>37.878023429980409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62.566160710316318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14.428571428571429</v>
      </c>
      <c r="AI65" s="13">
        <f>IF('Données projet'!$A$62&gt;35,AI64+AH65-AQ64,IF(A65&lt;'Données projet'!$A$62,$AF$205^A65,IF(A65='Données projet'!$A$62,'Données projet'!$B$62,AI64+AH65-AQ64)))</f>
        <v>448.85714285714312</v>
      </c>
      <c r="AJ65" s="13">
        <f>AI65*VLOOKUP('Données projet'!$B$10,Paramètres!$A$1:$I$89,3,0)*VLOOKUP('Données projet'!$B$10,Paramètres!$A$1:$I$89,5,0)</f>
        <v>250.91114285714301</v>
      </c>
      <c r="AK65" s="13">
        <f t="shared" si="35"/>
        <v>60.781007052879815</v>
      </c>
      <c r="AL65" s="20">
        <f t="shared" si="4"/>
        <v>542.86382775995639</v>
      </c>
      <c r="AM65" s="59">
        <f t="shared" si="5"/>
        <v>808.93975036444954</v>
      </c>
      <c r="AN65" s="59">
        <f ca="1">AVERAGE(OFFSET($AM$3,0,0,'Données projet'!$E$10+1,1))-AVERAGE(OFFSET($H$3,0,0,'Données projet'!$E$10+1,1))</f>
        <v>363.98181065114898</v>
      </c>
      <c r="AO65" s="59">
        <f t="shared" si="36"/>
        <v>410.85213343666396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66.093394128132189</v>
      </c>
      <c r="AV65" s="21">
        <f>EXP(-LN(2)/25)*AV64+(1-EXP(-LN(2)/25))/(LN(2)/25)*Calculateur!AQ65*Calculateur!AS65*VLOOKUP('Données projet'!$B$10,Paramètres!$A$1:$I$89,3,0)*0.475*44/12</f>
        <v>52.437587275702981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118.53098140383517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62.566160710316318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>
        <f>VLOOKUP(A65,'Données projet'!$A$87:$I$107,2,0)</f>
        <v>365.9</v>
      </c>
      <c r="BB65" s="12">
        <f>VLOOKUP(A65,'Données projet'!$A$87:$I$107,9,0)</f>
        <v>12.324999999999998</v>
      </c>
      <c r="BC65" s="12">
        <f t="array" ref="BC65">INDEX(BB:BB,MIN(IF(ISNUMBER(BB65:BB261),ROW(BB65:BB261),"")))</f>
        <v>12.324999999999998</v>
      </c>
      <c r="BD65" s="12">
        <f>IF('Données projet'!$A$88&gt;35,BD64+BC65-BL64,IF(A65&lt;'Données projet'!$A$88,$BA$205^A65,IF(A65='Données projet'!$A$88,'Données projet'!$B$88,BD64+BC65-BL64)))</f>
        <v>365.89999999999992</v>
      </c>
      <c r="BE65" s="13">
        <f>BD65*VLOOKUP('Données projet'!$B$11,Paramètres!$A$1:$I$89,3,0)*VLOOKUP('Données projet'!$B$11,Paramètres!$A$1:$I$89,5,0)</f>
        <v>319.65023999999994</v>
      </c>
      <c r="BF65" s="13">
        <f t="shared" si="37"/>
        <v>75.280574661515132</v>
      </c>
      <c r="BG65" s="20">
        <f t="shared" si="7"/>
        <v>687.83783553547198</v>
      </c>
      <c r="BH65" s="59">
        <f t="shared" si="8"/>
        <v>953.91375813996524</v>
      </c>
      <c r="BI65" s="59">
        <f ca="1">AVERAGE(OFFSET($BH$3,0,0,'Données projet'!$E$11+1,1))-AVERAGE(OFFSET($H$3,0,0,'Données projet'!$E$11+1,1))</f>
        <v>433.6995276469014</v>
      </c>
      <c r="BJ65" s="59">
        <f t="shared" si="38"/>
        <v>306.37969720280557</v>
      </c>
      <c r="BK65" s="15">
        <f>IF(ISNA(VLOOKUP(A65,'Données projet'!$A$87:$I$107,3,0)),0,VLOOKUP(A65,'Données projet'!$A$87:$I$107,3,0))</f>
        <v>5</v>
      </c>
      <c r="BL65" s="15">
        <f>IF(ISNA(VLOOKUP(A65,'Données projet'!$A$87:$I$107,4,0)),0,VLOOKUP(A65,'Données projet'!$A$87:$I$107,4,0))</f>
        <v>15.5</v>
      </c>
      <c r="BM65" s="16">
        <f>IF(ISNA(VLOOKUP(A65,'Données projet'!$A$87:$I$107,5,0)),0%,VLOOKUP(A65,'Données projet'!$A$87:$I$107,5,0)*VLOOKUP('Données projet'!$B$11,Paramètres!$A$1:$I$89,7,0))</f>
        <v>0.25800000000000001</v>
      </c>
      <c r="BN65" s="16">
        <f>IF(ISNA(VLOOKUP(A65,'Données projet'!$A$87:$I$107,6,0)),0%,VLOOKUP(A65,'Données projet'!$A$87:$I$107,6,0)*VLOOKUP('Données projet'!$B$11,Paramètres!$A$1:$I$89,7,0))</f>
        <v>0.129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30.739553091412027</v>
      </c>
      <c r="BQ65" s="21">
        <f>EXP(-LN(2)/25)*BQ64+(1-EXP(-LN(2)/25))/(LN(2)/25)*Calculateur!BL65*Calculateur!BN65*VLOOKUP('Données projet'!$B$11,Paramètres!$A$1:$I$89,3,0)*0.475*44/12</f>
        <v>15.452671589972439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46.192224681384467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62.566160710316318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6.125</v>
      </c>
      <c r="BY65" s="12">
        <f>IF('Données projet'!$A$114&gt;35,BY64+BX65-CG64,IF(A65&lt;'Données projet'!$A$114,$BV$205^A65,IF(A65='Données projet'!$A$114,'Données projet'!$B$114,BY64+BX65-CG64)))</f>
        <v>132.125</v>
      </c>
      <c r="BZ65" s="13">
        <f>BY65*VLOOKUP('Données projet'!$B$12,Paramètres!$A$1:$I$89,3,0)*VLOOKUP('Données projet'!$B$12,Paramètres!$A$1:$I$89,5,0)</f>
        <v>127.79130000000001</v>
      </c>
      <c r="CA65" s="13">
        <f t="shared" si="39"/>
        <v>33.48548573284797</v>
      </c>
      <c r="CB65" s="20">
        <f t="shared" si="10"/>
        <v>280.89040181804353</v>
      </c>
      <c r="CC65" s="59">
        <f t="shared" si="11"/>
        <v>546.96632442253667</v>
      </c>
      <c r="CD65" s="59">
        <f ca="1">AVERAGE(OFFSET($CC$3,0,0,'Données projet'!$E$12+1,1))-AVERAGE(OFFSET($H$3,0,0,'Données projet'!$E$12+1,1))</f>
        <v>455.95436253828132</v>
      </c>
      <c r="CE65" s="59">
        <f t="shared" si="40"/>
        <v>64.829921296688497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10.804519978833156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10.804519978833156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62.566160710316318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8.6666666666666661</v>
      </c>
      <c r="CT65" s="12">
        <f>IF('Données projet'!$A$140&gt;35,CT64+CS65-DB64,IF(A65&lt;'Données projet'!$A$140,$CQ$205^A65,IF(A65='Données projet'!$A$140,'Données projet'!$B$140,CT64+CS65-DB64)))</f>
        <v>267.33333333333326</v>
      </c>
      <c r="CU65" s="17">
        <f>CT65*VLOOKUP('Données projet'!$B$13,Paramètres!$A$1:$I$89,3,0)*VLOOKUP('Données projet'!$B$13,Paramètres!$A$1:$I$89,5,0)</f>
        <v>208.51999999999995</v>
      </c>
      <c r="CV65" s="13">
        <f t="shared" si="41"/>
        <v>51.612035456318459</v>
      </c>
      <c r="CW65" s="20">
        <f t="shared" si="13"/>
        <v>453.06329508642119</v>
      </c>
      <c r="CX65" s="59">
        <f t="shared" si="14"/>
        <v>719.13921769091439</v>
      </c>
      <c r="CY65" s="59">
        <f ca="1">AVERAGE(OFFSET($CX$3,0,0,'Données projet'!$E$13+1,1))-AVERAGE(OFFSET($H$3,0,0,'Données projet'!$E$13+1,1))</f>
        <v>306.44760579759713</v>
      </c>
      <c r="CZ65" s="59">
        <f t="shared" si="42"/>
        <v>300.30192123221718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17.778465586728249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17.778465586728249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62.566160710316318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62.566160710316318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62.566160710316318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62.566160710316318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62.566160710316318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4.4000000000000004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16.133333333333336</v>
      </c>
      <c r="H66" s="67">
        <f t="shared" si="1"/>
        <v>192.13333333333333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62.695121202417468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4.1999999999999957</v>
      </c>
      <c r="N66" s="13">
        <f>IF('Données projet'!$A$36&gt;35,N65+M66-V65,IF(A66&lt;'Données projet'!$A$36,$K$205^A66,IF(A66='Données projet'!$A$36,'Données projet'!$B$36,N65+M66-V65)))</f>
        <v>313.00000000000017</v>
      </c>
      <c r="O66" s="13">
        <f>N66*VLOOKUP('Données projet'!$B$9,Paramètres!$A$1:$I$89,3,0)*VLOOKUP('Données projet'!$B$9,Paramètres!$A$1:$I$89,5,0)</f>
        <v>187.17400000000009</v>
      </c>
      <c r="P66" s="13">
        <f t="shared" si="33"/>
        <v>46.914620510858377</v>
      </c>
      <c r="Q66" s="20">
        <f t="shared" si="53"/>
        <v>407.70434738974518</v>
      </c>
      <c r="R66" s="59">
        <f t="shared" si="0"/>
        <v>674.25312513194262</v>
      </c>
      <c r="S66" s="59">
        <f ca="1">AVERAGE(OFFSET($R$3,0,0,'Données projet'!$E$9+1,1))-AVERAGE(OFFSET($H$3,0,0,'Données projet'!$E$9+1,1))</f>
        <v>299.45724561493057</v>
      </c>
      <c r="T66" s="59">
        <f t="shared" si="34"/>
        <v>297.63369027443196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14.116316128712395</v>
      </c>
      <c r="AA66" s="21">
        <f>EXP(-LN(2)/25)*AA65+(1-EXP(-LN(2)/25))/(LN(2)/25)*Calculateur!V66*Calculateur!X66*VLOOKUP('Données projet'!$B$9,Paramètres!$A$1:$I$89,3,0)*0.475*44/12</f>
        <v>22.837313973260915</v>
      </c>
      <c r="AB66" s="21">
        <f>EXP(-LN(2)/2)*AB65+(1-EXP(-LN(2)/2))/(LN(2)/2)*V66*Y66*VLOOKUP('Données projet'!$B$9,Paramètres!$A$1:$I$89,3,0)*0.475*44/12</f>
        <v>0</v>
      </c>
      <c r="AC66" s="22">
        <f t="shared" si="3"/>
        <v>36.95363010197331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62.695121202417468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14.428571428571429</v>
      </c>
      <c r="AI66" s="13">
        <f>IF('Données projet'!$A$62&gt;35,AI65+AH66-AQ65,IF(A66&lt;'Données projet'!$A$62,$AF$205^A66,IF(A66='Données projet'!$A$62,'Données projet'!$B$62,AI65+AH66-AQ65)))</f>
        <v>463.28571428571456</v>
      </c>
      <c r="AJ66" s="13">
        <f>AI66*VLOOKUP('Données projet'!$B$10,Paramètres!$A$1:$I$89,3,0)*VLOOKUP('Données projet'!$B$10,Paramètres!$A$1:$I$89,5,0)</f>
        <v>258.97671428571442</v>
      </c>
      <c r="AK66" s="13">
        <f t="shared" si="35"/>
        <v>62.504204757480117</v>
      </c>
      <c r="AL66" s="20">
        <f t="shared" si="4"/>
        <v>559.91260066689722</v>
      </c>
      <c r="AM66" s="59">
        <f t="shared" si="5"/>
        <v>826.46137840909455</v>
      </c>
      <c r="AN66" s="59">
        <f ca="1">AVERAGE(OFFSET($AM$3,0,0,'Données projet'!$E$10+1,1))-AVERAGE(OFFSET($H$3,0,0,'Données projet'!$E$10+1,1))</f>
        <v>363.98181065114898</v>
      </c>
      <c r="AO66" s="59">
        <f t="shared" si="36"/>
        <v>410.85213343666396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64.797342982269356</v>
      </c>
      <c r="AV66" s="21">
        <f>EXP(-LN(2)/25)*AV65+(1-EXP(-LN(2)/25))/(LN(2)/25)*Calculateur!AQ66*Calculateur!AS66*VLOOKUP('Données projet'!$B$10,Paramètres!$A$1:$I$89,3,0)*0.475*44/12</f>
        <v>51.003678694076015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115.80102167634537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62.695121202417468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11.53125</v>
      </c>
      <c r="BD66" s="12">
        <f>IF('Données projet'!$A$88&gt;35,BD65+BC66-BL65,IF(A66&lt;'Données projet'!$A$88,$BA$205^A66,IF(A66='Données projet'!$A$88,'Données projet'!$B$88,BD65+BC66-BL65)))</f>
        <v>361.93124999999992</v>
      </c>
      <c r="BE66" s="13">
        <f>BD66*VLOOKUP('Données projet'!$B$11,Paramètres!$A$1:$I$89,3,0)*VLOOKUP('Données projet'!$B$11,Paramètres!$A$1:$I$89,5,0)</f>
        <v>316.18313999999998</v>
      </c>
      <c r="BF66" s="13">
        <f t="shared" si="37"/>
        <v>74.558627940302458</v>
      </c>
      <c r="BG66" s="20">
        <f t="shared" si="7"/>
        <v>680.54191249602673</v>
      </c>
      <c r="BH66" s="59">
        <f t="shared" si="8"/>
        <v>947.09069023822417</v>
      </c>
      <c r="BI66" s="59">
        <f ca="1">AVERAGE(OFFSET($BH$3,0,0,'Données projet'!$E$11+1,1))-AVERAGE(OFFSET($H$3,0,0,'Données projet'!$E$11+1,1))</f>
        <v>433.6995276469014</v>
      </c>
      <c r="BJ66" s="59">
        <f t="shared" si="38"/>
        <v>306.37969720280557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30.136769204565486</v>
      </c>
      <c r="BQ66" s="21">
        <f>EXP(-LN(2)/25)*BQ65+(1-EXP(-LN(2)/25))/(LN(2)/25)*Calculateur!BL66*Calculateur!BN66*VLOOKUP('Données projet'!$B$11,Paramètres!$A$1:$I$89,3,0)*0.475*44/12</f>
        <v>15.030117472723962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45.166886677289448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62.695121202417468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6.125</v>
      </c>
      <c r="BY66" s="12">
        <f>IF('Données projet'!$A$114&gt;35,BY65+BX66-CG65,IF(A66&lt;'Données projet'!$A$114,$BV$205^A66,IF(A66='Données projet'!$A$114,'Données projet'!$B$114,BY65+BX66-CG65)))</f>
        <v>138.25</v>
      </c>
      <c r="BZ66" s="13">
        <f>BY66*VLOOKUP('Données projet'!$B$12,Paramètres!$A$1:$I$89,3,0)*VLOOKUP('Données projet'!$B$12,Paramètres!$A$1:$I$89,5,0)</f>
        <v>133.71540000000002</v>
      </c>
      <c r="CA66" s="13">
        <f t="shared" si="39"/>
        <v>34.853466123570691</v>
      </c>
      <c r="CB66" s="20">
        <f t="shared" si="10"/>
        <v>293.59077516521899</v>
      </c>
      <c r="CC66" s="59">
        <f t="shared" si="11"/>
        <v>560.13955290741637</v>
      </c>
      <c r="CD66" s="59">
        <f ca="1">AVERAGE(OFFSET($CC$3,0,0,'Données projet'!$E$12+1,1))-AVERAGE(OFFSET($H$3,0,0,'Données projet'!$E$12+1,1))</f>
        <v>455.95436253828132</v>
      </c>
      <c r="CE66" s="59">
        <f t="shared" si="40"/>
        <v>64.829921296688497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10.592649932154705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10.592649932154705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62.695121202417468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8.6666666666666661</v>
      </c>
      <c r="CT66" s="12">
        <f>IF('Données projet'!$A$140&gt;35,CT65+CS66-DB65,IF(A66&lt;'Données projet'!$A$140,$CQ$205^A66,IF(A66='Données projet'!$A$140,'Données projet'!$B$140,CT65+CS66-DB65)))</f>
        <v>275.99999999999994</v>
      </c>
      <c r="CU66" s="17">
        <f>CT66*VLOOKUP('Données projet'!$B$13,Paramètres!$A$1:$I$89,3,0)*VLOOKUP('Données projet'!$B$13,Paramètres!$A$1:$I$89,5,0)</f>
        <v>215.27999999999997</v>
      </c>
      <c r="CV66" s="13">
        <f t="shared" si="41"/>
        <v>53.087725740853138</v>
      </c>
      <c r="CW66" s="20">
        <f t="shared" si="13"/>
        <v>467.40712233198587</v>
      </c>
      <c r="CX66" s="59">
        <f t="shared" si="14"/>
        <v>733.95590007418332</v>
      </c>
      <c r="CY66" s="59">
        <f ca="1">AVERAGE(OFFSET($CX$3,0,0,'Données projet'!$E$13+1,1))-AVERAGE(OFFSET($H$3,0,0,'Données projet'!$E$13+1,1))</f>
        <v>306.44760579759713</v>
      </c>
      <c r="CZ66" s="59">
        <f t="shared" si="42"/>
        <v>300.30192123221718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17.429840720365782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17.429840720365782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62.695121202417468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62.695121202417468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62.695121202417468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62.695121202417468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62.695121202417468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4.4000000000000004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16.133333333333336</v>
      </c>
      <c r="H67" s="67">
        <f t="shared" si="1"/>
        <v>192.13333333333333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62.821844518293133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4.1999999999999957</v>
      </c>
      <c r="N67" s="13">
        <f>IF('Données projet'!$A$36&gt;35,N66+M67-V66,IF(A67&lt;'Données projet'!$A$36,$K$205^A67,IF(A67='Données projet'!$A$36,'Données projet'!$B$36,N66+M67-V66)))</f>
        <v>317.20000000000016</v>
      </c>
      <c r="O67" s="13">
        <f>N67*VLOOKUP('Données projet'!$B$9,Paramètres!$A$1:$I$89,3,0)*VLOOKUP('Données projet'!$B$9,Paramètres!$A$1:$I$89,5,0)</f>
        <v>189.68560000000014</v>
      </c>
      <c r="P67" s="13">
        <f t="shared" si="33"/>
        <v>47.470436776872745</v>
      </c>
      <c r="Q67" s="20">
        <f t="shared" ref="Q67:Q98" si="54">(O67+P67)*0.475*44/12</f>
        <v>413.04676405305366</v>
      </c>
      <c r="R67" s="59">
        <f t="shared" ref="R67:R130" si="55">Q67+(I67+J67)*44/12</f>
        <v>680.06019395346175</v>
      </c>
      <c r="S67" s="59">
        <f ca="1">AVERAGE(OFFSET($R$3,0,0,'Données projet'!$E$9+1,1))-AVERAGE(OFFSET($H$3,0,0,'Données projet'!$E$9+1,1))</f>
        <v>299.45724561493057</v>
      </c>
      <c r="T67" s="59">
        <f t="shared" si="34"/>
        <v>297.63369027443196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13.839503779531006</v>
      </c>
      <c r="AA67" s="21">
        <f>EXP(-LN(2)/25)*AA66+(1-EXP(-LN(2)/25))/(LN(2)/25)*Calculateur!V67*Calculateur!X67*VLOOKUP('Données projet'!$B$9,Paramètres!$A$1:$I$89,3,0)*0.475*44/12</f>
        <v>22.212826421699948</v>
      </c>
      <c r="AB67" s="21">
        <f>EXP(-LN(2)/2)*AB66+(1-EXP(-LN(2)/2))/(LN(2)/2)*V67*Y67*VLOOKUP('Données projet'!$B$9,Paramètres!$A$1:$I$89,3,0)*0.475*44/12</f>
        <v>0</v>
      </c>
      <c r="AC67" s="22">
        <f t="shared" si="3"/>
        <v>36.052330201230951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62.821844518293133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14.428571428571429</v>
      </c>
      <c r="AI67" s="13">
        <f>IF('Données projet'!$A$62&gt;35,AI66+AH67-AQ66,IF(A67&lt;'Données projet'!$A$62,$AF$205^A67,IF(A67='Données projet'!$A$62,'Données projet'!$B$62,AI66+AH67-AQ66)))</f>
        <v>477.71428571428601</v>
      </c>
      <c r="AJ67" s="13">
        <f>AI67*VLOOKUP('Données projet'!$B$10,Paramètres!$A$1:$I$89,3,0)*VLOOKUP('Données projet'!$B$10,Paramètres!$A$1:$I$89,5,0)</f>
        <v>267.04228571428587</v>
      </c>
      <c r="AK67" s="13">
        <f t="shared" si="35"/>
        <v>64.221165835529547</v>
      </c>
      <c r="AL67" s="20">
        <f t="shared" si="4"/>
        <v>576.95051144926185</v>
      </c>
      <c r="AM67" s="59">
        <f t="shared" si="5"/>
        <v>843.96394134966999</v>
      </c>
      <c r="AN67" s="59">
        <f ca="1">AVERAGE(OFFSET($AM$3,0,0,'Données projet'!$E$10+1,1))-AVERAGE(OFFSET($H$3,0,0,'Données projet'!$E$10+1,1))</f>
        <v>363.98181065114898</v>
      </c>
      <c r="AO67" s="59">
        <f t="shared" si="36"/>
        <v>410.85213343666396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63.526706608863755</v>
      </c>
      <c r="AV67" s="21">
        <f>EXP(-LN(2)/25)*AV66+(1-EXP(-LN(2)/25))/(LN(2)/25)*Calculateur!AQ67*Calculateur!AS67*VLOOKUP('Données projet'!$B$10,Paramètres!$A$1:$I$89,3,0)*0.475*44/12</f>
        <v>49.608980418019613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113.13568702688337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62.821844518293133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11.53125</v>
      </c>
      <c r="BD67" s="12">
        <f>IF('Données projet'!$A$88&gt;35,BD66+BC67-BL66,IF(A67&lt;'Données projet'!$A$88,$BA$205^A67,IF(A67='Données projet'!$A$88,'Données projet'!$B$88,BD66+BC67-BL66)))</f>
        <v>373.46249999999992</v>
      </c>
      <c r="BE67" s="13">
        <f>BD67*VLOOKUP('Données projet'!$B$11,Paramètres!$A$1:$I$89,3,0)*VLOOKUP('Données projet'!$B$11,Paramètres!$A$1:$I$89,5,0)</f>
        <v>326.25683999999995</v>
      </c>
      <c r="BF67" s="13">
        <f t="shared" si="37"/>
        <v>76.653740110766279</v>
      </c>
      <c r="BG67" s="20">
        <f t="shared" si="7"/>
        <v>701.73592702625103</v>
      </c>
      <c r="BH67" s="59">
        <f t="shared" si="8"/>
        <v>968.74935692665917</v>
      </c>
      <c r="BI67" s="59">
        <f ca="1">AVERAGE(OFFSET($BH$3,0,0,'Données projet'!$E$11+1,1))-AVERAGE(OFFSET($H$3,0,0,'Données projet'!$E$11+1,1))</f>
        <v>433.6995276469014</v>
      </c>
      <c r="BJ67" s="59">
        <f t="shared" si="38"/>
        <v>306.37969720280557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29.545805542078138</v>
      </c>
      <c r="BQ67" s="21">
        <f>EXP(-LN(2)/25)*BQ66+(1-EXP(-LN(2)/25))/(LN(2)/25)*Calculateur!BL67*Calculateur!BN67*VLOOKUP('Données projet'!$B$11,Paramètres!$A$1:$I$89,3,0)*0.475*44/12</f>
        <v>14.6191181200328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44.164923662110937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62.821844518293133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6.125</v>
      </c>
      <c r="BY67" s="12">
        <f>IF('Données projet'!$A$114&gt;35,BY66+BX67-CG66,IF(A67&lt;'Données projet'!$A$114,$BV$205^A67,IF(A67='Données projet'!$A$114,'Données projet'!$B$114,BY66+BX67-CG66)))</f>
        <v>144.375</v>
      </c>
      <c r="BZ67" s="13">
        <f>BY67*VLOOKUP('Données projet'!$B$12,Paramètres!$A$1:$I$89,3,0)*VLOOKUP('Données projet'!$B$12,Paramètres!$A$1:$I$89,5,0)</f>
        <v>139.6395</v>
      </c>
      <c r="CA67" s="13">
        <f t="shared" si="39"/>
        <v>36.214407618765193</v>
      </c>
      <c r="CB67" s="20">
        <f t="shared" si="10"/>
        <v>306.27888910268274</v>
      </c>
      <c r="CC67" s="59">
        <f t="shared" si="11"/>
        <v>573.29231900309082</v>
      </c>
      <c r="CD67" s="59">
        <f ca="1">AVERAGE(OFFSET($CC$3,0,0,'Données projet'!$E$12+1,1))-AVERAGE(OFFSET($H$3,0,0,'Données projet'!$E$12+1,1))</f>
        <v>455.95436253828132</v>
      </c>
      <c r="CE67" s="59">
        <f t="shared" si="40"/>
        <v>64.829921296688497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10.384934527863651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10.384934527863651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62.821844518293133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8.6666666666666661</v>
      </c>
      <c r="CT67" s="12">
        <f>IF('Données projet'!$A$140&gt;35,CT66+CS67-DB66,IF(A67&lt;'Données projet'!$A$140,$CQ$205^A67,IF(A67='Données projet'!$A$140,'Données projet'!$B$140,CT66+CS67-DB66)))</f>
        <v>284.66666666666663</v>
      </c>
      <c r="CU67" s="17">
        <f>CT67*VLOOKUP('Données projet'!$B$13,Paramètres!$A$1:$I$89,3,0)*VLOOKUP('Données projet'!$B$13,Paramètres!$A$1:$I$89,5,0)</f>
        <v>222.04</v>
      </c>
      <c r="CV67" s="13">
        <f t="shared" si="41"/>
        <v>54.558031180803546</v>
      </c>
      <c r="CW67" s="20">
        <f t="shared" si="13"/>
        <v>481.74157097323285</v>
      </c>
      <c r="CX67" s="59">
        <f t="shared" si="14"/>
        <v>748.75500087364094</v>
      </c>
      <c r="CY67" s="59">
        <f ca="1">AVERAGE(OFFSET($CX$3,0,0,'Données projet'!$E$13+1,1))-AVERAGE(OFFSET($H$3,0,0,'Données projet'!$E$13+1,1))</f>
        <v>306.44760579759713</v>
      </c>
      <c r="CZ67" s="59">
        <f t="shared" si="42"/>
        <v>300.30192123221718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17.088052174992509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17.088052174992509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62.821844518293133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62.821844518293133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62.821844518293133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62.821844518293133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62.821844518293133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4.4000000000000004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16.133333333333336</v>
      </c>
      <c r="H68" s="67">
        <f t="shared" ref="H68:H131" si="56">(B68+E68+F68)*44/12+(C68+D68)*0.475*44/12</f>
        <v>192.13333333333333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62.946369467949246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4.1999999999999957</v>
      </c>
      <c r="N68" s="13">
        <f>IF('Données projet'!$A$36&gt;35,N67+M68-V67,IF(A68&lt;'Données projet'!$A$36,$K$205^A68,IF(A68='Données projet'!$A$36,'Données projet'!$B$36,N67+M68-V67)))</f>
        <v>321.40000000000015</v>
      </c>
      <c r="O68" s="13">
        <f>N68*VLOOKUP('Données projet'!$B$9,Paramètres!$A$1:$I$89,3,0)*VLOOKUP('Données projet'!$B$9,Paramètres!$A$1:$I$89,5,0)</f>
        <v>192.19720000000012</v>
      </c>
      <c r="P68" s="13">
        <f t="shared" si="33"/>
        <v>48.025397032309286</v>
      </c>
      <c r="Q68" s="20">
        <f t="shared" si="54"/>
        <v>418.38768983127216</v>
      </c>
      <c r="R68" s="59">
        <f t="shared" si="55"/>
        <v>685.85771121375274</v>
      </c>
      <c r="S68" s="59">
        <f ca="1">AVERAGE(OFFSET($R$3,0,0,'Données projet'!$E$9+1,1))-AVERAGE(OFFSET($H$3,0,0,'Données projet'!$E$9+1,1))</f>
        <v>299.45724561493057</v>
      </c>
      <c r="T68" s="59">
        <f t="shared" si="34"/>
        <v>297.63369027443196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13.568119551678203</v>
      </c>
      <c r="AA68" s="21">
        <f>EXP(-LN(2)/25)*AA67+(1-EXP(-LN(2)/25))/(LN(2)/25)*Calculateur!V68*Calculateur!X68*VLOOKUP('Données projet'!$B$9,Paramètres!$A$1:$I$89,3,0)*0.475*44/12</f>
        <v>21.605415515076789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35.173535066754994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62.946369467949246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14.428571428571429</v>
      </c>
      <c r="AI68" s="13">
        <f>IF('Données projet'!$A$62&gt;35,AI67+AH68-AQ67,IF(A68&lt;'Données projet'!$A$62,$AF$205^A68,IF(A68='Données projet'!$A$62,'Données projet'!$B$62,AI67+AH68-AQ67)))</f>
        <v>492.14285714285745</v>
      </c>
      <c r="AJ68" s="13">
        <f>AI68*VLOOKUP('Données projet'!$B$10,Paramètres!$A$1:$I$89,3,0)*VLOOKUP('Données projet'!$B$10,Paramètres!$A$1:$I$89,5,0)</f>
        <v>275.10785714285731</v>
      </c>
      <c r="AK68" s="13">
        <f t="shared" si="35"/>
        <v>65.932100275480451</v>
      </c>
      <c r="AL68" s="20">
        <f t="shared" ref="AL68:AL131" si="58">(AJ68+AK68)*0.475*44/12</f>
        <v>593.9779258369382</v>
      </c>
      <c r="AM68" s="59">
        <f t="shared" ref="AM68:AM131" si="59">AL68+(AD68+AE68)*44/12</f>
        <v>861.44794721941867</v>
      </c>
      <c r="AN68" s="59">
        <f ca="1">AVERAGE(OFFSET($AM$3,0,0,'Données projet'!$E$10+1,1))-AVERAGE(OFFSET($H$3,0,0,'Données projet'!$E$10+1,1))</f>
        <v>363.98181065114898</v>
      </c>
      <c r="AO68" s="59">
        <f t="shared" si="36"/>
        <v>410.85213343666396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62.280986639728972</v>
      </c>
      <c r="AV68" s="21">
        <f>EXP(-LN(2)/25)*AV67+(1-EXP(-LN(2)/25))/(LN(2)/25)*Calculateur!AQ68*Calculateur!AS68*VLOOKUP('Données projet'!$B$10,Paramètres!$A$1:$I$89,3,0)*0.475*44/12</f>
        <v>48.252420239665966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110.53340687939493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62.946369467949246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11.53125</v>
      </c>
      <c r="BD68" s="12">
        <f>IF('Données projet'!$A$88&gt;35,BD67+BC68-BL67,IF(A68&lt;'Données projet'!$A$88,$BA$205^A68,IF(A68='Données projet'!$A$88,'Données projet'!$B$88,BD67+BC68-BL67)))</f>
        <v>384.99374999999992</v>
      </c>
      <c r="BE68" s="13">
        <f>BD68*VLOOKUP('Données projet'!$B$11,Paramètres!$A$1:$I$89,3,0)*VLOOKUP('Données projet'!$B$11,Paramètres!$A$1:$I$89,5,0)</f>
        <v>336.33053999999993</v>
      </c>
      <c r="BF68" s="13">
        <f t="shared" si="37"/>
        <v>78.741334626746422</v>
      </c>
      <c r="BG68" s="20">
        <f t="shared" ref="BG68:BG131" si="61">(BE68+BF68)*0.475*44/12</f>
        <v>722.91684830824988</v>
      </c>
      <c r="BH68" s="59">
        <f t="shared" ref="BH68:BH131" si="62">BG68+(AY68+AZ68)*44/12</f>
        <v>990.38686969073046</v>
      </c>
      <c r="BI68" s="59">
        <f ca="1">AVERAGE(OFFSET($BH$3,0,0,'Données projet'!$E$11+1,1))-AVERAGE(OFFSET($H$3,0,0,'Données projet'!$E$11+1,1))</f>
        <v>433.6995276469014</v>
      </c>
      <c r="BJ68" s="59">
        <f t="shared" si="38"/>
        <v>306.37969720280557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28.966430316559926</v>
      </c>
      <c r="BQ68" s="21">
        <f>EXP(-LN(2)/25)*BQ67+(1-EXP(-LN(2)/25))/(LN(2)/25)*Calculateur!BL68*Calculateur!BN68*VLOOKUP('Données projet'!$B$11,Paramètres!$A$1:$I$89,3,0)*0.475*44/12</f>
        <v>14.219357566254494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43.185787882814424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62.946369467949246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6.125</v>
      </c>
      <c r="BY68" s="12">
        <f>IF('Données projet'!$A$114&gt;35,BY67+BX68-CG67,IF(A68&lt;'Données projet'!$A$114,$BV$205^A68,IF(A68='Données projet'!$A$114,'Données projet'!$B$114,BY67+BX68-CG67)))</f>
        <v>150.5</v>
      </c>
      <c r="BZ68" s="13">
        <f>BY68*VLOOKUP('Données projet'!$B$12,Paramètres!$A$1:$I$89,3,0)*VLOOKUP('Données projet'!$B$12,Paramètres!$A$1:$I$89,5,0)</f>
        <v>145.56360000000001</v>
      </c>
      <c r="CA68" s="13">
        <f t="shared" si="39"/>
        <v>37.568642979458723</v>
      </c>
      <c r="CB68" s="20">
        <f t="shared" ref="CB68:CB131" si="64">(BZ68+CA68)*0.475*44/12</f>
        <v>318.95532318922392</v>
      </c>
      <c r="CC68" s="59">
        <f t="shared" ref="CC68:CC131" si="65">CB68+(BT68+BU68)*44/12</f>
        <v>586.4253445717045</v>
      </c>
      <c r="CD68" s="59">
        <f ca="1">AVERAGE(OFFSET($CC$3,0,0,'Données projet'!$E$12+1,1))-AVERAGE(OFFSET($H$3,0,0,'Données projet'!$E$12+1,1))</f>
        <v>455.95436253828132</v>
      </c>
      <c r="CE68" s="59">
        <f t="shared" si="40"/>
        <v>64.829921296688497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10.181292295956858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10.181292295956858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62.946369467949246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8.6666666666666661</v>
      </c>
      <c r="CT68" s="12">
        <f>IF('Données projet'!$A$140&gt;35,CT67+CS68-DB67,IF(A68&lt;'Données projet'!$A$140,$CQ$205^A68,IF(A68='Données projet'!$A$140,'Données projet'!$B$140,CT67+CS68-DB67)))</f>
        <v>293.33333333333331</v>
      </c>
      <c r="CU68" s="17">
        <f>CT68*VLOOKUP('Données projet'!$B$13,Paramètres!$A$1:$I$89,3,0)*VLOOKUP('Données projet'!$B$13,Paramètres!$A$1:$I$89,5,0)</f>
        <v>228.79999999999998</v>
      </c>
      <c r="CV68" s="13">
        <f t="shared" si="41"/>
        <v>56.023134533701196</v>
      </c>
      <c r="CW68" s="20">
        <f t="shared" ref="CW68:CW131" si="67">(CU68+CV68)*0.475*44/12</f>
        <v>496.06695931286293</v>
      </c>
      <c r="CX68" s="59">
        <f t="shared" ref="CX68:CX131" si="68">CW68+(CO68+CP68)*44/12</f>
        <v>763.53698069534346</v>
      </c>
      <c r="CY68" s="59">
        <f ca="1">AVERAGE(OFFSET($CX$3,0,0,'Données projet'!$E$13+1,1))-AVERAGE(OFFSET($H$3,0,0,'Données projet'!$E$13+1,1))</f>
        <v>306.44760579759713</v>
      </c>
      <c r="CZ68" s="59">
        <f t="shared" si="42"/>
        <v>300.30192123221718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16.752965894523577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16.752965894523577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62.946369467949246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62.946369467949246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62.946369467949246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62.946369467949246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62.946369467949246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4.4000000000000004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16.133333333333336</v>
      </c>
      <c r="H69" s="67">
        <f t="shared" si="56"/>
        <v>192.13333333333333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63.0687341881249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4.1999999999999957</v>
      </c>
      <c r="N69" s="13">
        <f>IF('Données projet'!$A$36&gt;35,N68+M69-V68,IF(A69&lt;'Données projet'!$A$36,$K$205^A69,IF(A69='Données projet'!$A$36,'Données projet'!$B$36,N68+M69-V68)))</f>
        <v>325.60000000000014</v>
      </c>
      <c r="O69" s="13">
        <f>N69*VLOOKUP('Données projet'!$B$9,Paramètres!$A$1:$I$89,3,0)*VLOOKUP('Données projet'!$B$9,Paramètres!$A$1:$I$89,5,0)</f>
        <v>194.70880000000008</v>
      </c>
      <c r="P69" s="13">
        <f t="shared" ref="P69:P132" si="87">EXP(-1.0587+0.8836*LN(O69)+0.284)</f>
        <v>48.579513756662244</v>
      </c>
      <c r="Q69" s="20">
        <f t="shared" si="54"/>
        <v>423.72714645952016</v>
      </c>
      <c r="R69" s="59">
        <f t="shared" si="55"/>
        <v>691.64583848264476</v>
      </c>
      <c r="S69" s="59">
        <f ca="1">AVERAGE(OFFSET($R$3,0,0,'Données projet'!$E$9+1,1))-AVERAGE(OFFSET($H$3,0,0,'Données projet'!$E$9+1,1))</f>
        <v>299.45724561493057</v>
      </c>
      <c r="T69" s="59">
        <f t="shared" ref="T69:T132" si="88">$T$3</f>
        <v>297.63369027443196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13.302057003005558</v>
      </c>
      <c r="AA69" s="21">
        <f>EXP(-LN(2)/25)*AA68+(1-EXP(-LN(2)/25))/(LN(2)/25)*Calculateur!V69*Calculateur!X69*VLOOKUP('Données projet'!$B$9,Paramètres!$A$1:$I$89,3,0)*0.475*44/12</f>
        <v>21.014614291637592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34.31667129464315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63.0687341881249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14.428571428571429</v>
      </c>
      <c r="AI69" s="13">
        <f>IF('Données projet'!$A$62&gt;35,AI68+AH69-AQ68,IF(A69&lt;'Données projet'!$A$62,$AF$205^A69,IF(A69='Données projet'!$A$62,'Données projet'!$B$62,AI68+AH69-AQ68)))</f>
        <v>506.5714285714289</v>
      </c>
      <c r="AJ69" s="13">
        <f>AI69*VLOOKUP('Données projet'!$B$10,Paramètres!$A$1:$I$89,3,0)*VLOOKUP('Données projet'!$B$10,Paramètres!$A$1:$I$89,5,0)</f>
        <v>283.17342857142876</v>
      </c>
      <c r="AK69" s="13">
        <f t="shared" ref="AK69:AK132" si="89">EXP(-1.0587+0.8836*LN(AJ69)+0.284)</f>
        <v>67.637205052920223</v>
      </c>
      <c r="AL69" s="20">
        <f t="shared" si="58"/>
        <v>610.99518689574109</v>
      </c>
      <c r="AM69" s="59">
        <f t="shared" si="59"/>
        <v>878.91387891886575</v>
      </c>
      <c r="AN69" s="59">
        <f ca="1">AVERAGE(OFFSET($AM$3,0,0,'Données projet'!$E$10+1,1))-AVERAGE(OFFSET($H$3,0,0,'Données projet'!$E$10+1,1))</f>
        <v>363.98181065114898</v>
      </c>
      <c r="AO69" s="59">
        <f t="shared" ref="AO69:AO132" si="90">$AO$3</f>
        <v>410.85213343666396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61.05969447937477</v>
      </c>
      <c r="AV69" s="21">
        <f>EXP(-LN(2)/25)*AV68+(1-EXP(-LN(2)/25))/(LN(2)/25)*Calculateur!AQ69*Calculateur!AS69*VLOOKUP('Données projet'!$B$10,Paramètres!$A$1:$I$89,3,0)*0.475*44/12</f>
        <v>46.932955270727803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107.99264975010257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63.0687341881249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11.53125</v>
      </c>
      <c r="BD69" s="12">
        <f>IF('Données projet'!$A$88&gt;35,BD68+BC69-BL68,IF(A69&lt;'Données projet'!$A$88,$BA$205^A69,IF(A69='Données projet'!$A$88,'Données projet'!$B$88,BD68+BC69-BL68)))</f>
        <v>396.52499999999992</v>
      </c>
      <c r="BE69" s="13">
        <f>BD69*VLOOKUP('Données projet'!$B$11,Paramètres!$A$1:$I$89,3,0)*VLOOKUP('Données projet'!$B$11,Paramètres!$A$1:$I$89,5,0)</f>
        <v>346.40423999999996</v>
      </c>
      <c r="BF69" s="13">
        <f t="shared" ref="BF69:BF132" si="91">EXP(-1.0587+0.8836*LN(BE69)+0.284)</f>
        <v>80.821662503289502</v>
      </c>
      <c r="BG69" s="20">
        <f t="shared" si="61"/>
        <v>744.08511352656251</v>
      </c>
      <c r="BH69" s="59">
        <f t="shared" si="62"/>
        <v>1012.0038055496871</v>
      </c>
      <c r="BI69" s="59">
        <f ca="1">AVERAGE(OFFSET($BH$3,0,0,'Données projet'!$E$11+1,1))-AVERAGE(OFFSET($H$3,0,0,'Données projet'!$E$11+1,1))</f>
        <v>433.6995276469014</v>
      </c>
      <c r="BJ69" s="59">
        <f t="shared" ref="BJ69:BJ132" si="92">$BJ$3</f>
        <v>306.37969720280557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28.39841628583013</v>
      </c>
      <c r="BQ69" s="21">
        <f>EXP(-LN(2)/25)*BQ68+(1-EXP(-LN(2)/25))/(LN(2)/25)*Calculateur!BL69*Calculateur!BN69*VLOOKUP('Données projet'!$B$11,Paramètres!$A$1:$I$89,3,0)*0.475*44/12</f>
        <v>13.83052848584175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42.228944771671877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63.0687341881249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6.125</v>
      </c>
      <c r="BY69" s="12">
        <f>IF('Données projet'!$A$114&gt;35,BY68+BX69-CG68,IF(A69&lt;'Données projet'!$A$114,$BV$205^A69,IF(A69='Données projet'!$A$114,'Données projet'!$B$114,BY68+BX69-CG68)))</f>
        <v>156.625</v>
      </c>
      <c r="BZ69" s="13">
        <f>BY69*VLOOKUP('Données projet'!$B$12,Paramètres!$A$1:$I$89,3,0)*VLOOKUP('Données projet'!$B$12,Paramètres!$A$1:$I$89,5,0)</f>
        <v>151.48770000000002</v>
      </c>
      <c r="CA69" s="13">
        <f t="shared" ref="CA69:CA132" si="93">EXP(-1.0587+0.8836*LN(BZ69)+0.284)</f>
        <v>38.916476348689613</v>
      </c>
      <c r="CB69" s="20">
        <f t="shared" si="64"/>
        <v>331.62060714063449</v>
      </c>
      <c r="CC69" s="59">
        <f t="shared" si="65"/>
        <v>599.5392991637591</v>
      </c>
      <c r="CD69" s="59">
        <f ca="1">AVERAGE(OFFSET($CC$3,0,0,'Données projet'!$E$12+1,1))-AVERAGE(OFFSET($H$3,0,0,'Données projet'!$E$12+1,1))</f>
        <v>455.95436253828132</v>
      </c>
      <c r="CE69" s="59">
        <f t="shared" ref="CE69:CE132" si="94">$CE$3</f>
        <v>64.829921296688497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9.98164336400826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9.98164336400826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63.0687341881249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8.6666666666666661</v>
      </c>
      <c r="CT69" s="12">
        <f>IF('Données projet'!$A$140&gt;35,CT68+CS69-DB68,IF(A69&lt;'Données projet'!$A$140,$CQ$205^A69,IF(A69='Données projet'!$A$140,'Données projet'!$B$140,CT68+CS69-DB68)))</f>
        <v>302</v>
      </c>
      <c r="CU69" s="17">
        <f>CT69*VLOOKUP('Données projet'!$B$13,Paramètres!$A$1:$I$89,3,0)*VLOOKUP('Données projet'!$B$13,Paramètres!$A$1:$I$89,5,0)</f>
        <v>235.56</v>
      </c>
      <c r="CV69" s="13">
        <f t="shared" ref="CV69:CV132" si="95">EXP(-1.0587+0.8836*LN(CU69)+0.284)</f>
        <v>57.483207143847721</v>
      </c>
      <c r="CW69" s="20">
        <f t="shared" si="67"/>
        <v>510.38358577553481</v>
      </c>
      <c r="CX69" s="59">
        <f t="shared" si="68"/>
        <v>778.30227779865936</v>
      </c>
      <c r="CY69" s="59">
        <f ca="1">AVERAGE(OFFSET($CX$3,0,0,'Données projet'!$E$13+1,1))-AVERAGE(OFFSET($H$3,0,0,'Données projet'!$E$13+1,1))</f>
        <v>306.44760579759713</v>
      </c>
      <c r="CZ69" s="59">
        <f t="shared" ref="CZ69:CZ132" si="96">$CZ$3</f>
        <v>300.30192123221718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16.424450451632193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16.424450451632193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63.0687341881249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63.0687341881249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63.0687341881249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63.0687341881249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63.0687341881249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4.4000000000000004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16.133333333333336</v>
      </c>
      <c r="H70" s="67">
        <f t="shared" si="56"/>
        <v>192.13333333333333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63.18897615397205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4.1999999999999957</v>
      </c>
      <c r="N70" s="13">
        <f>IF('Données projet'!$A$36&gt;35,N69+M70-V69,IF(A70&lt;'Données projet'!$A$36,$K$205^A70,IF(A70='Données projet'!$A$36,'Données projet'!$B$36,N69+M70-V69)))</f>
        <v>329.80000000000013</v>
      </c>
      <c r="O70" s="13">
        <f>N70*VLOOKUP('Données projet'!$B$9,Paramètres!$A$1:$I$89,3,0)*VLOOKUP('Données projet'!$B$9,Paramètres!$A$1:$I$89,5,0)</f>
        <v>197.22040000000007</v>
      </c>
      <c r="P70" s="13">
        <f t="shared" si="87"/>
        <v>49.132799088963203</v>
      </c>
      <c r="Q70" s="20">
        <f t="shared" si="54"/>
        <v>429.06515507994436</v>
      </c>
      <c r="R70" s="59">
        <f t="shared" si="55"/>
        <v>697.42473431117514</v>
      </c>
      <c r="S70" s="59">
        <f ca="1">AVERAGE(OFFSET($R$3,0,0,'Données projet'!$E$9+1,1))-AVERAGE(OFFSET($H$3,0,0,'Données projet'!$E$9+1,1))</f>
        <v>299.45724561493057</v>
      </c>
      <c r="T70" s="59">
        <f t="shared" si="88"/>
        <v>297.63369027443196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13.041211778630254</v>
      </c>
      <c r="AA70" s="21">
        <f>EXP(-LN(2)/25)*AA69+(1-EXP(-LN(2)/25))/(LN(2)/25)*Calculateur!V70*Calculateur!X70*VLOOKUP('Données projet'!$B$9,Paramètres!$A$1:$I$89,3,0)*0.475*44/12</f>
        <v>20.439968558722228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33.481180337352484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63.18897615397205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521</v>
      </c>
      <c r="AG70" s="12">
        <f>VLOOKUP(A70,'Données projet'!$A$61:$I$81,9,0)</f>
        <v>14.428571428571429</v>
      </c>
      <c r="AH70" s="12">
        <f t="array" ref="AH70">INDEX(AG:AG,MIN(IF(ISNUMBER(AG70:AG266),ROW(AG70:AG266),"")))</f>
        <v>14.428571428571429</v>
      </c>
      <c r="AI70" s="13">
        <f>IF('Données projet'!$A$62&gt;35,AI69+AH70-AQ69,IF(A70&lt;'Données projet'!$A$62,$AF$205^A70,IF(A70='Données projet'!$A$62,'Données projet'!$B$62,AI69+AH70-AQ69)))</f>
        <v>521.00000000000034</v>
      </c>
      <c r="AJ70" s="13">
        <f>AI70*VLOOKUP('Données projet'!$B$10,Paramètres!$A$1:$I$89,3,0)*VLOOKUP('Données projet'!$B$10,Paramètres!$A$1:$I$89,5,0)</f>
        <v>291.2390000000002</v>
      </c>
      <c r="AK70" s="13">
        <f t="shared" si="89"/>
        <v>69.336665284362454</v>
      </c>
      <c r="AL70" s="20">
        <f t="shared" si="58"/>
        <v>628.00261703693161</v>
      </c>
      <c r="AM70" s="59">
        <f t="shared" si="59"/>
        <v>896.36219626816251</v>
      </c>
      <c r="AN70" s="59">
        <f ca="1">AVERAGE(OFFSET($AM$3,0,0,'Données projet'!$E$10+1,1))-AVERAGE(OFFSET($H$3,0,0,'Données projet'!$E$10+1,1))</f>
        <v>363.98181065114898</v>
      </c>
      <c r="AO70" s="59">
        <f t="shared" si="90"/>
        <v>410.85213343666396</v>
      </c>
      <c r="AP70" s="15">
        <f>IF(ISNA(VLOOKUP(A70,'Données projet'!$A$61:$I$81,3,0)),0,VLOOKUP(A70,'Données projet'!$A$61:$I$81,3,0))</f>
        <v>7</v>
      </c>
      <c r="AQ70" s="15">
        <f>IF(ISNA(VLOOKUP(A70,'Données projet'!$A$61:$I$81,4,0)),0,VLOOKUP(A70,'Données projet'!$A$61:$I$81,4,0))</f>
        <v>521</v>
      </c>
      <c r="AR70" s="16">
        <f>IF(ISNA(VLOOKUP(A70,'Données projet'!$A$61:$I$81,5,0)),0%,VLOOKUP(A70,'Données projet'!$A$61:$I$81,5,0)*VLOOKUP('Données projet'!$B$10,Paramètres!$A$1:$I$89,7,0))</f>
        <v>0.38500000000000001</v>
      </c>
      <c r="AS70" s="16">
        <f>IF(ISNA(VLOOKUP(A70,'Données projet'!$A$61:$I$81,6,0)),0%,VLOOKUP(A70,'Données projet'!$A$61:$I$81,6,0)*VLOOKUP('Données projet'!$B$10,Paramètres!$A$1:$I$89,7,0))</f>
        <v>0.16500000000000001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208.60606370690664</v>
      </c>
      <c r="AV70" s="21">
        <f>EXP(-LN(2)/25)*AV69+(1-EXP(-LN(2)/25))/(LN(2)/25)*Calculateur!AQ70*Calculateur!AS70*VLOOKUP('Données projet'!$B$10,Paramètres!$A$1:$I$89,3,0)*0.475*44/12</f>
        <v>109.14587910700615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317.75194281391282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63.18897615397205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11.53125</v>
      </c>
      <c r="BD70" s="12">
        <f>IF('Données projet'!$A$88&gt;35,BD69+BC70-BL69,IF(A70&lt;'Données projet'!$A$88,$BA$205^A70,IF(A70='Données projet'!$A$88,'Données projet'!$B$88,BD69+BC70-BL69)))</f>
        <v>408.05624999999992</v>
      </c>
      <c r="BE70" s="13">
        <f>BD70*VLOOKUP('Données projet'!$B$11,Paramètres!$A$1:$I$89,3,0)*VLOOKUP('Données projet'!$B$11,Paramètres!$A$1:$I$89,5,0)</f>
        <v>356.47793999999999</v>
      </c>
      <c r="BF70" s="13">
        <f t="shared" si="91"/>
        <v>82.894959325871184</v>
      </c>
      <c r="BG70" s="20">
        <f t="shared" si="61"/>
        <v>765.24113299255896</v>
      </c>
      <c r="BH70" s="59">
        <f t="shared" si="62"/>
        <v>1033.6007122237897</v>
      </c>
      <c r="BI70" s="59">
        <f ca="1">AVERAGE(OFFSET($BH$3,0,0,'Données projet'!$E$11+1,1))-AVERAGE(OFFSET($H$3,0,0,'Données projet'!$E$11+1,1))</f>
        <v>433.6995276469014</v>
      </c>
      <c r="BJ70" s="59">
        <f t="shared" si="92"/>
        <v>306.37969720280557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27.841540663788596</v>
      </c>
      <c r="BQ70" s="21">
        <f>EXP(-LN(2)/25)*BQ69+(1-EXP(-LN(2)/25))/(LN(2)/25)*Calculateur!BL70*Calculateur!BN70*VLOOKUP('Données projet'!$B$11,Paramètres!$A$1:$I$89,3,0)*0.475*44/12</f>
        <v>13.452331957080524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41.293872620869124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63.18897615397205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6.125</v>
      </c>
      <c r="BY70" s="12">
        <f>IF('Données projet'!$A$114&gt;35,BY69+BX70-CG69,IF(A70&lt;'Données projet'!$A$114,$BV$205^A70,IF(A70='Données projet'!$A$114,'Données projet'!$B$114,BY69+BX70-CG69)))</f>
        <v>162.75</v>
      </c>
      <c r="BZ70" s="13">
        <f>BY70*VLOOKUP('Données projet'!$B$12,Paramètres!$A$1:$I$89,3,0)*VLOOKUP('Données projet'!$B$12,Paramètres!$A$1:$I$89,5,0)</f>
        <v>157.4118</v>
      </c>
      <c r="CA70" s="13">
        <f t="shared" si="93"/>
        <v>40.258186734931563</v>
      </c>
      <c r="CB70" s="20">
        <f t="shared" si="64"/>
        <v>344.27522689667245</v>
      </c>
      <c r="CC70" s="59">
        <f t="shared" si="65"/>
        <v>612.63480612790329</v>
      </c>
      <c r="CD70" s="59">
        <f ca="1">AVERAGE(OFFSET($CC$3,0,0,'Données projet'!$E$12+1,1))-AVERAGE(OFFSET($H$3,0,0,'Données projet'!$E$12+1,1))</f>
        <v>455.95436253828132</v>
      </c>
      <c r="CE70" s="59">
        <f t="shared" si="94"/>
        <v>64.829921296688497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9.7859094258413499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9.7859094258413499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63.18897615397205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8.6666666666666661</v>
      </c>
      <c r="CT70" s="12">
        <f>IF('Données projet'!$A$140&gt;35,CT69+CS70-DB69,IF(A70&lt;'Données projet'!$A$140,$CQ$205^A70,IF(A70='Données projet'!$A$140,'Données projet'!$B$140,CT69+CS70-DB69)))</f>
        <v>310.66666666666669</v>
      </c>
      <c r="CU70" s="17">
        <f>CT70*VLOOKUP('Données projet'!$B$13,Paramètres!$A$1:$I$89,3,0)*VLOOKUP('Données projet'!$B$13,Paramètres!$A$1:$I$89,5,0)</f>
        <v>242.32000000000002</v>
      </c>
      <c r="CV70" s="13">
        <f t="shared" si="95"/>
        <v>58.938409961900859</v>
      </c>
      <c r="CW70" s="20">
        <f t="shared" si="67"/>
        <v>524.69173068364398</v>
      </c>
      <c r="CX70" s="59">
        <f t="shared" si="68"/>
        <v>793.05130991487476</v>
      </c>
      <c r="CY70" s="59">
        <f ca="1">AVERAGE(OFFSET($CX$3,0,0,'Données projet'!$E$13+1,1))-AVERAGE(OFFSET($H$3,0,0,'Données projet'!$E$13+1,1))</f>
        <v>306.44760579759713</v>
      </c>
      <c r="CZ70" s="59">
        <f t="shared" si="96"/>
        <v>300.30192123221718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16.102376996201272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16.102376996201272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63.18897615397205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63.18897615397205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63.18897615397205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63.18897615397205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63.18897615397205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4.4000000000000004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16.133333333333336</v>
      </c>
      <c r="H71" s="67">
        <f t="shared" si="56"/>
        <v>192.13333333333333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63.307132190532514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4.1999999999999957</v>
      </c>
      <c r="N71" s="13">
        <f>IF('Données projet'!$A$36&gt;35,N70+M71-V70,IF(A71&lt;'Données projet'!$A$36,$K$205^A71,IF(A71='Données projet'!$A$36,'Données projet'!$B$36,N70+M71-V70)))</f>
        <v>334.00000000000011</v>
      </c>
      <c r="O71" s="13">
        <f>N71*VLOOKUP('Données projet'!$B$9,Paramètres!$A$1:$I$89,3,0)*VLOOKUP('Données projet'!$B$9,Paramètres!$A$1:$I$89,5,0)</f>
        <v>199.73200000000011</v>
      </c>
      <c r="P71" s="13">
        <f t="shared" si="87"/>
        <v>49.685264841284457</v>
      </c>
      <c r="Q71" s="20">
        <f t="shared" si="54"/>
        <v>434.40173626523728</v>
      </c>
      <c r="R71" s="59">
        <f t="shared" si="55"/>
        <v>703.19455429718982</v>
      </c>
      <c r="S71" s="59">
        <f ca="1">AVERAGE(OFFSET($R$3,0,0,'Données projet'!$E$9+1,1))-AVERAGE(OFFSET($H$3,0,0,'Données projet'!$E$9+1,1))</f>
        <v>299.45724561493057</v>
      </c>
      <c r="T71" s="59">
        <f t="shared" si="88"/>
        <v>297.63369027443196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12.785481570005073</v>
      </c>
      <c r="AA71" s="21">
        <f>EXP(-LN(2)/25)*AA70+(1-EXP(-LN(2)/25))/(LN(2)/25)*Calculateur!V71*Calculateur!X71*VLOOKUP('Données projet'!$B$9,Paramètres!$A$1:$I$89,3,0)*0.475*44/12</f>
        <v>19.881036543592739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32.66651811359781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63.307132190532514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3.4106051316484809E-13</v>
      </c>
      <c r="AJ71" s="13">
        <f>AI71*VLOOKUP('Données projet'!$B$10,Paramètres!$A$1:$I$89,3,0)*VLOOKUP('Données projet'!$B$10,Paramètres!$A$1:$I$89,5,0)</f>
        <v>1.9065282685915009E-13</v>
      </c>
      <c r="AK71" s="13">
        <f t="shared" si="89"/>
        <v>2.6568987209435707E-12</v>
      </c>
      <c r="AL71" s="20">
        <f t="shared" si="58"/>
        <v>4.959485612423072E-12</v>
      </c>
      <c r="AM71" s="59">
        <f t="shared" si="59"/>
        <v>268.79281803195749</v>
      </c>
      <c r="AN71" s="59">
        <f ca="1">AVERAGE(OFFSET($AM$3,0,0,'Données projet'!$E$10+1,1))-AVERAGE(OFFSET($H$3,0,0,'Données projet'!$E$10+1,1))</f>
        <v>363.98181065114898</v>
      </c>
      <c r="AO71" s="59">
        <f t="shared" si="90"/>
        <v>410.85213343666396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204.51542603474942</v>
      </c>
      <c r="AV71" s="21">
        <f>EXP(-LN(2)/25)*AV70+(1-EXP(-LN(2)/25))/(LN(2)/25)*Calculateur!AQ71*Calculateur!AS71*VLOOKUP('Données projet'!$B$10,Paramètres!$A$1:$I$89,3,0)*0.475*44/12</f>
        <v>106.16127930309274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310.67670533784218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63.307132190532514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11.53125</v>
      </c>
      <c r="BD71" s="12">
        <f>IF('Données projet'!$A$88&gt;35,BD70+BC71-BL70,IF(A71&lt;'Données projet'!$A$88,$BA$205^A71,IF(A71='Données projet'!$A$88,'Données projet'!$B$88,BD70+BC71-BL70)))</f>
        <v>419.58749999999992</v>
      </c>
      <c r="BE71" s="13">
        <f>BD71*VLOOKUP('Données projet'!$B$11,Paramètres!$A$1:$I$89,3,0)*VLOOKUP('Données projet'!$B$11,Paramètres!$A$1:$I$89,5,0)</f>
        <v>366.55163999999996</v>
      </c>
      <c r="BF71" s="13">
        <f t="shared" si="91"/>
        <v>84.961446607721712</v>
      </c>
      <c r="BG71" s="20">
        <f t="shared" si="61"/>
        <v>786.38529250844852</v>
      </c>
      <c r="BH71" s="59">
        <f t="shared" si="62"/>
        <v>1055.1781105404011</v>
      </c>
      <c r="BI71" s="59">
        <f ca="1">AVERAGE(OFFSET($BH$3,0,0,'Données projet'!$E$11+1,1))-AVERAGE(OFFSET($H$3,0,0,'Données projet'!$E$11+1,1))</f>
        <v>433.6995276469014</v>
      </c>
      <c r="BJ71" s="59">
        <f t="shared" si="92"/>
        <v>306.37969720280557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27.295585033034705</v>
      </c>
      <c r="BQ71" s="21">
        <f>EXP(-LN(2)/25)*BQ70+(1-EXP(-LN(2)/25))/(LN(2)/25)*Calculateur!BL71*Calculateur!BN71*VLOOKUP('Données projet'!$B$11,Paramètres!$A$1:$I$89,3,0)*0.475*44/12</f>
        <v>13.084477232286766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40.38006226532147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63.307132190532514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6.125</v>
      </c>
      <c r="BY71" s="12">
        <f>IF('Données projet'!$A$114&gt;35,BY70+BX71-CG70,IF(A71&lt;'Données projet'!$A$114,$BV$205^A71,IF(A71='Données projet'!$A$114,'Données projet'!$B$114,BY70+BX71-CG70)))</f>
        <v>168.875</v>
      </c>
      <c r="BZ71" s="13">
        <f>BY71*VLOOKUP('Données projet'!$B$12,Paramètres!$A$1:$I$89,3,0)*VLOOKUP('Données projet'!$B$12,Paramètres!$A$1:$I$89,5,0)</f>
        <v>163.33590000000001</v>
      </c>
      <c r="CA71" s="13">
        <f t="shared" si="93"/>
        <v>41.594030956386725</v>
      </c>
      <c r="CB71" s="20">
        <f t="shared" si="64"/>
        <v>356.91962974904021</v>
      </c>
      <c r="CC71" s="59">
        <f t="shared" si="65"/>
        <v>625.71244778099276</v>
      </c>
      <c r="CD71" s="59">
        <f ca="1">AVERAGE(OFFSET($CC$3,0,0,'Données projet'!$E$12+1,1))-AVERAGE(OFFSET($H$3,0,0,'Données projet'!$E$12+1,1))</f>
        <v>455.95436253828132</v>
      </c>
      <c r="CE71" s="59">
        <f t="shared" si="94"/>
        <v>64.829921296688497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9.5940137108159789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9.5940137108159789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63.307132190532514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8.6666666666666661</v>
      </c>
      <c r="CT71" s="12">
        <f>IF('Données projet'!$A$140&gt;35,CT70+CS71-DB70,IF(A71&lt;'Données projet'!$A$140,$CQ$205^A71,IF(A71='Données projet'!$A$140,'Données projet'!$B$140,CT70+CS71-DB70)))</f>
        <v>319.33333333333337</v>
      </c>
      <c r="CU71" s="17">
        <f>CT71*VLOOKUP('Données projet'!$B$13,Paramètres!$A$1:$I$89,3,0)*VLOOKUP('Données projet'!$B$13,Paramètres!$A$1:$I$89,5,0)</f>
        <v>249.08000000000004</v>
      </c>
      <c r="CV71" s="13">
        <f t="shared" si="95"/>
        <v>60.388894447487807</v>
      </c>
      <c r="CW71" s="20">
        <f t="shared" si="67"/>
        <v>538.99165782937473</v>
      </c>
      <c r="CX71" s="59">
        <f t="shared" si="68"/>
        <v>807.78447586132734</v>
      </c>
      <c r="CY71" s="59">
        <f ca="1">AVERAGE(OFFSET($CX$3,0,0,'Données projet'!$E$13+1,1))-AVERAGE(OFFSET($H$3,0,0,'Données projet'!$E$13+1,1))</f>
        <v>306.44760579759713</v>
      </c>
      <c r="CZ71" s="59">
        <f t="shared" si="96"/>
        <v>300.30192123221718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15.786619204785943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15.786619204785943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63.307132190532514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63.307132190532514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63.307132190532514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63.307132190532514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63.307132190532514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4.4000000000000004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16.133333333333336</v>
      </c>
      <c r="H72" s="67">
        <f t="shared" si="56"/>
        <v>192.13333333333333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63.423238484015968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4.1999999999999957</v>
      </c>
      <c r="N72" s="13">
        <f>IF('Données projet'!$A$36&gt;35,N71+M72-V71,IF(A72&lt;'Données projet'!$A$36,$K$205^A72,IF(A72='Données projet'!$A$36,'Données projet'!$B$36,N71+M72-V71)))</f>
        <v>338.2000000000001</v>
      </c>
      <c r="O72" s="13">
        <f>N72*VLOOKUP('Données projet'!$B$9,Paramètres!$A$1:$I$89,3,0)*VLOOKUP('Données projet'!$B$9,Paramètres!$A$1:$I$89,5,0)</f>
        <v>202.24360000000007</v>
      </c>
      <c r="P72" s="13">
        <f t="shared" si="87"/>
        <v>50.236922511544194</v>
      </c>
      <c r="Q72" s="20">
        <f t="shared" si="54"/>
        <v>439.73691004093962</v>
      </c>
      <c r="R72" s="59">
        <f t="shared" si="55"/>
        <v>708.95545114899824</v>
      </c>
      <c r="S72" s="59">
        <f ca="1">AVERAGE(OFFSET($R$3,0,0,'Données projet'!$E$9+1,1))-AVERAGE(OFFSET($H$3,0,0,'Données projet'!$E$9+1,1))</f>
        <v>299.45724561493057</v>
      </c>
      <c r="T72" s="59">
        <f t="shared" si="88"/>
        <v>297.63369027443196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12.534766074791007</v>
      </c>
      <c r="AA72" s="21">
        <f>EXP(-LN(2)/25)*AA71+(1-EXP(-LN(2)/25))/(LN(2)/25)*Calculateur!V72*Calculateur!X72*VLOOKUP('Données projet'!$B$9,Paramètres!$A$1:$I$89,3,0)*0.475*44/12</f>
        <v>19.337388553809923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31.872154628600931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63.423238484015968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3.4106051316484809E-13</v>
      </c>
      <c r="AJ72" s="13">
        <f>AI72*VLOOKUP('Données projet'!$B$10,Paramètres!$A$1:$I$89,3,0)*VLOOKUP('Données projet'!$B$10,Paramètres!$A$1:$I$89,5,0)</f>
        <v>1.9065282685915009E-13</v>
      </c>
      <c r="AK72" s="13">
        <f t="shared" si="89"/>
        <v>2.6568987209435707E-12</v>
      </c>
      <c r="AL72" s="20">
        <f t="shared" si="58"/>
        <v>4.959485612423072E-12</v>
      </c>
      <c r="AM72" s="59">
        <f t="shared" si="59"/>
        <v>269.2185411080635</v>
      </c>
      <c r="AN72" s="59">
        <f ca="1">AVERAGE(OFFSET($AM$3,0,0,'Données projet'!$E$10+1,1))-AVERAGE(OFFSET($H$3,0,0,'Données projet'!$E$10+1,1))</f>
        <v>363.98181065114898</v>
      </c>
      <c r="AO72" s="59">
        <f t="shared" si="90"/>
        <v>410.85213343666396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200.5050032723006</v>
      </c>
      <c r="AV72" s="21">
        <f>EXP(-LN(2)/25)*AV71+(1-EXP(-LN(2)/25))/(LN(2)/25)*Calculateur!AQ72*Calculateur!AS72*VLOOKUP('Données projet'!$B$10,Paramètres!$A$1:$I$89,3,0)*0.475*44/12</f>
        <v>103.25829353777063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303.76329681007121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63.423238484015968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11.53125</v>
      </c>
      <c r="BD72" s="12">
        <f>IF('Données projet'!$A$88&gt;35,BD71+BC72-BL71,IF(A72&lt;'Données projet'!$A$88,$BA$205^A72,IF(A72='Données projet'!$A$88,'Données projet'!$B$88,BD71+BC72-BL71)))</f>
        <v>431.11874999999992</v>
      </c>
      <c r="BE72" s="13">
        <f>BD72*VLOOKUP('Données projet'!$B$11,Paramètres!$A$1:$I$89,3,0)*VLOOKUP('Données projet'!$B$11,Paramètres!$A$1:$I$89,5,0)</f>
        <v>376.62533999999999</v>
      </c>
      <c r="BF72" s="13">
        <f t="shared" si="91"/>
        <v>87.021332993744224</v>
      </c>
      <c r="BG72" s="20">
        <f t="shared" si="61"/>
        <v>807.51795546410449</v>
      </c>
      <c r="BH72" s="59">
        <f t="shared" si="62"/>
        <v>1076.7364965721631</v>
      </c>
      <c r="BI72" s="59">
        <f ca="1">AVERAGE(OFFSET($BH$3,0,0,'Données projet'!$E$11+1,1))-AVERAGE(OFFSET($H$3,0,0,'Données projet'!$E$11+1,1))</f>
        <v>433.6995276469014</v>
      </c>
      <c r="BJ72" s="59">
        <f t="shared" si="92"/>
        <v>306.37969720280557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26.760335259199845</v>
      </c>
      <c r="BQ72" s="21">
        <f>EXP(-LN(2)/25)*BQ71+(1-EXP(-LN(2)/25))/(LN(2)/25)*Calculateur!BL72*Calculateur!BN72*VLOOKUP('Données projet'!$B$11,Paramètres!$A$1:$I$89,3,0)*0.475*44/12</f>
        <v>12.726681514287131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39.487016773486978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63.423238484015968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>
        <f>VLOOKUP(A72,'Données projet'!$A$113:$I$133,2,0)</f>
        <v>175</v>
      </c>
      <c r="BW72" s="12">
        <f>VLOOKUP(A72,'Données projet'!$A$113:$I$133,9,0)</f>
        <v>6.125</v>
      </c>
      <c r="BX72" s="12">
        <f t="array" ref="BX72">INDEX(BW:BW,MIN(IF(ISNUMBER(BW72:BW268),ROW(BW72:BW268),"")))</f>
        <v>6.125</v>
      </c>
      <c r="BY72" s="12">
        <f>IF('Données projet'!$A$114&gt;35,BY71+BX72-CG71,IF(A72&lt;'Données projet'!$A$114,$BV$205^A72,IF(A72='Données projet'!$A$114,'Données projet'!$B$114,BY71+BX72-CG71)))</f>
        <v>175</v>
      </c>
      <c r="BZ72" s="13">
        <f>BY72*VLOOKUP('Données projet'!$B$12,Paramètres!$A$1:$I$89,3,0)*VLOOKUP('Données projet'!$B$12,Paramètres!$A$1:$I$89,5,0)</f>
        <v>169.26000000000002</v>
      </c>
      <c r="CA72" s="13">
        <f t="shared" si="93"/>
        <v>42.924246146122272</v>
      </c>
      <c r="CB72" s="20">
        <f t="shared" si="64"/>
        <v>369.55422870449632</v>
      </c>
      <c r="CC72" s="59">
        <f t="shared" si="65"/>
        <v>638.77276981255488</v>
      </c>
      <c r="CD72" s="59">
        <f ca="1">AVERAGE(OFFSET($CC$3,0,0,'Données projet'!$E$12+1,1))-AVERAGE(OFFSET($H$3,0,0,'Données projet'!$E$12+1,1))</f>
        <v>455.95436253828132</v>
      </c>
      <c r="CE72" s="59">
        <f t="shared" si="94"/>
        <v>64.829921296688497</v>
      </c>
      <c r="CF72" s="15">
        <f>IF(ISNA(VLOOKUP(A72,'Données projet'!$A$113:$I$133,3,0)),0,VLOOKUP(A72,'Données projet'!$A$113:$I$133,3,0))</f>
        <v>5</v>
      </c>
      <c r="CG72" s="15">
        <f>IF(ISNA(VLOOKUP(A72,'Données projet'!$A$113:$I$133,4,0)),0,VLOOKUP(A72,'Données projet'!$A$113:$I$133,4,0))</f>
        <v>31</v>
      </c>
      <c r="CH72" s="16">
        <f>IF(ISNA(VLOOKUP(A72,'Données projet'!$A$113:$I$133,5,0)),0%,VLOOKUP(A72,'Données projet'!$A$113:$I$133,5,0)*VLOOKUP('Données projet'!$B$12,Paramètres!$A$1:$I$89,7,0))</f>
        <v>0.25800000000000001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17.957430140489414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17.957430140489414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63.423238484015968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>
        <f>VLOOKUP(A72,'Données projet'!$A$139:$I$159,2,0)</f>
        <v>328</v>
      </c>
      <c r="CR72" s="12">
        <f>VLOOKUP(A72,'Données projet'!$A$139:$I$159,9,0)</f>
        <v>8.6666666666666661</v>
      </c>
      <c r="CS72" s="12">
        <f t="array" ref="CS72">INDEX(CR:CR,MIN(IF(ISNUMBER(CR72:CR268),ROW(CR72:CR268),"")))</f>
        <v>8.6666666666666661</v>
      </c>
      <c r="CT72" s="12">
        <f>IF('Données projet'!$A$140&gt;35,CT71+CS72-DB71,IF(A72&lt;'Données projet'!$A$140,$CQ$205^A72,IF(A72='Données projet'!$A$140,'Données projet'!$B$140,CT71+CS72-DB71)))</f>
        <v>328.00000000000006</v>
      </c>
      <c r="CU72" s="17">
        <f>CT72*VLOOKUP('Données projet'!$B$13,Paramètres!$A$1:$I$89,3,0)*VLOOKUP('Données projet'!$B$13,Paramètres!$A$1:$I$89,5,0)</f>
        <v>255.84000000000006</v>
      </c>
      <c r="CV72" s="13">
        <f t="shared" si="95"/>
        <v>61.834803371075836</v>
      </c>
      <c r="CW72" s="20">
        <f t="shared" si="67"/>
        <v>553.28361587129041</v>
      </c>
      <c r="CX72" s="59">
        <f t="shared" si="68"/>
        <v>822.50215697934891</v>
      </c>
      <c r="CY72" s="59">
        <f ca="1">AVERAGE(OFFSET($CX$3,0,0,'Données projet'!$E$13+1,1))-AVERAGE(OFFSET($H$3,0,0,'Données projet'!$E$13+1,1))</f>
        <v>306.44760579759713</v>
      </c>
      <c r="CZ72" s="59">
        <f t="shared" si="96"/>
        <v>300.30192123221718</v>
      </c>
      <c r="DA72" s="15">
        <f>IF(ISNA(VLOOKUP(A72,'Données projet'!$A$139:$I$159,3,0)),0,VLOOKUP(A72,'Données projet'!$A$139:$I$159,3,0))</f>
        <v>9</v>
      </c>
      <c r="DB72" s="15">
        <f>IF(ISNA(VLOOKUP(A72,'Données projet'!$A$139:$I$159,4,0)),0,VLOOKUP(A72,'Données projet'!$A$139:$I$159,4,0))</f>
        <v>328</v>
      </c>
      <c r="DC72" s="16">
        <f>IF(ISNA(VLOOKUP(A72,'Données projet'!$A$139:$I$159,5,0)),0%,VLOOKUP(A72,'Données projet'!$A$139:$I$159,5,0)*VLOOKUP('Données projet'!$B$13,Paramètres!$A$1:$I$89,7,0))</f>
        <v>0.25800000000000001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88.445527041192207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88.445527041192207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63.423238484015968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63.423238484015968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63.423238484015968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63.423238484015968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63.423238484015968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4.4000000000000004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16.133333333333336</v>
      </c>
      <c r="H73" s="67">
        <f t="shared" si="56"/>
        <v>192.13333333333333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63.537330592882277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342.4</v>
      </c>
      <c r="L73" s="12">
        <f>VLOOKUP(A73,'Données projet'!$A$35:$I$55,9,0)</f>
        <v>4.1999999999999957</v>
      </c>
      <c r="M73" s="12">
        <f t="array" ref="M73">INDEX(L:L,MIN(IF(ISNUMBER(L73:L269),ROW(L73:L269),"")))</f>
        <v>4.1999999999999957</v>
      </c>
      <c r="N73" s="13">
        <f>IF('Données projet'!$A$36&gt;35,N72+M73-V72,IF(A73&lt;'Données projet'!$A$36,$K$205^A73,IF(A73='Données projet'!$A$36,'Données projet'!$B$36,N72+M73-V72)))</f>
        <v>342.40000000000009</v>
      </c>
      <c r="O73" s="13">
        <f>N73*VLOOKUP('Données projet'!$B$9,Paramètres!$A$1:$I$89,3,0)*VLOOKUP('Données projet'!$B$9,Paramètres!$A$1:$I$89,5,0)</f>
        <v>204.75520000000006</v>
      </c>
      <c r="P73" s="13">
        <f t="shared" si="87"/>
        <v>50.787783295656958</v>
      </c>
      <c r="Q73" s="20">
        <f t="shared" si="54"/>
        <v>445.07069590660262</v>
      </c>
      <c r="R73" s="59">
        <f t="shared" si="55"/>
        <v>714.70757474717107</v>
      </c>
      <c r="S73" s="59">
        <f ca="1">AVERAGE(OFFSET($R$3,0,0,'Données projet'!$E$9+1,1))-AVERAGE(OFFSET($H$3,0,0,'Données projet'!$E$9+1,1))</f>
        <v>299.45724561493057</v>
      </c>
      <c r="T73" s="59">
        <f t="shared" si="88"/>
        <v>297.63369027443196</v>
      </c>
      <c r="U73" s="15">
        <f>IF(ISNA(VLOOKUP(A73,'Données projet'!$A$35:$I$55,3,0)),0,VLOOKUP(A73,'Données projet'!$A$35:$I$55,3,0))</f>
        <v>10</v>
      </c>
      <c r="V73" s="15">
        <f>IF(ISNA(VLOOKUP(A73,'Données projet'!$A$35:$I$55,4,0)),0,VLOOKUP(A73,'Données projet'!$A$35:$I$55,4,0))</f>
        <v>342.4</v>
      </c>
      <c r="W73" s="16">
        <f>IF(ISNA(VLOOKUP(A73,'Données projet'!$A$35:$I$55,5,0)),0%,VLOOKUP(A73,'Données projet'!$A$35:$I$55,5,0)*VLOOKUP('Données projet'!$B$9,Paramètres!$A$1:$I$89,7,0))</f>
        <v>0.31500000000000006</v>
      </c>
      <c r="X73" s="16">
        <f>IF(ISNA(VLOOKUP(A73,'Données projet'!$A$35:$I$55,6,0)),0%,VLOOKUP(A73,'Données projet'!$A$35:$I$55,6,0)*VLOOKUP('Données projet'!$B$9,Paramètres!$A$1:$I$89,7,0))</f>
        <v>0.13500000000000001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97.849572629237201</v>
      </c>
      <c r="AA73" s="21">
        <f>EXP(-LN(2)/25)*AA72+(1-EXP(-LN(2)/25))/(LN(2)/25)*Calculateur!V73*Calculateur!X73*VLOOKUP('Données projet'!$B$9,Paramètres!$A$1:$I$89,3,0)*0.475*44/12</f>
        <v>55.333058489487314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153.18263111872452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63.537330592882277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3.4106051316484809E-13</v>
      </c>
      <c r="AJ73" s="13">
        <f>AI73*VLOOKUP('Données projet'!$B$10,Paramètres!$A$1:$I$89,3,0)*VLOOKUP('Données projet'!$B$10,Paramètres!$A$1:$I$89,5,0)</f>
        <v>1.9065282685915009E-13</v>
      </c>
      <c r="AK73" s="13">
        <f t="shared" si="89"/>
        <v>2.6568987209435707E-12</v>
      </c>
      <c r="AL73" s="20">
        <f t="shared" si="58"/>
        <v>4.959485612423072E-12</v>
      </c>
      <c r="AM73" s="59">
        <f t="shared" si="59"/>
        <v>269.63687884057333</v>
      </c>
      <c r="AN73" s="59">
        <f ca="1">AVERAGE(OFFSET($AM$3,0,0,'Données projet'!$E$10+1,1))-AVERAGE(OFFSET($H$3,0,0,'Données projet'!$E$10+1,1))</f>
        <v>363.98181065114898</v>
      </c>
      <c r="AO73" s="59">
        <f t="shared" si="90"/>
        <v>410.85213343666396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196.57322245410705</v>
      </c>
      <c r="AV73" s="21">
        <f>EXP(-LN(2)/25)*AV72+(1-EXP(-LN(2)/25))/(LN(2)/25)*Calculateur!AQ73*Calculateur!AS73*VLOOKUP('Données projet'!$B$10,Paramètres!$A$1:$I$89,3,0)*0.475*44/12</f>
        <v>100.43469007086263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297.0079125249697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63.537330592882277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11.53125</v>
      </c>
      <c r="BD73" s="12">
        <f>IF('Données projet'!$A$88&gt;35,BD72+BC73-BL72,IF(A73&lt;'Données projet'!$A$88,$BA$205^A73,IF(A73='Données projet'!$A$88,'Données projet'!$B$88,BD72+BC73-BL72)))</f>
        <v>442.64999999999992</v>
      </c>
      <c r="BE73" s="13">
        <f>BD73*VLOOKUP('Données projet'!$B$11,Paramètres!$A$1:$I$89,3,0)*VLOOKUP('Données projet'!$B$11,Paramètres!$A$1:$I$89,5,0)</f>
        <v>386.69903999999997</v>
      </c>
      <c r="BF73" s="13">
        <f t="shared" si="91"/>
        <v>89.074815332006366</v>
      </c>
      <c r="BG73" s="20">
        <f t="shared" si="61"/>
        <v>828.63946470324436</v>
      </c>
      <c r="BH73" s="59">
        <f t="shared" si="62"/>
        <v>1098.2763435438128</v>
      </c>
      <c r="BI73" s="59">
        <f ca="1">AVERAGE(OFFSET($BH$3,0,0,'Données projet'!$E$11+1,1))-AVERAGE(OFFSET($H$3,0,0,'Données projet'!$E$11+1,1))</f>
        <v>433.6995276469014</v>
      </c>
      <c r="BJ73" s="59">
        <f t="shared" si="92"/>
        <v>306.37969720280557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26.23558140695976</v>
      </c>
      <c r="BQ73" s="21">
        <f>EXP(-LN(2)/25)*BQ72+(1-EXP(-LN(2)/25))/(LN(2)/25)*Calculateur!BL73*Calculateur!BN73*VLOOKUP('Données projet'!$B$11,Paramètres!$A$1:$I$89,3,0)*0.475*44/12</f>
        <v>12.378669739011857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38.614251145971615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63.537330592882277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6</v>
      </c>
      <c r="BY73" s="12">
        <f>IF('Données projet'!$A$114&gt;35,BY72+BX73-CG72,IF(A73&lt;'Données projet'!$A$114,$BV$205^A73,IF(A73='Données projet'!$A$114,'Données projet'!$B$114,BY72+BX73-CG72)))</f>
        <v>150</v>
      </c>
      <c r="BZ73" s="13">
        <f>BY73*VLOOKUP('Données projet'!$B$12,Paramètres!$A$1:$I$89,3,0)*VLOOKUP('Données projet'!$B$12,Paramètres!$A$1:$I$89,5,0)</f>
        <v>145.08000000000001</v>
      </c>
      <c r="CA73" s="13">
        <f t="shared" si="93"/>
        <v>37.458337067672986</v>
      </c>
      <c r="CB73" s="20">
        <f t="shared" si="64"/>
        <v>317.9209370595305</v>
      </c>
      <c r="CC73" s="59">
        <f t="shared" si="65"/>
        <v>587.55781590009883</v>
      </c>
      <c r="CD73" s="59">
        <f ca="1">AVERAGE(OFFSET($CC$3,0,0,'Données projet'!$E$12+1,1))-AVERAGE(OFFSET($H$3,0,0,'Données projet'!$E$12+1,1))</f>
        <v>455.95436253828132</v>
      </c>
      <c r="CE73" s="59">
        <f t="shared" si="94"/>
        <v>64.829921296688497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17.605295888385289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17.605295888385289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63.537330592882277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5.6843418860808015E-14</v>
      </c>
      <c r="CU73" s="17">
        <f>CT73*VLOOKUP('Données projet'!$B$13,Paramètres!$A$1:$I$89,3,0)*VLOOKUP('Données projet'!$B$13,Paramètres!$A$1:$I$89,5,0)</f>
        <v>4.4337866711430253E-14</v>
      </c>
      <c r="CV73" s="13">
        <f t="shared" si="95"/>
        <v>7.3222115536967035E-13</v>
      </c>
      <c r="CW73" s="20">
        <f t="shared" si="67"/>
        <v>1.3525069634579169E-12</v>
      </c>
      <c r="CX73" s="59">
        <f t="shared" si="68"/>
        <v>269.63687884056975</v>
      </c>
      <c r="CY73" s="59">
        <f ca="1">AVERAGE(OFFSET($CX$3,0,0,'Données projet'!$E$13+1,1))-AVERAGE(OFFSET($H$3,0,0,'Données projet'!$E$13+1,1))</f>
        <v>306.44760579759713</v>
      </c>
      <c r="CZ73" s="59">
        <f t="shared" si="96"/>
        <v>300.30192123221718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86.711164202359157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86.711164202359157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63.537330592882277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63.537330592882277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63.537330592882277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63.537330592882277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63.537330592882277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4.4000000000000004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16.133333333333336</v>
      </c>
      <c r="H74" s="67">
        <f t="shared" si="56"/>
        <v>192.13333333333333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63.649443458731504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1.1368683772161603E-13</v>
      </c>
      <c r="O74" s="13">
        <f>N74*VLOOKUP('Données projet'!$B$9,Paramètres!$A$1:$I$89,3,0)*VLOOKUP('Données projet'!$B$9,Paramètres!$A$1:$I$89,5,0)</f>
        <v>6.7984728957526396E-14</v>
      </c>
      <c r="P74" s="13">
        <f t="shared" si="87"/>
        <v>1.0682447123141398E-12</v>
      </c>
      <c r="Q74" s="20">
        <f t="shared" si="54"/>
        <v>1.978932943548152E-12</v>
      </c>
      <c r="R74" s="59">
        <f t="shared" si="55"/>
        <v>270.04795934868412</v>
      </c>
      <c r="S74" s="59">
        <f ca="1">AVERAGE(OFFSET($R$3,0,0,'Données projet'!$E$9+1,1))-AVERAGE(OFFSET($H$3,0,0,'Données projet'!$E$9+1,1))</f>
        <v>299.45724561493057</v>
      </c>
      <c r="T74" s="59">
        <f t="shared" si="88"/>
        <v>297.63369027443196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95.930802192324023</v>
      </c>
      <c r="AA74" s="21">
        <f>EXP(-LN(2)/25)*AA73+(1-EXP(-LN(2)/25))/(LN(2)/25)*Calculateur!V74*Calculateur!X74*VLOOKUP('Données projet'!$B$9,Paramètres!$A$1:$I$89,3,0)*0.475*44/12</f>
        <v>53.819973095253204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149.75077528757723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63.649443458731504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3.4106051316484809E-13</v>
      </c>
      <c r="AJ74" s="13">
        <f>AI74*VLOOKUP('Données projet'!$B$10,Paramètres!$A$1:$I$89,3,0)*VLOOKUP('Données projet'!$B$10,Paramètres!$A$1:$I$89,5,0)</f>
        <v>1.9065282685915009E-13</v>
      </c>
      <c r="AK74" s="13">
        <f t="shared" si="89"/>
        <v>2.6568987209435707E-12</v>
      </c>
      <c r="AL74" s="20">
        <f t="shared" si="58"/>
        <v>4.959485612423072E-12</v>
      </c>
      <c r="AM74" s="59">
        <f t="shared" si="59"/>
        <v>270.04795934868707</v>
      </c>
      <c r="AN74" s="59">
        <f ca="1">AVERAGE(OFFSET($AM$3,0,0,'Données projet'!$E$10+1,1))-AVERAGE(OFFSET($H$3,0,0,'Données projet'!$E$10+1,1))</f>
        <v>363.98181065114898</v>
      </c>
      <c r="AO74" s="59">
        <f t="shared" si="90"/>
        <v>410.85213343666396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192.71854145960879</v>
      </c>
      <c r="AV74" s="21">
        <f>EXP(-LN(2)/25)*AV73+(1-EXP(-LN(2)/25))/(LN(2)/25)*Calculateur!AQ74*Calculateur!AS74*VLOOKUP('Données projet'!$B$10,Paramètres!$A$1:$I$89,3,0)*0.475*44/12</f>
        <v>97.68829818924408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290.40683964885284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63.649443458731504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11.53125</v>
      </c>
      <c r="BD74" s="12">
        <f>IF('Données projet'!$A$88&gt;35,BD73+BC74-BL73,IF(A74&lt;'Données projet'!$A$88,$BA$205^A74,IF(A74='Données projet'!$A$88,'Données projet'!$B$88,BD73+BC74-BL73)))</f>
        <v>454.18124999999992</v>
      </c>
      <c r="BE74" s="13">
        <f>BD74*VLOOKUP('Données projet'!$B$11,Paramètres!$A$1:$I$89,3,0)*VLOOKUP('Données projet'!$B$11,Paramètres!$A$1:$I$89,5,0)</f>
        <v>396.77273999999994</v>
      </c>
      <c r="BF74" s="13">
        <f t="shared" si="91"/>
        <v>91.122079630437298</v>
      </c>
      <c r="BG74" s="20">
        <f t="shared" si="61"/>
        <v>849.75014418967828</v>
      </c>
      <c r="BH74" s="59">
        <f t="shared" si="62"/>
        <v>1119.7981035383605</v>
      </c>
      <c r="BI74" s="59">
        <f ca="1">AVERAGE(OFFSET($BH$3,0,0,'Données projet'!$E$11+1,1))-AVERAGE(OFFSET($H$3,0,0,'Données projet'!$E$11+1,1))</f>
        <v>433.6995276469014</v>
      </c>
      <c r="BJ74" s="59">
        <f t="shared" si="92"/>
        <v>306.37969720280557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25.72111765769386</v>
      </c>
      <c r="BQ74" s="21">
        <f>EXP(-LN(2)/25)*BQ73+(1-EXP(-LN(2)/25))/(LN(2)/25)*Calculateur!BL74*Calculateur!BN74*VLOOKUP('Données projet'!$B$11,Paramètres!$A$1:$I$89,3,0)*0.475*44/12</f>
        <v>12.040174364032628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37.76129202172649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63.649443458731504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</v>
      </c>
      <c r="BY74" s="12">
        <f>IF('Données projet'!$A$114&gt;35,BY73+BX74-CG73,IF(A74&lt;'Données projet'!$A$114,$BV$205^A74,IF(A74='Données projet'!$A$114,'Données projet'!$B$114,BY73+BX74-CG73)))</f>
        <v>156</v>
      </c>
      <c r="BZ74" s="13">
        <f>BY74*VLOOKUP('Données projet'!$B$12,Paramètres!$A$1:$I$89,3,0)*VLOOKUP('Données projet'!$B$12,Paramètres!$A$1:$I$89,5,0)</f>
        <v>150.88320000000002</v>
      </c>
      <c r="CA74" s="13">
        <f t="shared" si="93"/>
        <v>38.779227360583199</v>
      </c>
      <c r="CB74" s="20">
        <f t="shared" si="64"/>
        <v>330.32872765301573</v>
      </c>
      <c r="CC74" s="59">
        <f t="shared" si="65"/>
        <v>600.37668700169786</v>
      </c>
      <c r="CD74" s="59">
        <f ca="1">AVERAGE(OFFSET($CC$3,0,0,'Données projet'!$E$12+1,1))-AVERAGE(OFFSET($H$3,0,0,'Données projet'!$E$12+1,1))</f>
        <v>455.95436253828132</v>
      </c>
      <c r="CE74" s="59">
        <f t="shared" si="94"/>
        <v>64.829921296688497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17.260066774184239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17.260066774184239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63.649443458731504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5.6843418860808015E-14</v>
      </c>
      <c r="CU74" s="17">
        <f>CT74*VLOOKUP('Données projet'!$B$13,Paramètres!$A$1:$I$89,3,0)*VLOOKUP('Données projet'!$B$13,Paramètres!$A$1:$I$89,5,0)</f>
        <v>4.4337866711430253E-14</v>
      </c>
      <c r="CV74" s="13">
        <f t="shared" si="95"/>
        <v>7.3222115536967035E-13</v>
      </c>
      <c r="CW74" s="20">
        <f t="shared" si="67"/>
        <v>1.3525069634579169E-12</v>
      </c>
      <c r="CX74" s="59">
        <f t="shared" si="68"/>
        <v>270.04795934868349</v>
      </c>
      <c r="CY74" s="59">
        <f ca="1">AVERAGE(OFFSET($CX$3,0,0,'Données projet'!$E$13+1,1))-AVERAGE(OFFSET($H$3,0,0,'Données projet'!$E$13+1,1))</f>
        <v>306.44760579759713</v>
      </c>
      <c r="CZ74" s="59">
        <f t="shared" si="96"/>
        <v>300.30192123221718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85.010811160938744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85.010811160938744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63.649443458731504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63.649443458731504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63.649443458731504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63.649443458731504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63.649443458731504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4.4000000000000004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16.133333333333336</v>
      </c>
      <c r="H75" s="67">
        <f t="shared" si="56"/>
        <v>192.13333333333333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63.759611417005054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1.1368683772161603E-13</v>
      </c>
      <c r="O75" s="13">
        <f>N75*VLOOKUP('Données projet'!$B$9,Paramètres!$A$1:$I$89,3,0)*VLOOKUP('Données projet'!$B$9,Paramètres!$A$1:$I$89,5,0)</f>
        <v>6.7984728957526396E-14</v>
      </c>
      <c r="P75" s="13">
        <f t="shared" si="87"/>
        <v>1.0682447123141398E-12</v>
      </c>
      <c r="Q75" s="20">
        <f t="shared" si="54"/>
        <v>1.978932943548152E-12</v>
      </c>
      <c r="R75" s="59">
        <f t="shared" si="55"/>
        <v>270.45190852902056</v>
      </c>
      <c r="S75" s="59">
        <f ca="1">AVERAGE(OFFSET($R$3,0,0,'Données projet'!$E$9+1,1))-AVERAGE(OFFSET($H$3,0,0,'Données projet'!$E$9+1,1))</f>
        <v>299.45724561493057</v>
      </c>
      <c r="T75" s="59">
        <f t="shared" si="88"/>
        <v>297.63369027443196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94.049657673344299</v>
      </c>
      <c r="AA75" s="21">
        <f>EXP(-LN(2)/25)*AA74+(1-EXP(-LN(2)/25))/(LN(2)/25)*Calculateur!V75*Calculateur!X75*VLOOKUP('Données projet'!$B$9,Paramètres!$A$1:$I$89,3,0)*0.475*44/12</f>
        <v>52.348263100694126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146.39792077403843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63.759611417005054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3.4106051316484809E-13</v>
      </c>
      <c r="AJ75" s="13">
        <f>AI75*VLOOKUP('Données projet'!$B$10,Paramètres!$A$1:$I$89,3,0)*VLOOKUP('Données projet'!$B$10,Paramètres!$A$1:$I$89,5,0)</f>
        <v>1.9065282685915009E-13</v>
      </c>
      <c r="AK75" s="13">
        <f t="shared" si="89"/>
        <v>2.6568987209435707E-12</v>
      </c>
      <c r="AL75" s="20">
        <f t="shared" si="58"/>
        <v>4.959485612423072E-12</v>
      </c>
      <c r="AM75" s="59">
        <f t="shared" si="59"/>
        <v>270.45190852902351</v>
      </c>
      <c r="AN75" s="59">
        <f ca="1">AVERAGE(OFFSET($AM$3,0,0,'Données projet'!$E$10+1,1))-AVERAGE(OFFSET($H$3,0,0,'Données projet'!$E$10+1,1))</f>
        <v>363.98181065114898</v>
      </c>
      <c r="AO75" s="59">
        <f t="shared" si="90"/>
        <v>410.85213343666396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188.93944840828937</v>
      </c>
      <c r="AV75" s="21">
        <f>EXP(-LN(2)/25)*AV74+(1-EXP(-LN(2)/25))/(LN(2)/25)*Calculateur!AQ75*Calculateur!AS75*VLOOKUP('Données projet'!$B$10,Paramètres!$A$1:$I$89,3,0)*0.475*44/12</f>
        <v>95.017006538054872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283.95645494634425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63.759611417005054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11.53125</v>
      </c>
      <c r="BD75" s="12">
        <f>IF('Données projet'!$A$88&gt;35,BD74+BC75-BL74,IF(A75&lt;'Données projet'!$A$88,$BA$205^A75,IF(A75='Données projet'!$A$88,'Données projet'!$B$88,BD74+BC75-BL74)))</f>
        <v>465.71249999999992</v>
      </c>
      <c r="BE75" s="13">
        <f>BD75*VLOOKUP('Données projet'!$B$11,Paramètres!$A$1:$I$89,3,0)*VLOOKUP('Données projet'!$B$11,Paramètres!$A$1:$I$89,5,0)</f>
        <v>406.84643999999997</v>
      </c>
      <c r="BF75" s="13">
        <f t="shared" si="91"/>
        <v>93.163301913633518</v>
      </c>
      <c r="BG75" s="20">
        <f t="shared" si="61"/>
        <v>870.85030049957822</v>
      </c>
      <c r="BH75" s="59">
        <f t="shared" si="62"/>
        <v>1141.3022090285967</v>
      </c>
      <c r="BI75" s="59">
        <f ca="1">AVERAGE(OFFSET($BH$3,0,0,'Données projet'!$E$11+1,1))-AVERAGE(OFFSET($H$3,0,0,'Données projet'!$E$11+1,1))</f>
        <v>433.6995276469014</v>
      </c>
      <c r="BJ75" s="59">
        <f t="shared" si="92"/>
        <v>306.37969720280557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25.216742228759159</v>
      </c>
      <c r="BQ75" s="21">
        <f>EXP(-LN(2)/25)*BQ74+(1-EXP(-LN(2)/25))/(LN(2)/25)*Calculateur!BL75*Calculateur!BN75*VLOOKUP('Données projet'!$B$11,Paramètres!$A$1:$I$89,3,0)*0.475*44/12</f>
        <v>11.710935162882905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36.927677391642064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63.759611417005054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</v>
      </c>
      <c r="BY75" s="12">
        <f>IF('Données projet'!$A$114&gt;35,BY74+BX75-CG74,IF(A75&lt;'Données projet'!$A$114,$BV$205^A75,IF(A75='Données projet'!$A$114,'Données projet'!$B$114,BY74+BX75-CG74)))</f>
        <v>162</v>
      </c>
      <c r="BZ75" s="13">
        <f>BY75*VLOOKUP('Données projet'!$B$12,Paramètres!$A$1:$I$89,3,0)*VLOOKUP('Données projet'!$B$12,Paramètres!$A$1:$I$89,5,0)</f>
        <v>156.68639999999999</v>
      </c>
      <c r="CA75" s="13">
        <f t="shared" si="93"/>
        <v>40.094215809840712</v>
      </c>
      <c r="CB75" s="20">
        <f t="shared" si="64"/>
        <v>342.7262392021392</v>
      </c>
      <c r="CC75" s="59">
        <f t="shared" si="65"/>
        <v>613.17814773115776</v>
      </c>
      <c r="CD75" s="59">
        <f ca="1">AVERAGE(OFFSET($CC$3,0,0,'Données projet'!$E$12+1,1))-AVERAGE(OFFSET($H$3,0,0,'Données projet'!$E$12+1,1))</f>
        <v>455.95436253828132</v>
      </c>
      <c r="CE75" s="59">
        <f t="shared" si="94"/>
        <v>64.829921296688497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16.921607392343702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16.921607392343702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63.759611417005054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5.6843418860808015E-14</v>
      </c>
      <c r="CU75" s="17">
        <f>CT75*VLOOKUP('Données projet'!$B$13,Paramètres!$A$1:$I$89,3,0)*VLOOKUP('Données projet'!$B$13,Paramètres!$A$1:$I$89,5,0)</f>
        <v>4.4337866711430253E-14</v>
      </c>
      <c r="CV75" s="13">
        <f t="shared" si="95"/>
        <v>7.3222115536967035E-13</v>
      </c>
      <c r="CW75" s="20">
        <f t="shared" si="67"/>
        <v>1.3525069634579169E-12</v>
      </c>
      <c r="CX75" s="59">
        <f t="shared" si="68"/>
        <v>270.45190852901993</v>
      </c>
      <c r="CY75" s="59">
        <f ca="1">AVERAGE(OFFSET($CX$3,0,0,'Données projet'!$E$13+1,1))-AVERAGE(OFFSET($H$3,0,0,'Données projet'!$E$13+1,1))</f>
        <v>306.44760579759713</v>
      </c>
      <c r="CZ75" s="59">
        <f t="shared" si="96"/>
        <v>300.30192123221718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83.343801005547633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83.343801005547633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63.759611417005054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63.759611417005054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63.759611417005054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63.759611417005054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63.759611417005054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4.4000000000000004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16.133333333333336</v>
      </c>
      <c r="H76" s="67">
        <f t="shared" si="56"/>
        <v>192.13333333333333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63.867868207501218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1.1368683772161603E-13</v>
      </c>
      <c r="O76" s="13">
        <f>N76*VLOOKUP('Données projet'!$B$9,Paramètres!$A$1:$I$89,3,0)*VLOOKUP('Données projet'!$B$9,Paramètres!$A$1:$I$89,5,0)</f>
        <v>6.7984728957526396E-14</v>
      </c>
      <c r="P76" s="13">
        <f t="shared" si="87"/>
        <v>1.0682447123141398E-12</v>
      </c>
      <c r="Q76" s="20">
        <f t="shared" si="54"/>
        <v>1.978932943548152E-12</v>
      </c>
      <c r="R76" s="59">
        <f t="shared" si="55"/>
        <v>270.84885009417314</v>
      </c>
      <c r="S76" s="59">
        <f ca="1">AVERAGE(OFFSET($R$3,0,0,'Données projet'!$E$9+1,1))-AVERAGE(OFFSET($H$3,0,0,'Données projet'!$E$9+1,1))</f>
        <v>299.45724561493057</v>
      </c>
      <c r="T76" s="59">
        <f t="shared" si="88"/>
        <v>297.63369027443196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92.205401250996914</v>
      </c>
      <c r="AA76" s="21">
        <f>EXP(-LN(2)/25)*AA75+(1-EXP(-LN(2)/25))/(LN(2)/25)*Calculateur!V76*Calculateur!X76*VLOOKUP('Données projet'!$B$9,Paramètres!$A$1:$I$89,3,0)*0.475*44/12</f>
        <v>50.916797093330132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143.12219834432705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63.867868207501218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3.4106051316484809E-13</v>
      </c>
      <c r="AJ76" s="13">
        <f>AI76*VLOOKUP('Données projet'!$B$10,Paramètres!$A$1:$I$89,3,0)*VLOOKUP('Données projet'!$B$10,Paramètres!$A$1:$I$89,5,0)</f>
        <v>1.9065282685915009E-13</v>
      </c>
      <c r="AK76" s="13">
        <f t="shared" si="89"/>
        <v>2.6568987209435707E-12</v>
      </c>
      <c r="AL76" s="20">
        <f t="shared" si="58"/>
        <v>4.959485612423072E-12</v>
      </c>
      <c r="AM76" s="59">
        <f t="shared" si="59"/>
        <v>270.8488500941761</v>
      </c>
      <c r="AN76" s="59">
        <f ca="1">AVERAGE(OFFSET($AM$3,0,0,'Données projet'!$E$10+1,1))-AVERAGE(OFFSET($H$3,0,0,'Données projet'!$E$10+1,1))</f>
        <v>363.98181065114898</v>
      </c>
      <c r="AO76" s="59">
        <f t="shared" si="90"/>
        <v>410.85213343666396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185.23446106668717</v>
      </c>
      <c r="AV76" s="21">
        <f>EXP(-LN(2)/25)*AV75+(1-EXP(-LN(2)/25))/(LN(2)/25)*Calculateur!AQ76*Calculateur!AS76*VLOOKUP('Données projet'!$B$10,Paramètres!$A$1:$I$89,3,0)*0.475*44/12</f>
        <v>92.418761497544551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277.65322256423173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63.867868207501218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11.53125</v>
      </c>
      <c r="BD76" s="12">
        <f>IF('Données projet'!$A$88&gt;35,BD75+BC76-BL75,IF(A76&lt;'Données projet'!$A$88,$BA$205^A76,IF(A76='Données projet'!$A$88,'Données projet'!$B$88,BD75+BC76-BL75)))</f>
        <v>477.24374999999992</v>
      </c>
      <c r="BE76" s="13">
        <f>BD76*VLOOKUP('Données projet'!$B$11,Paramètres!$A$1:$I$89,3,0)*VLOOKUP('Données projet'!$B$11,Paramètres!$A$1:$I$89,5,0)</f>
        <v>416.92013999999995</v>
      </c>
      <c r="BF76" s="13">
        <f t="shared" si="91"/>
        <v>95.198648992414618</v>
      </c>
      <c r="BG76" s="20">
        <f t="shared" si="61"/>
        <v>891.94022416178871</v>
      </c>
      <c r="BH76" s="59">
        <f t="shared" si="62"/>
        <v>1162.7890742559598</v>
      </c>
      <c r="BI76" s="59">
        <f ca="1">AVERAGE(OFFSET($BH$3,0,0,'Données projet'!$E$11+1,1))-AVERAGE(OFFSET($H$3,0,0,'Données projet'!$E$11+1,1))</f>
        <v>433.6995276469014</v>
      </c>
      <c r="BJ76" s="59">
        <f t="shared" si="92"/>
        <v>306.37969720280557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24.722257294347234</v>
      </c>
      <c r="BQ76" s="21">
        <f>EXP(-LN(2)/25)*BQ75+(1-EXP(-LN(2)/25))/(LN(2)/25)*Calculateur!BL76*Calculateur!BN76*VLOOKUP('Données projet'!$B$11,Paramètres!$A$1:$I$89,3,0)*0.475*44/12</f>
        <v>11.390699025002558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36.112956319349792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63.867868207501218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</v>
      </c>
      <c r="BY76" s="12">
        <f>IF('Données projet'!$A$114&gt;35,BY75+BX76-CG75,IF(A76&lt;'Données projet'!$A$114,$BV$205^A76,IF(A76='Données projet'!$A$114,'Données projet'!$B$114,BY75+BX76-CG75)))</f>
        <v>168</v>
      </c>
      <c r="BZ76" s="13">
        <f>BY76*VLOOKUP('Données projet'!$B$12,Paramètres!$A$1:$I$89,3,0)*VLOOKUP('Données projet'!$B$12,Paramètres!$A$1:$I$89,5,0)</f>
        <v>162.4896</v>
      </c>
      <c r="CA76" s="13">
        <f t="shared" si="93"/>
        <v>41.403546033820696</v>
      </c>
      <c r="CB76" s="20">
        <f t="shared" si="64"/>
        <v>355.11389600890431</v>
      </c>
      <c r="CC76" s="59">
        <f t="shared" si="65"/>
        <v>625.96274610307546</v>
      </c>
      <c r="CD76" s="59">
        <f ca="1">AVERAGE(OFFSET($CC$3,0,0,'Données projet'!$E$12+1,1))-AVERAGE(OFFSET($H$3,0,0,'Données projet'!$E$12+1,1))</f>
        <v>455.95436253828132</v>
      </c>
      <c r="CE76" s="59">
        <f t="shared" si="94"/>
        <v>64.829921296688497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16.589784992541222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16.589784992541222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63.867868207501218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5.6843418860808015E-14</v>
      </c>
      <c r="CU76" s="17">
        <f>CT76*VLOOKUP('Données projet'!$B$13,Paramètres!$A$1:$I$89,3,0)*VLOOKUP('Données projet'!$B$13,Paramètres!$A$1:$I$89,5,0)</f>
        <v>4.4337866711430253E-14</v>
      </c>
      <c r="CV76" s="13">
        <f t="shared" si="95"/>
        <v>7.3222115536967035E-13</v>
      </c>
      <c r="CW76" s="20">
        <f t="shared" si="67"/>
        <v>1.3525069634579169E-12</v>
      </c>
      <c r="CX76" s="59">
        <f t="shared" si="68"/>
        <v>270.84885009417252</v>
      </c>
      <c r="CY76" s="59">
        <f ca="1">AVERAGE(OFFSET($CX$3,0,0,'Données projet'!$E$13+1,1))-AVERAGE(OFFSET($H$3,0,0,'Données projet'!$E$13+1,1))</f>
        <v>306.44760579759713</v>
      </c>
      <c r="CZ76" s="59">
        <f t="shared" si="96"/>
        <v>300.30192123221718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81.709479902527946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81.709479902527946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63.867868207501218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63.867868207501218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63.867868207501218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63.867868207501218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63.867868207501218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4.4000000000000004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16.133333333333336</v>
      </c>
      <c r="H77" s="67">
        <f t="shared" si="56"/>
        <v>192.13333333333333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63.974246984708195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1.1368683772161603E-13</v>
      </c>
      <c r="O77" s="13">
        <f>N77*VLOOKUP('Données projet'!$B$9,Paramètres!$A$1:$I$89,3,0)*VLOOKUP('Données projet'!$B$9,Paramètres!$A$1:$I$89,5,0)</f>
        <v>6.7984728957526396E-14</v>
      </c>
      <c r="P77" s="13">
        <f t="shared" si="87"/>
        <v>1.0682447123141398E-12</v>
      </c>
      <c r="Q77" s="20">
        <f t="shared" si="54"/>
        <v>1.978932943548152E-12</v>
      </c>
      <c r="R77" s="59">
        <f t="shared" si="55"/>
        <v>271.23890561059875</v>
      </c>
      <c r="S77" s="59">
        <f ca="1">AVERAGE(OFFSET($R$3,0,0,'Données projet'!$E$9+1,1))-AVERAGE(OFFSET($H$3,0,0,'Données projet'!$E$9+1,1))</f>
        <v>299.45724561493057</v>
      </c>
      <c r="T77" s="59">
        <f t="shared" si="88"/>
        <v>297.63369027443196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90.39730957220641</v>
      </c>
      <c r="AA77" s="21">
        <f>EXP(-LN(2)/25)*AA76+(1-EXP(-LN(2)/25))/(LN(2)/25)*Calculateur!V77*Calculateur!X77*VLOOKUP('Données projet'!$B$9,Paramètres!$A$1:$I$89,3,0)*0.475*44/12</f>
        <v>49.524474599215033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139.92178417142145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63.974246984708195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3.4106051316484809E-13</v>
      </c>
      <c r="AJ77" s="13">
        <f>AI77*VLOOKUP('Données projet'!$B$10,Paramètres!$A$1:$I$89,3,0)*VLOOKUP('Données projet'!$B$10,Paramètres!$A$1:$I$89,5,0)</f>
        <v>1.9065282685915009E-13</v>
      </c>
      <c r="AK77" s="13">
        <f t="shared" si="89"/>
        <v>2.6568987209435707E-12</v>
      </c>
      <c r="AL77" s="20">
        <f t="shared" si="58"/>
        <v>4.959485612423072E-12</v>
      </c>
      <c r="AM77" s="59">
        <f t="shared" si="59"/>
        <v>271.23890561060171</v>
      </c>
      <c r="AN77" s="59">
        <f ca="1">AVERAGE(OFFSET($AM$3,0,0,'Données projet'!$E$10+1,1))-AVERAGE(OFFSET($H$3,0,0,'Données projet'!$E$10+1,1))</f>
        <v>363.98181065114898</v>
      </c>
      <c r="AO77" s="59">
        <f t="shared" si="90"/>
        <v>410.85213343666396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181.60212626703466</v>
      </c>
      <c r="AV77" s="21">
        <f>EXP(-LN(2)/25)*AV76+(1-EXP(-LN(2)/25))/(LN(2)/25)*Calculateur!AQ77*Calculateur!AS77*VLOOKUP('Données projet'!$B$10,Paramètres!$A$1:$I$89,3,0)*0.475*44/12</f>
        <v>89.891565604302755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271.49369187133743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63.974246984708195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11.53125</v>
      </c>
      <c r="BD77" s="12">
        <f>IF('Données projet'!$A$88&gt;35,BD76+BC77-BL76,IF(A77&lt;'Données projet'!$A$88,$BA$205^A77,IF(A77='Données projet'!$A$88,'Données projet'!$B$88,BD76+BC77-BL76)))</f>
        <v>488.77499999999992</v>
      </c>
      <c r="BE77" s="13">
        <f>BD77*VLOOKUP('Données projet'!$B$11,Paramètres!$A$1:$I$89,3,0)*VLOOKUP('Données projet'!$B$11,Paramètres!$A$1:$I$89,5,0)</f>
        <v>426.99384000000003</v>
      </c>
      <c r="BF77" s="13">
        <f t="shared" si="91"/>
        <v>97.228279156909025</v>
      </c>
      <c r="BG77" s="20">
        <f t="shared" si="61"/>
        <v>913.02019086494977</v>
      </c>
      <c r="BH77" s="59">
        <f t="shared" si="62"/>
        <v>1184.2590964755466</v>
      </c>
      <c r="BI77" s="59">
        <f ca="1">AVERAGE(OFFSET($BH$3,0,0,'Données projet'!$E$11+1,1))-AVERAGE(OFFSET($H$3,0,0,'Données projet'!$E$11+1,1))</f>
        <v>433.6995276469014</v>
      </c>
      <c r="BJ77" s="59">
        <f t="shared" si="92"/>
        <v>306.37969720280557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24.237468907893099</v>
      </c>
      <c r="BQ77" s="21">
        <f>EXP(-LN(2)/25)*BQ76+(1-EXP(-LN(2)/25))/(LN(2)/25)*Calculateur!BL77*Calculateur!BN77*VLOOKUP('Données projet'!$B$11,Paramètres!$A$1:$I$89,3,0)*0.475*44/12</f>
        <v>11.079219761153036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35.316688669046137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63.974246984708195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</v>
      </c>
      <c r="BY77" s="12">
        <f>IF('Données projet'!$A$114&gt;35,BY76+BX77-CG76,IF(A77&lt;'Données projet'!$A$114,$BV$205^A77,IF(A77='Données projet'!$A$114,'Données projet'!$B$114,BY76+BX77-CG76)))</f>
        <v>174</v>
      </c>
      <c r="BZ77" s="13">
        <f>BY77*VLOOKUP('Données projet'!$B$12,Paramètres!$A$1:$I$89,3,0)*VLOOKUP('Données projet'!$B$12,Paramètres!$A$1:$I$89,5,0)</f>
        <v>168.2928</v>
      </c>
      <c r="CA77" s="13">
        <f t="shared" si="93"/>
        <v>42.707443263135104</v>
      </c>
      <c r="CB77" s="20">
        <f t="shared" si="64"/>
        <v>367.49209034996028</v>
      </c>
      <c r="CC77" s="59">
        <f t="shared" si="65"/>
        <v>638.73099596055704</v>
      </c>
      <c r="CD77" s="59">
        <f ca="1">AVERAGE(OFFSET($CC$3,0,0,'Données projet'!$E$12+1,1))-AVERAGE(OFFSET($H$3,0,0,'Données projet'!$E$12+1,1))</f>
        <v>455.95436253828132</v>
      </c>
      <c r="CE77" s="59">
        <f t="shared" si="94"/>
        <v>64.829921296688497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16.264469427607189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16.264469427607189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63.974246984708195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5.6843418860808015E-14</v>
      </c>
      <c r="CU77" s="17">
        <f>CT77*VLOOKUP('Données projet'!$B$13,Paramètres!$A$1:$I$89,3,0)*VLOOKUP('Données projet'!$B$13,Paramètres!$A$1:$I$89,5,0)</f>
        <v>4.4337866711430253E-14</v>
      </c>
      <c r="CV77" s="13">
        <f t="shared" si="95"/>
        <v>7.3222115536967035E-13</v>
      </c>
      <c r="CW77" s="20">
        <f t="shared" si="67"/>
        <v>1.3525069634579169E-12</v>
      </c>
      <c r="CX77" s="59">
        <f t="shared" si="68"/>
        <v>271.23890561059812</v>
      </c>
      <c r="CY77" s="59">
        <f ca="1">AVERAGE(OFFSET($CX$3,0,0,'Données projet'!$E$13+1,1))-AVERAGE(OFFSET($H$3,0,0,'Données projet'!$E$13+1,1))</f>
        <v>306.44760579759713</v>
      </c>
      <c r="CZ77" s="59">
        <f t="shared" si="96"/>
        <v>300.30192123221718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80.107206839501032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80.107206839501032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63.974246984708195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63.974246984708195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63.974246984708195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63.974246984708195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63.974246984708195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4.4000000000000004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16.133333333333336</v>
      </c>
      <c r="H78" s="67">
        <f t="shared" si="56"/>
        <v>192.13333333333333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64.078780327957958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1.1368683772161603E-13</v>
      </c>
      <c r="O78" s="13">
        <f>N78*VLOOKUP('Données projet'!$B$9,Paramètres!$A$1:$I$89,3,0)*VLOOKUP('Données projet'!$B$9,Paramètres!$A$1:$I$89,5,0)</f>
        <v>6.7984728957526396E-14</v>
      </c>
      <c r="P78" s="13">
        <f t="shared" si="87"/>
        <v>1.0682447123141398E-12</v>
      </c>
      <c r="Q78" s="20">
        <f t="shared" si="54"/>
        <v>1.978932943548152E-12</v>
      </c>
      <c r="R78" s="59">
        <f t="shared" si="55"/>
        <v>271.62219453584783</v>
      </c>
      <c r="S78" s="59">
        <f ca="1">AVERAGE(OFFSET($R$3,0,0,'Données projet'!$E$9+1,1))-AVERAGE(OFFSET($H$3,0,0,'Données projet'!$E$9+1,1))</f>
        <v>299.45724561493057</v>
      </c>
      <c r="T78" s="59">
        <f t="shared" si="88"/>
        <v>297.63369027443196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88.624673468409966</v>
      </c>
      <c r="AA78" s="21">
        <f>EXP(-LN(2)/25)*AA77+(1-EXP(-LN(2)/25))/(LN(2)/25)*Calculateur!V78*Calculateur!X78*VLOOKUP('Données projet'!$B$9,Paramètres!$A$1:$I$89,3,0)*0.475*44/12</f>
        <v>48.170225236920565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136.79489870533052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64.078780327957958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3.4106051316484809E-13</v>
      </c>
      <c r="AJ78" s="13">
        <f>AI78*VLOOKUP('Données projet'!$B$10,Paramètres!$A$1:$I$89,3,0)*VLOOKUP('Données projet'!$B$10,Paramètres!$A$1:$I$89,5,0)</f>
        <v>1.9065282685915009E-13</v>
      </c>
      <c r="AK78" s="13">
        <f t="shared" si="89"/>
        <v>2.6568987209435707E-12</v>
      </c>
      <c r="AL78" s="20">
        <f t="shared" si="58"/>
        <v>4.959485612423072E-12</v>
      </c>
      <c r="AM78" s="59">
        <f t="shared" si="59"/>
        <v>271.62219453585078</v>
      </c>
      <c r="AN78" s="59">
        <f ca="1">AVERAGE(OFFSET($AM$3,0,0,'Données projet'!$E$10+1,1))-AVERAGE(OFFSET($H$3,0,0,'Données projet'!$E$10+1,1))</f>
        <v>363.98181065114898</v>
      </c>
      <c r="AO78" s="59">
        <f t="shared" si="90"/>
        <v>410.85213343666396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178.04101933729785</v>
      </c>
      <c r="AV78" s="21">
        <f>EXP(-LN(2)/25)*AV77+(1-EXP(-LN(2)/25))/(LN(2)/25)*Calculateur!AQ78*Calculateur!AS78*VLOOKUP('Données projet'!$B$10,Paramètres!$A$1:$I$89,3,0)*0.475*44/12</f>
        <v>87.433476015661114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265.47449535295897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64.078780327957958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11.53125</v>
      </c>
      <c r="BD78" s="12">
        <f>IF('Données projet'!$A$88&gt;35,BD77+BC78-BL77,IF(A78&lt;'Données projet'!$A$88,$BA$205^A78,IF(A78='Données projet'!$A$88,'Données projet'!$B$88,BD77+BC78-BL77)))</f>
        <v>500.30624999999992</v>
      </c>
      <c r="BE78" s="13">
        <f>BD78*VLOOKUP('Données projet'!$B$11,Paramètres!$A$1:$I$89,3,0)*VLOOKUP('Données projet'!$B$11,Paramètres!$A$1:$I$89,5,0)</f>
        <v>437.06754000000001</v>
      </c>
      <c r="BF78" s="13">
        <f t="shared" si="91"/>
        <v>99.252342802391027</v>
      </c>
      <c r="BG78" s="20">
        <f t="shared" si="61"/>
        <v>934.09046254749762</v>
      </c>
      <c r="BH78" s="59">
        <f t="shared" si="62"/>
        <v>1205.7126570833434</v>
      </c>
      <c r="BI78" s="59">
        <f ca="1">AVERAGE(OFFSET($BH$3,0,0,'Données projet'!$E$11+1,1))-AVERAGE(OFFSET($H$3,0,0,'Données projet'!$E$11+1,1))</f>
        <v>433.6995276469014</v>
      </c>
      <c r="BJ78" s="59">
        <f t="shared" si="92"/>
        <v>306.37969720280557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23.762186926005612</v>
      </c>
      <c r="BQ78" s="21">
        <f>EXP(-LN(2)/25)*BQ77+(1-EXP(-LN(2)/25))/(LN(2)/25)*Calculateur!BL78*Calculateur!BN78*VLOOKUP('Données projet'!$B$11,Paramètres!$A$1:$I$89,3,0)*0.475*44/12</f>
        <v>10.776257914153462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34.538444840159073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64.078780327957958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</v>
      </c>
      <c r="BY78" s="12">
        <f>IF('Données projet'!$A$114&gt;35,BY77+BX78-CG77,IF(A78&lt;'Données projet'!$A$114,$BV$205^A78,IF(A78='Données projet'!$A$114,'Données projet'!$B$114,BY77+BX78-CG77)))</f>
        <v>180</v>
      </c>
      <c r="BZ78" s="13">
        <f>BY78*VLOOKUP('Données projet'!$B$12,Paramètres!$A$1:$I$89,3,0)*VLOOKUP('Données projet'!$B$12,Paramètres!$A$1:$I$89,5,0)</f>
        <v>174.096</v>
      </c>
      <c r="CA78" s="13">
        <f t="shared" si="93"/>
        <v>44.00611631426144</v>
      </c>
      <c r="CB78" s="20">
        <f t="shared" si="64"/>
        <v>379.86118591400532</v>
      </c>
      <c r="CC78" s="59">
        <f t="shared" si="65"/>
        <v>651.48338044985121</v>
      </c>
      <c r="CD78" s="59">
        <f ca="1">AVERAGE(OFFSET($CC$3,0,0,'Données projet'!$E$12+1,1))-AVERAGE(OFFSET($H$3,0,0,'Données projet'!$E$12+1,1))</f>
        <v>455.95436253828132</v>
      </c>
      <c r="CE78" s="59">
        <f t="shared" si="94"/>
        <v>64.829921296688497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15.94553310247861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15.94553310247861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64.078780327957958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5.6843418860808015E-14</v>
      </c>
      <c r="CU78" s="17">
        <f>CT78*VLOOKUP('Données projet'!$B$13,Paramètres!$A$1:$I$89,3,0)*VLOOKUP('Données projet'!$B$13,Paramètres!$A$1:$I$89,5,0)</f>
        <v>4.4337866711430253E-14</v>
      </c>
      <c r="CV78" s="13">
        <f t="shared" si="95"/>
        <v>7.3222115536967035E-13</v>
      </c>
      <c r="CW78" s="20">
        <f t="shared" si="67"/>
        <v>1.3525069634579169E-12</v>
      </c>
      <c r="CX78" s="59">
        <f t="shared" si="68"/>
        <v>271.6221945358472</v>
      </c>
      <c r="CY78" s="59">
        <f ca="1">AVERAGE(OFFSET($CX$3,0,0,'Données projet'!$E$13+1,1))-AVERAGE(OFFSET($H$3,0,0,'Données projet'!$E$13+1,1))</f>
        <v>306.44760579759713</v>
      </c>
      <c r="CZ78" s="59">
        <f t="shared" si="96"/>
        <v>300.30192123221718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78.536353373950007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78.536353373950007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64.078780327957958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64.078780327957958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64.078780327957958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64.078780327957958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64.078780327957958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4.4000000000000004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16.133333333333336</v>
      </c>
      <c r="H79" s="67">
        <f t="shared" si="56"/>
        <v>192.13333333333333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64.181500251403875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1.1368683772161603E-13</v>
      </c>
      <c r="O79" s="13">
        <f>N79*VLOOKUP('Données projet'!$B$9,Paramètres!$A$1:$I$89,3,0)*VLOOKUP('Données projet'!$B$9,Paramètres!$A$1:$I$89,5,0)</f>
        <v>6.7984728957526396E-14</v>
      </c>
      <c r="P79" s="13">
        <f t="shared" si="87"/>
        <v>1.0682447123141398E-12</v>
      </c>
      <c r="Q79" s="20">
        <f t="shared" si="54"/>
        <v>1.978932943548152E-12</v>
      </c>
      <c r="R79" s="59">
        <f t="shared" si="55"/>
        <v>271.99883425514952</v>
      </c>
      <c r="S79" s="59">
        <f ca="1">AVERAGE(OFFSET($R$3,0,0,'Données projet'!$E$9+1,1))-AVERAGE(OFFSET($H$3,0,0,'Données projet'!$E$9+1,1))</f>
        <v>299.45724561493057</v>
      </c>
      <c r="T79" s="59">
        <f t="shared" si="88"/>
        <v>297.63369027443196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86.886797677407699</v>
      </c>
      <c r="AA79" s="21">
        <f>EXP(-LN(2)/25)*AA78+(1-EXP(-LN(2)/25))/(LN(2)/25)*Calculateur!V79*Calculateur!X79*VLOOKUP('Données projet'!$B$9,Paramètres!$A$1:$I$89,3,0)*0.475*44/12</f>
        <v>46.853007894654922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133.73980557206261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64.181500251403875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3.4106051316484809E-13</v>
      </c>
      <c r="AJ79" s="13">
        <f>AI79*VLOOKUP('Données projet'!$B$10,Paramètres!$A$1:$I$89,3,0)*VLOOKUP('Données projet'!$B$10,Paramètres!$A$1:$I$89,5,0)</f>
        <v>1.9065282685915009E-13</v>
      </c>
      <c r="AK79" s="13">
        <f t="shared" si="89"/>
        <v>2.6568987209435707E-12</v>
      </c>
      <c r="AL79" s="20">
        <f t="shared" si="58"/>
        <v>4.959485612423072E-12</v>
      </c>
      <c r="AM79" s="59">
        <f t="shared" si="59"/>
        <v>271.99883425515247</v>
      </c>
      <c r="AN79" s="59">
        <f ca="1">AVERAGE(OFFSET($AM$3,0,0,'Données projet'!$E$10+1,1))-AVERAGE(OFFSET($H$3,0,0,'Données projet'!$E$10+1,1))</f>
        <v>363.98181065114898</v>
      </c>
      <c r="AO79" s="59">
        <f t="shared" si="90"/>
        <v>410.85213343666396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174.54974354239243</v>
      </c>
      <c r="AV79" s="21">
        <f>EXP(-LN(2)/25)*AV78+(1-EXP(-LN(2)/25))/(LN(2)/25)*Calculateur!AQ79*Calculateur!AS79*VLOOKUP('Données projet'!$B$10,Paramètres!$A$1:$I$89,3,0)*0.475*44/12</f>
        <v>85.04260301608619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259.59234655847865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64.181500251403875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11.53125</v>
      </c>
      <c r="BD79" s="12">
        <f>IF('Données projet'!$A$88&gt;35,BD78+BC79-BL78,IF(A79&lt;'Données projet'!$A$88,$BA$205^A79,IF(A79='Données projet'!$A$88,'Données projet'!$B$88,BD78+BC79-BL78)))</f>
        <v>511.83749999999992</v>
      </c>
      <c r="BE79" s="13">
        <f>BD79*VLOOKUP('Données projet'!$B$11,Paramètres!$A$1:$I$89,3,0)*VLOOKUP('Données projet'!$B$11,Paramètres!$A$1:$I$89,5,0)</f>
        <v>447.14123999999998</v>
      </c>
      <c r="BF79" s="13">
        <f t="shared" si="91"/>
        <v>101.2709829957939</v>
      </c>
      <c r="BG79" s="20">
        <f t="shared" si="61"/>
        <v>955.151288384341</v>
      </c>
      <c r="BH79" s="59">
        <f t="shared" si="62"/>
        <v>1227.1501226394885</v>
      </c>
      <c r="BI79" s="59">
        <f ca="1">AVERAGE(OFFSET($BH$3,0,0,'Données projet'!$E$11+1,1))-AVERAGE(OFFSET($H$3,0,0,'Données projet'!$E$11+1,1))</f>
        <v>433.6995276469014</v>
      </c>
      <c r="BJ79" s="59">
        <f t="shared" si="92"/>
        <v>306.37969720280557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23.296224933889551</v>
      </c>
      <c r="BQ79" s="21">
        <f>EXP(-LN(2)/25)*BQ78+(1-EXP(-LN(2)/25))/(LN(2)/25)*Calculateur!BL79*Calculateur!BN79*VLOOKUP('Données projet'!$B$11,Paramètres!$A$1:$I$89,3,0)*0.475*44/12</f>
        <v>10.481580574792162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33.777805508681709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64.181500251403875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</v>
      </c>
      <c r="BY79" s="12">
        <f>IF('Données projet'!$A$114&gt;35,BY78+BX79-CG78,IF(A79&lt;'Données projet'!$A$114,$BV$205^A79,IF(A79='Données projet'!$A$114,'Données projet'!$B$114,BY78+BX79-CG78)))</f>
        <v>186</v>
      </c>
      <c r="BZ79" s="13">
        <f>BY79*VLOOKUP('Données projet'!$B$12,Paramètres!$A$1:$I$89,3,0)*VLOOKUP('Données projet'!$B$12,Paramètres!$A$1:$I$89,5,0)</f>
        <v>179.89920000000001</v>
      </c>
      <c r="CA79" s="13">
        <f t="shared" si="93"/>
        <v>45.299759292628586</v>
      </c>
      <c r="CB79" s="20">
        <f t="shared" si="64"/>
        <v>392.22152076799483</v>
      </c>
      <c r="CC79" s="59">
        <f t="shared" si="65"/>
        <v>664.22035502314236</v>
      </c>
      <c r="CD79" s="59">
        <f ca="1">AVERAGE(OFFSET($CC$3,0,0,'Données projet'!$E$12+1,1))-AVERAGE(OFFSET($H$3,0,0,'Données projet'!$E$12+1,1))</f>
        <v>455.95436253828132</v>
      </c>
      <c r="CE79" s="59">
        <f t="shared" si="94"/>
        <v>64.829921296688497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15.632850924153852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15.632850924153852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64.181500251403875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5.6843418860808015E-14</v>
      </c>
      <c r="CU79" s="17">
        <f>CT79*VLOOKUP('Données projet'!$B$13,Paramètres!$A$1:$I$89,3,0)*VLOOKUP('Données projet'!$B$13,Paramètres!$A$1:$I$89,5,0)</f>
        <v>4.4337866711430253E-14</v>
      </c>
      <c r="CV79" s="13">
        <f t="shared" si="95"/>
        <v>7.3222115536967035E-13</v>
      </c>
      <c r="CW79" s="20">
        <f t="shared" si="67"/>
        <v>1.3525069634579169E-12</v>
      </c>
      <c r="CX79" s="59">
        <f t="shared" si="68"/>
        <v>271.99883425514889</v>
      </c>
      <c r="CY79" s="59">
        <f ca="1">AVERAGE(OFFSET($CX$3,0,0,'Données projet'!$E$13+1,1))-AVERAGE(OFFSET($H$3,0,0,'Données projet'!$E$13+1,1))</f>
        <v>306.44760579759713</v>
      </c>
      <c r="CZ79" s="59">
        <f t="shared" si="96"/>
        <v>300.30192123221718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76.996303386732436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76.996303386732436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64.181500251403875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64.181500251403875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64.181500251403875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64.181500251403875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64.181500251403875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4.4000000000000004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16.133333333333336</v>
      </c>
      <c r="H80" s="67">
        <f t="shared" si="56"/>
        <v>192.13333333333333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64.282438213825358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1.1368683772161603E-13</v>
      </c>
      <c r="O80" s="13">
        <f>N80*VLOOKUP('Données projet'!$B$9,Paramètres!$A$1:$I$89,3,0)*VLOOKUP('Données projet'!$B$9,Paramètres!$A$1:$I$89,5,0)</f>
        <v>6.7984728957526396E-14</v>
      </c>
      <c r="P80" s="13">
        <f t="shared" si="87"/>
        <v>1.0682447123141398E-12</v>
      </c>
      <c r="Q80" s="20">
        <f t="shared" si="54"/>
        <v>1.978932943548152E-12</v>
      </c>
      <c r="R80" s="59">
        <f t="shared" si="55"/>
        <v>272.3689401173616</v>
      </c>
      <c r="S80" s="59">
        <f ca="1">AVERAGE(OFFSET($R$3,0,0,'Données projet'!$E$9+1,1))-AVERAGE(OFFSET($H$3,0,0,'Données projet'!$E$9+1,1))</f>
        <v>299.45724561493057</v>
      </c>
      <c r="T80" s="59">
        <f t="shared" si="88"/>
        <v>297.63369027443196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85.183000570667431</v>
      </c>
      <c r="AA80" s="21">
        <f>EXP(-LN(2)/25)*AA79+(1-EXP(-LN(2)/25))/(LN(2)/25)*Calculateur!V80*Calculateur!X80*VLOOKUP('Données projet'!$B$9,Paramètres!$A$1:$I$89,3,0)*0.475*44/12</f>
        <v>45.571809929882981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130.75481050055041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64.282438213825358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3.4106051316484809E-13</v>
      </c>
      <c r="AJ80" s="13">
        <f>AI80*VLOOKUP('Données projet'!$B$10,Paramètres!$A$1:$I$89,3,0)*VLOOKUP('Données projet'!$B$10,Paramètres!$A$1:$I$89,5,0)</f>
        <v>1.9065282685915009E-13</v>
      </c>
      <c r="AK80" s="13">
        <f t="shared" si="89"/>
        <v>2.6568987209435707E-12</v>
      </c>
      <c r="AL80" s="20">
        <f t="shared" si="58"/>
        <v>4.959485612423072E-12</v>
      </c>
      <c r="AM80" s="59">
        <f t="shared" si="59"/>
        <v>272.36894011736456</v>
      </c>
      <c r="AN80" s="59">
        <f ca="1">AVERAGE(OFFSET($AM$3,0,0,'Données projet'!$E$10+1,1))-AVERAGE(OFFSET($H$3,0,0,'Données projet'!$E$10+1,1))</f>
        <v>363.98181065114898</v>
      </c>
      <c r="AO80" s="59">
        <f t="shared" si="90"/>
        <v>410.85213343666396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171.12692953635715</v>
      </c>
      <c r="AV80" s="21">
        <f>EXP(-LN(2)/25)*AV79+(1-EXP(-LN(2)/25))/(LN(2)/25)*Calculateur!AQ80*Calculateur!AS80*VLOOKUP('Données projet'!$B$10,Paramètres!$A$1:$I$89,3,0)*0.475*44/12</f>
        <v>82.717108564415184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253.84403810077234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64.282438213825358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11.53125</v>
      </c>
      <c r="BD80" s="12">
        <f>IF('Données projet'!$A$88&gt;35,BD79+BC80-BL79,IF(A80&lt;'Données projet'!$A$88,$BA$205^A80,IF(A80='Données projet'!$A$88,'Données projet'!$B$88,BD79+BC80-BL79)))</f>
        <v>523.36874999999986</v>
      </c>
      <c r="BE80" s="13">
        <f>BD80*VLOOKUP('Données projet'!$B$11,Paramètres!$A$1:$I$89,3,0)*VLOOKUP('Données projet'!$B$11,Paramètres!$A$1:$I$89,5,0)</f>
        <v>457.21493999999996</v>
      </c>
      <c r="BF80" s="13">
        <f t="shared" si="91"/>
        <v>103.28433598973167</v>
      </c>
      <c r="BG80" s="20">
        <f t="shared" si="61"/>
        <v>976.20290568211578</v>
      </c>
      <c r="BH80" s="59">
        <f t="shared" si="62"/>
        <v>1248.5718457994753</v>
      </c>
      <c r="BI80" s="59">
        <f ca="1">AVERAGE(OFFSET($BH$3,0,0,'Données projet'!$E$11+1,1))-AVERAGE(OFFSET($H$3,0,0,'Données projet'!$E$11+1,1))</f>
        <v>433.6995276469014</v>
      </c>
      <c r="BJ80" s="59">
        <f t="shared" si="92"/>
        <v>306.37969720280557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22.839400172230135</v>
      </c>
      <c r="BQ80" s="21">
        <f>EXP(-LN(2)/25)*BQ79+(1-EXP(-LN(2)/25))/(LN(2)/25)*Calculateur!BL80*Calculateur!BN80*VLOOKUP('Données projet'!$B$11,Paramètres!$A$1:$I$89,3,0)*0.475*44/12</f>
        <v>10.194961202772104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33.034361375002241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64.282438213825358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>
        <f>VLOOKUP(A80,'Données projet'!$A$113:$I$133,2,0)</f>
        <v>192</v>
      </c>
      <c r="BW80" s="12">
        <f>VLOOKUP(A80,'Données projet'!$A$113:$I$133,9,0)</f>
        <v>6</v>
      </c>
      <c r="BX80" s="12">
        <f t="array" ref="BX80">INDEX(BW:BW,MIN(IF(ISNUMBER(BW80:BW276),ROW(BW80:BW276),"")))</f>
        <v>6</v>
      </c>
      <c r="BY80" s="12">
        <f>IF('Données projet'!$A$114&gt;35,BY79+BX80-CG79,IF(A80&lt;'Données projet'!$A$114,$BV$205^A80,IF(A80='Données projet'!$A$114,'Données projet'!$B$114,BY79+BX80-CG79)))</f>
        <v>192</v>
      </c>
      <c r="BZ80" s="13">
        <f>BY80*VLOOKUP('Données projet'!$B$12,Paramètres!$A$1:$I$89,3,0)*VLOOKUP('Données projet'!$B$12,Paramètres!$A$1:$I$89,5,0)</f>
        <v>185.70239999999998</v>
      </c>
      <c r="CA80" s="13">
        <f t="shared" si="93"/>
        <v>46.588553069776829</v>
      </c>
      <c r="CB80" s="20">
        <f t="shared" si="64"/>
        <v>404.57340992986127</v>
      </c>
      <c r="CC80" s="59">
        <f t="shared" si="65"/>
        <v>676.94235004722088</v>
      </c>
      <c r="CD80" s="59">
        <f ca="1">AVERAGE(OFFSET($CC$3,0,0,'Données projet'!$E$12+1,1))-AVERAGE(OFFSET($H$3,0,0,'Données projet'!$E$12+1,1))</f>
        <v>455.95436253828132</v>
      </c>
      <c r="CE80" s="59">
        <f t="shared" si="94"/>
        <v>64.829921296688497</v>
      </c>
      <c r="CF80" s="15">
        <f>IF(ISNA(VLOOKUP(A80,'Données projet'!$A$113:$I$133,3,0)),0,VLOOKUP(A80,'Données projet'!$A$113:$I$133,3,0))</f>
        <v>6</v>
      </c>
      <c r="CG80" s="15">
        <f>IF(ISNA(VLOOKUP(A80,'Données projet'!$A$113:$I$133,4,0)),0,VLOOKUP(A80,'Données projet'!$A$113:$I$133,4,0))</f>
        <v>31</v>
      </c>
      <c r="CH80" s="16">
        <f>IF(ISNA(VLOOKUP(A80,'Données projet'!$A$113:$I$133,5,0)),0%,VLOOKUP(A80,'Données projet'!$A$113:$I$133,5,0)*VLOOKUP('Données projet'!$B$12,Paramètres!$A$1:$I$89,7,0))</f>
        <v>0.25800000000000001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23.877849439400734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23.877849439400734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64.282438213825358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5.6843418860808015E-14</v>
      </c>
      <c r="CU80" s="17">
        <f>CT80*VLOOKUP('Données projet'!$B$13,Paramètres!$A$1:$I$89,3,0)*VLOOKUP('Données projet'!$B$13,Paramètres!$A$1:$I$89,5,0)</f>
        <v>4.4337866711430253E-14</v>
      </c>
      <c r="CV80" s="13">
        <f t="shared" si="95"/>
        <v>7.3222115536967035E-13</v>
      </c>
      <c r="CW80" s="20">
        <f t="shared" si="67"/>
        <v>1.3525069634579169E-12</v>
      </c>
      <c r="CX80" s="59">
        <f t="shared" si="68"/>
        <v>272.36894011736098</v>
      </c>
      <c r="CY80" s="59">
        <f ca="1">AVERAGE(OFFSET($CX$3,0,0,'Données projet'!$E$13+1,1))-AVERAGE(OFFSET($H$3,0,0,'Données projet'!$E$13+1,1))</f>
        <v>306.44760579759713</v>
      </c>
      <c r="CZ80" s="59">
        <f t="shared" si="96"/>
        <v>300.30192123221718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75.486452840426452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75.486452840426452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64.282438213825358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64.282438213825358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64.282438213825358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64.282438213825358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64.282438213825358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4.4000000000000004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16.133333333333336</v>
      </c>
      <c r="H81" s="67">
        <f t="shared" si="56"/>
        <v>192.13333333333333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64.381625128262286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1.1368683772161603E-13</v>
      </c>
      <c r="O81" s="13">
        <f>N81*VLOOKUP('Données projet'!$B$9,Paramètres!$A$1:$I$89,3,0)*VLOOKUP('Données projet'!$B$9,Paramètres!$A$1:$I$89,5,0)</f>
        <v>6.7984728957526396E-14</v>
      </c>
      <c r="P81" s="13">
        <f t="shared" si="87"/>
        <v>1.0682447123141398E-12</v>
      </c>
      <c r="Q81" s="20">
        <f t="shared" si="54"/>
        <v>1.978932943548152E-12</v>
      </c>
      <c r="R81" s="59">
        <f t="shared" si="55"/>
        <v>272.73262547029702</v>
      </c>
      <c r="S81" s="59">
        <f ca="1">AVERAGE(OFFSET($R$3,0,0,'Données projet'!$E$9+1,1))-AVERAGE(OFFSET($H$3,0,0,'Données projet'!$E$9+1,1))</f>
        <v>299.45724561493057</v>
      </c>
      <c r="T81" s="59">
        <f t="shared" si="88"/>
        <v>297.63369027443196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83.51261388597672</v>
      </c>
      <c r="AA81" s="21">
        <f>EXP(-LN(2)/25)*AA80+(1-EXP(-LN(2)/25))/(LN(2)/25)*Calculateur!V81*Calculateur!X81*VLOOKUP('Données projet'!$B$9,Paramètres!$A$1:$I$89,3,0)*0.475*44/12</f>
        <v>44.325646390833001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127.83826027680972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64.381625128262286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3.4106051316484809E-13</v>
      </c>
      <c r="AJ81" s="13">
        <f>AI81*VLOOKUP('Données projet'!$B$10,Paramètres!$A$1:$I$89,3,0)*VLOOKUP('Données projet'!$B$10,Paramètres!$A$1:$I$89,5,0)</f>
        <v>1.9065282685915009E-13</v>
      </c>
      <c r="AK81" s="13">
        <f t="shared" si="89"/>
        <v>2.6568987209435707E-12</v>
      </c>
      <c r="AL81" s="20">
        <f t="shared" si="58"/>
        <v>4.959485612423072E-12</v>
      </c>
      <c r="AM81" s="59">
        <f t="shared" si="59"/>
        <v>272.73262547029998</v>
      </c>
      <c r="AN81" s="59">
        <f ca="1">AVERAGE(OFFSET($AM$3,0,0,'Données projet'!$E$10+1,1))-AVERAGE(OFFSET($H$3,0,0,'Données projet'!$E$10+1,1))</f>
        <v>363.98181065114898</v>
      </c>
      <c r="AO81" s="59">
        <f t="shared" si="90"/>
        <v>410.85213343666396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167.77123482526983</v>
      </c>
      <c r="AV81" s="21">
        <f>EXP(-LN(2)/25)*AV80+(1-EXP(-LN(2)/25))/(LN(2)/25)*Calculateur!AQ81*Calculateur!AS81*VLOOKUP('Données projet'!$B$10,Paramètres!$A$1:$I$89,3,0)*0.475*44/12</f>
        <v>80.455204880817561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248.22643970608738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64.381625128262286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>
        <f>VLOOKUP(A81,'Données projet'!$A$87:$I$107,2,0)</f>
        <v>534.9</v>
      </c>
      <c r="BB81" s="12">
        <f>VLOOKUP(A81,'Données projet'!$A$87:$I$107,9,0)</f>
        <v>11.53125</v>
      </c>
      <c r="BC81" s="12">
        <f t="array" ref="BC81">INDEX(BB:BB,MIN(IF(ISNUMBER(BB81:BB277),ROW(BB81:BB277),"")))</f>
        <v>11.53125</v>
      </c>
      <c r="BD81" s="12">
        <f>IF('Données projet'!$A$88&gt;35,BD80+BC81-BL80,IF(A81&lt;'Données projet'!$A$88,$BA$205^A81,IF(A81='Données projet'!$A$88,'Données projet'!$B$88,BD80+BC81-BL80)))</f>
        <v>534.89999999999986</v>
      </c>
      <c r="BE81" s="13">
        <f>BD81*VLOOKUP('Données projet'!$B$11,Paramètres!$A$1:$I$89,3,0)*VLOOKUP('Données projet'!$B$11,Paramètres!$A$1:$I$89,5,0)</f>
        <v>467.28863999999987</v>
      </c>
      <c r="BF81" s="13">
        <f t="shared" si="91"/>
        <v>105.29253168994205</v>
      </c>
      <c r="BG81" s="20">
        <f t="shared" si="61"/>
        <v>997.24554069331555</v>
      </c>
      <c r="BH81" s="59">
        <f t="shared" si="62"/>
        <v>1269.9781661636107</v>
      </c>
      <c r="BI81" s="59">
        <f ca="1">AVERAGE(OFFSET($BH$3,0,0,'Données projet'!$E$11+1,1))-AVERAGE(OFFSET($H$3,0,0,'Données projet'!$E$11+1,1))</f>
        <v>433.6995276469014</v>
      </c>
      <c r="BJ81" s="59">
        <f t="shared" si="92"/>
        <v>306.37969720280557</v>
      </c>
      <c r="BK81" s="15">
        <f>IF(ISNA(VLOOKUP(A81,'Données projet'!$A$87:$I$107,3,0)),0,VLOOKUP(A81,'Données projet'!$A$87:$I$107,3,0))</f>
        <v>6</v>
      </c>
      <c r="BL81" s="15">
        <f>IF(ISNA(VLOOKUP(A81,'Données projet'!$A$87:$I$107,4,0)),0,VLOOKUP(A81,'Données projet'!$A$87:$I$107,4,0))</f>
        <v>534.9</v>
      </c>
      <c r="BM81" s="16">
        <f>IF(ISNA(VLOOKUP(A81,'Données projet'!$A$87:$I$107,5,0)),0%,VLOOKUP(A81,'Données projet'!$A$87:$I$107,5,0)*VLOOKUP('Données projet'!$B$11,Paramètres!$A$1:$I$89,7,0))</f>
        <v>0.25800000000000001</v>
      </c>
      <c r="BN81" s="16">
        <f>IF(ISNA(VLOOKUP(A81,'Données projet'!$A$87:$I$107,6,0)),0%,VLOOKUP(A81,'Données projet'!$A$87:$I$107,6,0)*VLOOKUP('Données projet'!$B$11,Paramètres!$A$1:$I$89,7,0))</f>
        <v>0.129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155.66756102026821</v>
      </c>
      <c r="BQ81" s="21">
        <f>EXP(-LN(2)/25)*BQ80+(1-EXP(-LN(2)/25))/(LN(2)/25)*Calculateur!BL81*Calculateur!BN81*VLOOKUP('Données projet'!$B$11,Paramètres!$A$1:$I$89,3,0)*0.475*44/12</f>
        <v>76.29181397861565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231.95937499888385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64.381625128262286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5.75</v>
      </c>
      <c r="BY81" s="12">
        <f>IF('Données projet'!$A$114&gt;35,BY80+BX81-CG80,IF(A81&lt;'Données projet'!$A$114,$BV$205^A81,IF(A81='Données projet'!$A$114,'Données projet'!$B$114,BY80+BX81-CG80)))</f>
        <v>166.75</v>
      </c>
      <c r="BZ81" s="13">
        <f>BY81*VLOOKUP('Données projet'!$B$12,Paramètres!$A$1:$I$89,3,0)*VLOOKUP('Données projet'!$B$12,Paramètres!$A$1:$I$89,5,0)</f>
        <v>161.28060000000002</v>
      </c>
      <c r="CA81" s="13">
        <f t="shared" si="93"/>
        <v>41.131224162039537</v>
      </c>
      <c r="CB81" s="20">
        <f t="shared" si="64"/>
        <v>352.5339270822189</v>
      </c>
      <c r="CC81" s="59">
        <f t="shared" si="65"/>
        <v>625.26655255251399</v>
      </c>
      <c r="CD81" s="59">
        <f ca="1">AVERAGE(OFFSET($CC$3,0,0,'Données projet'!$E$12+1,1))-AVERAGE(OFFSET($H$3,0,0,'Données projet'!$E$12+1,1))</f>
        <v>455.95436253828132</v>
      </c>
      <c r="CE81" s="59">
        <f t="shared" si="94"/>
        <v>64.829921296688497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23.409619375944164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23.409619375944164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64.381625128262286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5.6843418860808015E-14</v>
      </c>
      <c r="CU81" s="17">
        <f>CT81*VLOOKUP('Données projet'!$B$13,Paramètres!$A$1:$I$89,3,0)*VLOOKUP('Données projet'!$B$13,Paramètres!$A$1:$I$89,5,0)</f>
        <v>4.4337866711430253E-14</v>
      </c>
      <c r="CV81" s="13">
        <f t="shared" si="95"/>
        <v>7.3222115536967035E-13</v>
      </c>
      <c r="CW81" s="20">
        <f t="shared" si="67"/>
        <v>1.3525069634579169E-12</v>
      </c>
      <c r="CX81" s="59">
        <f t="shared" si="68"/>
        <v>272.7326254702964</v>
      </c>
      <c r="CY81" s="59">
        <f ca="1">AVERAGE(OFFSET($CX$3,0,0,'Données projet'!$E$13+1,1))-AVERAGE(OFFSET($H$3,0,0,'Données projet'!$E$13+1,1))</f>
        <v>306.44760579759713</v>
      </c>
      <c r="CZ81" s="59">
        <f t="shared" si="96"/>
        <v>300.30192123221718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74.006209542415633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74.006209542415633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64.381625128262286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64.381625128262286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64.381625128262286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64.381625128262286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64.381625128262286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4.4000000000000004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16.133333333333336</v>
      </c>
      <c r="H82" s="67">
        <f t="shared" si="56"/>
        <v>192.13333333333333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64.479091371482482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1.1368683772161603E-13</v>
      </c>
      <c r="O82" s="13">
        <f>N82*VLOOKUP('Données projet'!$B$9,Paramètres!$A$1:$I$89,3,0)*VLOOKUP('Données projet'!$B$9,Paramètres!$A$1:$I$89,5,0)</f>
        <v>6.7984728957526396E-14</v>
      </c>
      <c r="P82" s="13">
        <f t="shared" si="87"/>
        <v>1.0682447123141398E-12</v>
      </c>
      <c r="Q82" s="20">
        <f t="shared" si="54"/>
        <v>1.978932943548152E-12</v>
      </c>
      <c r="R82" s="59">
        <f t="shared" si="55"/>
        <v>273.09000169543776</v>
      </c>
      <c r="S82" s="59">
        <f ca="1">AVERAGE(OFFSET($R$3,0,0,'Données projet'!$E$9+1,1))-AVERAGE(OFFSET($H$3,0,0,'Données projet'!$E$9+1,1))</f>
        <v>299.45724561493057</v>
      </c>
      <c r="T82" s="59">
        <f t="shared" si="88"/>
        <v>297.63369027443196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81.87498246533751</v>
      </c>
      <c r="AA82" s="21">
        <f>EXP(-LN(2)/25)*AA81+(1-EXP(-LN(2)/25))/(LN(2)/25)*Calculateur!V82*Calculateur!X82*VLOOKUP('Données projet'!$B$9,Paramètres!$A$1:$I$89,3,0)*0.475*44/12</f>
        <v>43.113559259291236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124.98854172462875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64.479091371482482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3.4106051316484809E-13</v>
      </c>
      <c r="AJ82" s="13">
        <f>AI82*VLOOKUP('Données projet'!$B$10,Paramètres!$A$1:$I$89,3,0)*VLOOKUP('Données projet'!$B$10,Paramètres!$A$1:$I$89,5,0)</f>
        <v>1.9065282685915009E-13</v>
      </c>
      <c r="AK82" s="13">
        <f t="shared" si="89"/>
        <v>2.6568987209435707E-12</v>
      </c>
      <c r="AL82" s="20">
        <f t="shared" si="58"/>
        <v>4.959485612423072E-12</v>
      </c>
      <c r="AM82" s="59">
        <f t="shared" si="59"/>
        <v>273.09000169544072</v>
      </c>
      <c r="AN82" s="59">
        <f ca="1">AVERAGE(OFFSET($AM$3,0,0,'Données projet'!$E$10+1,1))-AVERAGE(OFFSET($H$3,0,0,'Données projet'!$E$10+1,1))</f>
        <v>363.98181065114898</v>
      </c>
      <c r="AO82" s="59">
        <f t="shared" si="90"/>
        <v>410.85213343666396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164.48134324069525</v>
      </c>
      <c r="AV82" s="21">
        <f>EXP(-LN(2)/25)*AV81+(1-EXP(-LN(2)/25))/(LN(2)/25)*Calculateur!AQ82*Calculateur!AS82*VLOOKUP('Données projet'!$B$10,Paramètres!$A$1:$I$89,3,0)*0.475*44/12</f>
        <v>78.255153072396268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242.73649631309152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64.479091371482482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-1.1368683772161603E-13</v>
      </c>
      <c r="BE82" s="13">
        <f>BD82*VLOOKUP('Données projet'!$B$11,Paramètres!$A$1:$I$89,3,0)*VLOOKUP('Données projet'!$B$11,Paramètres!$A$1:$I$89,5,0)</f>
        <v>-9.9316821433603781E-14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433.6995276469014</v>
      </c>
      <c r="BJ82" s="59">
        <f t="shared" si="92"/>
        <v>306.37969720280557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152.61501509649764</v>
      </c>
      <c r="BQ82" s="21">
        <f>EXP(-LN(2)/25)*BQ81+(1-EXP(-LN(2)/25))/(LN(2)/25)*Calculateur!BL82*Calculateur!BN82*VLOOKUP('Données projet'!$B$11,Paramètres!$A$1:$I$89,3,0)*0.475*44/12</f>
        <v>74.205610313358278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226.82062540985592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64.479091371482482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5.75</v>
      </c>
      <c r="BY82" s="12">
        <f>IF('Données projet'!$A$114&gt;35,BY81+BX82-CG81,IF(A82&lt;'Données projet'!$A$114,$BV$205^A82,IF(A82='Données projet'!$A$114,'Données projet'!$B$114,BY81+BX82-CG81)))</f>
        <v>172.5</v>
      </c>
      <c r="BZ82" s="13">
        <f>BY82*VLOOKUP('Données projet'!$B$12,Paramètres!$A$1:$I$89,3,0)*VLOOKUP('Données projet'!$B$12,Paramètres!$A$1:$I$89,5,0)</f>
        <v>166.84200000000001</v>
      </c>
      <c r="CA82" s="13">
        <f t="shared" si="93"/>
        <v>42.381966615760369</v>
      </c>
      <c r="CB82" s="20">
        <f t="shared" si="64"/>
        <v>364.3984085224493</v>
      </c>
      <c r="CC82" s="59">
        <f t="shared" si="65"/>
        <v>637.48841021788508</v>
      </c>
      <c r="CD82" s="59">
        <f ca="1">AVERAGE(OFFSET($CC$3,0,0,'Données projet'!$E$12+1,1))-AVERAGE(OFFSET($H$3,0,0,'Données projet'!$E$12+1,1))</f>
        <v>455.95436253828132</v>
      </c>
      <c r="CE82" s="59">
        <f t="shared" si="94"/>
        <v>64.829921296688497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22.950571018439838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22.950571018439838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64.479091371482482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5.6843418860808015E-14</v>
      </c>
      <c r="CU82" s="17">
        <f>CT82*VLOOKUP('Données projet'!$B$13,Paramètres!$A$1:$I$89,3,0)*VLOOKUP('Données projet'!$B$13,Paramètres!$A$1:$I$89,5,0)</f>
        <v>4.4337866711430253E-14</v>
      </c>
      <c r="CV82" s="13">
        <f t="shared" si="95"/>
        <v>7.3222115536967035E-13</v>
      </c>
      <c r="CW82" s="20">
        <f t="shared" si="67"/>
        <v>1.3525069634579169E-12</v>
      </c>
      <c r="CX82" s="59">
        <f t="shared" si="68"/>
        <v>273.09000169543714</v>
      </c>
      <c r="CY82" s="59">
        <f ca="1">AVERAGE(OFFSET($CX$3,0,0,'Données projet'!$E$13+1,1))-AVERAGE(OFFSET($H$3,0,0,'Données projet'!$E$13+1,1))</f>
        <v>306.44760579759713</v>
      </c>
      <c r="CZ82" s="59">
        <f t="shared" si="96"/>
        <v>300.30192123221718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72.554992912619539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72.554992912619539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64.479091371482482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64.479091371482482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64.479091371482482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64.479091371482482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64.479091371482482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4.4000000000000004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16.133333333333336</v>
      </c>
      <c r="H83" s="67">
        <f t="shared" si="56"/>
        <v>192.13333333333333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64.574866793284656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1.1368683772161603E-13</v>
      </c>
      <c r="O83" s="13">
        <f>N83*VLOOKUP('Données projet'!$B$9,Paramètres!$A$1:$I$89,3,0)*VLOOKUP('Données projet'!$B$9,Paramètres!$A$1:$I$89,5,0)</f>
        <v>6.7984728957526396E-14</v>
      </c>
      <c r="P83" s="13">
        <f t="shared" si="87"/>
        <v>1.0682447123141398E-12</v>
      </c>
      <c r="Q83" s="20">
        <f t="shared" si="54"/>
        <v>1.978932943548152E-12</v>
      </c>
      <c r="R83" s="59">
        <f t="shared" si="55"/>
        <v>273.44117824204574</v>
      </c>
      <c r="S83" s="59">
        <f ca="1">AVERAGE(OFFSET($R$3,0,0,'Données projet'!$E$9+1,1))-AVERAGE(OFFSET($H$3,0,0,'Données projet'!$E$9+1,1))</f>
        <v>299.45724561493057</v>
      </c>
      <c r="T83" s="59">
        <f t="shared" si="88"/>
        <v>297.63369027443196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80.269463998000504</v>
      </c>
      <c r="AA83" s="21">
        <f>EXP(-LN(2)/25)*AA82+(1-EXP(-LN(2)/25))/(LN(2)/25)*Calculateur!V83*Calculateur!X83*VLOOKUP('Données projet'!$B$9,Paramètres!$A$1:$I$89,3,0)*0.475*44/12</f>
        <v>41.934616714102376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122.20408071210288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64.574866793284656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3.4106051316484809E-13</v>
      </c>
      <c r="AJ83" s="13">
        <f>AI83*VLOOKUP('Données projet'!$B$10,Paramètres!$A$1:$I$89,3,0)*VLOOKUP('Données projet'!$B$10,Paramètres!$A$1:$I$89,5,0)</f>
        <v>1.9065282685915009E-13</v>
      </c>
      <c r="AK83" s="13">
        <f t="shared" si="89"/>
        <v>2.6568987209435707E-12</v>
      </c>
      <c r="AL83" s="20">
        <f t="shared" si="58"/>
        <v>4.959485612423072E-12</v>
      </c>
      <c r="AM83" s="59">
        <f t="shared" si="59"/>
        <v>273.44117824204869</v>
      </c>
      <c r="AN83" s="59">
        <f ca="1">AVERAGE(OFFSET($AM$3,0,0,'Données projet'!$E$10+1,1))-AVERAGE(OFFSET($H$3,0,0,'Données projet'!$E$10+1,1))</f>
        <v>363.98181065114898</v>
      </c>
      <c r="AO83" s="59">
        <f t="shared" si="90"/>
        <v>410.85213343666396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161.25596442345847</v>
      </c>
      <c r="AV83" s="21">
        <f>EXP(-LN(2)/25)*AV82+(1-EXP(-LN(2)/25))/(LN(2)/25)*Calculateur!AQ83*Calculateur!AS83*VLOOKUP('Données projet'!$B$10,Paramètres!$A$1:$I$89,3,0)*0.475*44/12</f>
        <v>76.115261796371954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237.37122621983042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64.574866793284656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-1.1368683772161603E-13</v>
      </c>
      <c r="BE83" s="13">
        <f>BD83*VLOOKUP('Données projet'!$B$11,Paramètres!$A$1:$I$89,3,0)*VLOOKUP('Données projet'!$B$11,Paramètres!$A$1:$I$89,5,0)</f>
        <v>-9.9316821433603781E-14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433.6995276469014</v>
      </c>
      <c r="BJ83" s="59">
        <f t="shared" si="92"/>
        <v>306.37969720280557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149.62232773642305</v>
      </c>
      <c r="BQ83" s="21">
        <f>EXP(-LN(2)/25)*BQ82+(1-EXP(-LN(2)/25))/(LN(2)/25)*Calculateur!BL83*Calculateur!BN83*VLOOKUP('Données projet'!$B$11,Paramètres!$A$1:$I$89,3,0)*0.475*44/12</f>
        <v>72.176453997036049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221.79878173345909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64.574866793284656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5.75</v>
      </c>
      <c r="BY83" s="12">
        <f>IF('Données projet'!$A$114&gt;35,BY82+BX83-CG82,IF(A83&lt;'Données projet'!$A$114,$BV$205^A83,IF(A83='Données projet'!$A$114,'Données projet'!$B$114,BY82+BX83-CG82)))</f>
        <v>178.25</v>
      </c>
      <c r="BZ83" s="13">
        <f>BY83*VLOOKUP('Données projet'!$B$12,Paramètres!$A$1:$I$89,3,0)*VLOOKUP('Données projet'!$B$12,Paramètres!$A$1:$I$89,5,0)</f>
        <v>172.4034</v>
      </c>
      <c r="CA83" s="13">
        <f t="shared" si="93"/>
        <v>43.627864643442059</v>
      </c>
      <c r="CB83" s="20">
        <f t="shared" si="64"/>
        <v>376.25445258732822</v>
      </c>
      <c r="CC83" s="59">
        <f t="shared" si="65"/>
        <v>649.69563082937202</v>
      </c>
      <c r="CD83" s="59">
        <f ca="1">AVERAGE(OFFSET($CC$3,0,0,'Données projet'!$E$12+1,1))-AVERAGE(OFFSET($H$3,0,0,'Données projet'!$E$12+1,1))</f>
        <v>455.95436253828132</v>
      </c>
      <c r="CE83" s="59">
        <f t="shared" si="94"/>
        <v>64.829921296688497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22.500524319234319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22.500524319234319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64.574866793284656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5.6843418860808015E-14</v>
      </c>
      <c r="CU83" s="17">
        <f>CT83*VLOOKUP('Données projet'!$B$13,Paramètres!$A$1:$I$89,3,0)*VLOOKUP('Données projet'!$B$13,Paramètres!$A$1:$I$89,5,0)</f>
        <v>4.4337866711430253E-14</v>
      </c>
      <c r="CV83" s="13">
        <f t="shared" si="95"/>
        <v>7.3222115536967035E-13</v>
      </c>
      <c r="CW83" s="20">
        <f t="shared" si="67"/>
        <v>1.3525069634579169E-12</v>
      </c>
      <c r="CX83" s="59">
        <f t="shared" si="68"/>
        <v>273.44117824204511</v>
      </c>
      <c r="CY83" s="59">
        <f ca="1">AVERAGE(OFFSET($CX$3,0,0,'Données projet'!$E$13+1,1))-AVERAGE(OFFSET($H$3,0,0,'Données projet'!$E$13+1,1))</f>
        <v>306.44760579759713</v>
      </c>
      <c r="CZ83" s="59">
        <f t="shared" si="96"/>
        <v>300.30192123221718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71.132233755779012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71.132233755779012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64.574866793284656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64.574866793284656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64.574866793284656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64.574866793284656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64.574866793284656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4.4000000000000004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16.133333333333336</v>
      </c>
      <c r="H84" s="67">
        <f t="shared" si="56"/>
        <v>192.13333333333333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64.668980725640338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1.1368683772161603E-13</v>
      </c>
      <c r="O84" s="13">
        <f>N84*VLOOKUP('Données projet'!$B$9,Paramètres!$A$1:$I$89,3,0)*VLOOKUP('Données projet'!$B$9,Paramètres!$A$1:$I$89,5,0)</f>
        <v>6.7984728957526396E-14</v>
      </c>
      <c r="P84" s="13">
        <f t="shared" si="87"/>
        <v>1.0682447123141398E-12</v>
      </c>
      <c r="Q84" s="20">
        <f t="shared" si="54"/>
        <v>1.978932943548152E-12</v>
      </c>
      <c r="R84" s="59">
        <f t="shared" si="55"/>
        <v>273.78626266068324</v>
      </c>
      <c r="S84" s="59">
        <f ca="1">AVERAGE(OFFSET($R$3,0,0,'Données projet'!$E$9+1,1))-AVERAGE(OFFSET($H$3,0,0,'Données projet'!$E$9+1,1))</f>
        <v>299.45724561493057</v>
      </c>
      <c r="T84" s="59">
        <f t="shared" si="88"/>
        <v>297.63369027443196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78.695428768538406</v>
      </c>
      <c r="AA84" s="21">
        <f>EXP(-LN(2)/25)*AA83+(1-EXP(-LN(2)/25))/(LN(2)/25)*Calculateur!V84*Calculateur!X84*VLOOKUP('Données projet'!$B$9,Paramètres!$A$1:$I$89,3,0)*0.475*44/12</f>
        <v>40.787912414809597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119.483341183348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64.668980725640338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3.4106051316484809E-13</v>
      </c>
      <c r="AJ84" s="13">
        <f>AI84*VLOOKUP('Données projet'!$B$10,Paramètres!$A$1:$I$89,3,0)*VLOOKUP('Données projet'!$B$10,Paramètres!$A$1:$I$89,5,0)</f>
        <v>1.9065282685915009E-13</v>
      </c>
      <c r="AK84" s="13">
        <f t="shared" si="89"/>
        <v>2.6568987209435707E-12</v>
      </c>
      <c r="AL84" s="20">
        <f t="shared" si="58"/>
        <v>4.959485612423072E-12</v>
      </c>
      <c r="AM84" s="59">
        <f t="shared" si="59"/>
        <v>273.78626266068619</v>
      </c>
      <c r="AN84" s="59">
        <f ca="1">AVERAGE(OFFSET($AM$3,0,0,'Données projet'!$E$10+1,1))-AVERAGE(OFFSET($H$3,0,0,'Données projet'!$E$10+1,1))</f>
        <v>363.98181065114898</v>
      </c>
      <c r="AO84" s="59">
        <f t="shared" si="90"/>
        <v>410.85213343666396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158.09383331754086</v>
      </c>
      <c r="AV84" s="21">
        <f>EXP(-LN(2)/25)*AV83+(1-EXP(-LN(2)/25))/(LN(2)/25)*Calculateur!AQ84*Calculateur!AS84*VLOOKUP('Données projet'!$B$10,Paramètres!$A$1:$I$89,3,0)*0.475*44/12</f>
        <v>74.033885959822513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232.12771927736338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64.668980725640338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-1.1368683772161603E-13</v>
      </c>
      <c r="BE84" s="13">
        <f>BD84*VLOOKUP('Données projet'!$B$11,Paramètres!$A$1:$I$89,3,0)*VLOOKUP('Données projet'!$B$11,Paramètres!$A$1:$I$89,5,0)</f>
        <v>-9.9316821433603781E-14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433.6995276469014</v>
      </c>
      <c r="BJ84" s="59">
        <f t="shared" si="92"/>
        <v>306.37969720280557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146.68832515012048</v>
      </c>
      <c r="BQ84" s="21">
        <f>EXP(-LN(2)/25)*BQ83+(1-EXP(-LN(2)/25))/(LN(2)/25)*Calculateur!BL84*Calculateur!BN84*VLOOKUP('Données projet'!$B$11,Paramètres!$A$1:$I$89,3,0)*0.475*44/12</f>
        <v>70.202785066892346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216.89111021701282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64.668980725640338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5.75</v>
      </c>
      <c r="BY84" s="12">
        <f>IF('Données projet'!$A$114&gt;35,BY83+BX84-CG83,IF(A84&lt;'Données projet'!$A$114,$BV$205^A84,IF(A84='Données projet'!$A$114,'Données projet'!$B$114,BY83+BX84-CG83)))</f>
        <v>184</v>
      </c>
      <c r="BZ84" s="13">
        <f>BY84*VLOOKUP('Données projet'!$B$12,Paramètres!$A$1:$I$89,3,0)*VLOOKUP('Données projet'!$B$12,Paramètres!$A$1:$I$89,5,0)</f>
        <v>177.9648</v>
      </c>
      <c r="CA84" s="13">
        <f t="shared" si="93"/>
        <v>44.869092441133283</v>
      </c>
      <c r="CB84" s="20">
        <f t="shared" si="64"/>
        <v>388.10236266830719</v>
      </c>
      <c r="CC84" s="59">
        <f t="shared" si="65"/>
        <v>661.88862532898838</v>
      </c>
      <c r="CD84" s="59">
        <f ca="1">AVERAGE(OFFSET($CC$3,0,0,'Données projet'!$E$12+1,1))-AVERAGE(OFFSET($H$3,0,0,'Données projet'!$E$12+1,1))</f>
        <v>455.95436253828132</v>
      </c>
      <c r="CE84" s="59">
        <f t="shared" si="94"/>
        <v>64.829921296688497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22.059302761298841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22.059302761298841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64.668980725640338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5.6843418860808015E-14</v>
      </c>
      <c r="CU84" s="17">
        <f>CT84*VLOOKUP('Données projet'!$B$13,Paramètres!$A$1:$I$89,3,0)*VLOOKUP('Données projet'!$B$13,Paramètres!$A$1:$I$89,5,0)</f>
        <v>4.4337866711430253E-14</v>
      </c>
      <c r="CV84" s="13">
        <f t="shared" si="95"/>
        <v>7.3222115536967035E-13</v>
      </c>
      <c r="CW84" s="20">
        <f t="shared" si="67"/>
        <v>1.3525069634579169E-12</v>
      </c>
      <c r="CX84" s="59">
        <f t="shared" si="68"/>
        <v>273.78626266068261</v>
      </c>
      <c r="CY84" s="59">
        <f ca="1">AVERAGE(OFFSET($CX$3,0,0,'Données projet'!$E$13+1,1))-AVERAGE(OFFSET($H$3,0,0,'Données projet'!$E$13+1,1))</f>
        <v>306.44760579759713</v>
      </c>
      <c r="CZ84" s="59">
        <f t="shared" si="96"/>
        <v>300.30192123221718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69.737374038206724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69.737374038206724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64.668980725640338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64.668980725640338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64.668980725640338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64.668980725640338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64.668980725640338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4.4000000000000004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16.133333333333336</v>
      </c>
      <c r="H85" s="67">
        <f t="shared" si="56"/>
        <v>192.13333333333333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64.761461991676896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1.1368683772161603E-13</v>
      </c>
      <c r="O85" s="13">
        <f>N85*VLOOKUP('Données projet'!$B$9,Paramètres!$A$1:$I$89,3,0)*VLOOKUP('Données projet'!$B$9,Paramètres!$A$1:$I$89,5,0)</f>
        <v>6.7984728957526396E-14</v>
      </c>
      <c r="P85" s="13">
        <f t="shared" si="87"/>
        <v>1.0682447123141398E-12</v>
      </c>
      <c r="Q85" s="20">
        <f t="shared" si="54"/>
        <v>1.978932943548152E-12</v>
      </c>
      <c r="R85" s="59">
        <f t="shared" si="55"/>
        <v>274.12536063615062</v>
      </c>
      <c r="S85" s="59">
        <f ca="1">AVERAGE(OFFSET($R$3,0,0,'Données projet'!$E$9+1,1))-AVERAGE(OFFSET($H$3,0,0,'Données projet'!$E$9+1,1))</f>
        <v>299.45724561493057</v>
      </c>
      <c r="T85" s="59">
        <f t="shared" si="88"/>
        <v>297.63369027443196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77.152259409859369</v>
      </c>
      <c r="AA85" s="21">
        <f>EXP(-LN(2)/25)*AA84+(1-EXP(-LN(2)/25))/(LN(2)/25)*Calculateur!V85*Calculateur!X85*VLOOKUP('Données projet'!$B$9,Paramètres!$A$1:$I$89,3,0)*0.475*44/12</f>
        <v>39.672564804883535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116.8248242147429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64.761461991676896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3.4106051316484809E-13</v>
      </c>
      <c r="AJ85" s="13">
        <f>AI85*VLOOKUP('Données projet'!$B$10,Paramètres!$A$1:$I$89,3,0)*VLOOKUP('Données projet'!$B$10,Paramètres!$A$1:$I$89,5,0)</f>
        <v>1.9065282685915009E-13</v>
      </c>
      <c r="AK85" s="13">
        <f t="shared" si="89"/>
        <v>2.6568987209435707E-12</v>
      </c>
      <c r="AL85" s="20">
        <f t="shared" si="58"/>
        <v>4.959485612423072E-12</v>
      </c>
      <c r="AM85" s="59">
        <f t="shared" si="59"/>
        <v>274.12536063615357</v>
      </c>
      <c r="AN85" s="59">
        <f ca="1">AVERAGE(OFFSET($AM$3,0,0,'Données projet'!$E$10+1,1))-AVERAGE(OFFSET($H$3,0,0,'Données projet'!$E$10+1,1))</f>
        <v>363.98181065114898</v>
      </c>
      <c r="AO85" s="59">
        <f t="shared" si="90"/>
        <v>410.85213343666396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154.99370967390075</v>
      </c>
      <c r="AV85" s="21">
        <f>EXP(-LN(2)/25)*AV84+(1-EXP(-LN(2)/25))/(LN(2)/25)*Calculateur!AQ85*Calculateur!AS85*VLOOKUP('Données projet'!$B$10,Paramètres!$A$1:$I$89,3,0)*0.475*44/12</f>
        <v>72.009425454978313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227.00313512887908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64.761461991676896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-1.1368683772161603E-13</v>
      </c>
      <c r="BE85" s="13">
        <f>BD85*VLOOKUP('Données projet'!$B$11,Paramètres!$A$1:$I$89,3,0)*VLOOKUP('Données projet'!$B$11,Paramètres!$A$1:$I$89,5,0)</f>
        <v>-9.9316821433603781E-14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433.6995276469014</v>
      </c>
      <c r="BJ85" s="59">
        <f t="shared" si="92"/>
        <v>306.37969720280557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143.81185656497041</v>
      </c>
      <c r="BQ85" s="21">
        <f>EXP(-LN(2)/25)*BQ84+(1-EXP(-LN(2)/25))/(LN(2)/25)*Calculateur!BL85*Calculateur!BN85*VLOOKUP('Données projet'!$B$11,Paramètres!$A$1:$I$89,3,0)*0.475*44/12</f>
        <v>68.28308621743416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212.09494278240459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64.761461991676896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5.75</v>
      </c>
      <c r="BY85" s="12">
        <f>IF('Données projet'!$A$114&gt;35,BY84+BX85-CG84,IF(A85&lt;'Données projet'!$A$114,$BV$205^A85,IF(A85='Données projet'!$A$114,'Données projet'!$B$114,BY84+BX85-CG84)))</f>
        <v>189.75</v>
      </c>
      <c r="BZ85" s="13">
        <f>BY85*VLOOKUP('Données projet'!$B$12,Paramètres!$A$1:$I$89,3,0)*VLOOKUP('Données projet'!$B$12,Paramètres!$A$1:$I$89,5,0)</f>
        <v>183.52619999999999</v>
      </c>
      <c r="CA85" s="13">
        <f t="shared" si="93"/>
        <v>46.105812699237759</v>
      </c>
      <c r="CB85" s="20">
        <f t="shared" si="64"/>
        <v>399.94242211783904</v>
      </c>
      <c r="CC85" s="59">
        <f t="shared" si="65"/>
        <v>674.06778275398767</v>
      </c>
      <c r="CD85" s="59">
        <f ca="1">AVERAGE(OFFSET($CC$3,0,0,'Données projet'!$E$12+1,1))-AVERAGE(OFFSET($H$3,0,0,'Données projet'!$E$12+1,1))</f>
        <v>455.95436253828132</v>
      </c>
      <c r="CE85" s="59">
        <f t="shared" si="94"/>
        <v>64.829921296688497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21.626733288995901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21.626733288995901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64.761461991676896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5.6843418860808015E-14</v>
      </c>
      <c r="CU85" s="17">
        <f>CT85*VLOOKUP('Données projet'!$B$13,Paramètres!$A$1:$I$89,3,0)*VLOOKUP('Données projet'!$B$13,Paramètres!$A$1:$I$89,5,0)</f>
        <v>4.4337866711430253E-14</v>
      </c>
      <c r="CV85" s="13">
        <f t="shared" si="95"/>
        <v>7.3222115536967035E-13</v>
      </c>
      <c r="CW85" s="20">
        <f t="shared" si="67"/>
        <v>1.3525069634579169E-12</v>
      </c>
      <c r="CX85" s="59">
        <f t="shared" si="68"/>
        <v>274.12536063614999</v>
      </c>
      <c r="CY85" s="59">
        <f ca="1">AVERAGE(OFFSET($CX$3,0,0,'Données projet'!$E$13+1,1))-AVERAGE(OFFSET($H$3,0,0,'Données projet'!$E$13+1,1))</f>
        <v>306.44760579759713</v>
      </c>
      <c r="CZ85" s="59">
        <f t="shared" si="96"/>
        <v>300.30192123221718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68.369866668915606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68.369866668915606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64.761461991676896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64.761461991676896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64.761461991676896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64.761461991676896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64.761461991676896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4.4000000000000004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16.133333333333336</v>
      </c>
      <c r="H86" s="67">
        <f t="shared" si="56"/>
        <v>192.13333333333333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64.852338914504841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1.1368683772161603E-13</v>
      </c>
      <c r="O86" s="13">
        <f>N86*VLOOKUP('Données projet'!$B$9,Paramètres!$A$1:$I$89,3,0)*VLOOKUP('Données projet'!$B$9,Paramètres!$A$1:$I$89,5,0)</f>
        <v>6.7984728957526396E-14</v>
      </c>
      <c r="P86" s="13">
        <f t="shared" si="87"/>
        <v>1.0682447123141398E-12</v>
      </c>
      <c r="Q86" s="20">
        <f t="shared" si="54"/>
        <v>1.978932943548152E-12</v>
      </c>
      <c r="R86" s="59">
        <f t="shared" si="55"/>
        <v>274.45857601985307</v>
      </c>
      <c r="S86" s="59">
        <f ca="1">AVERAGE(OFFSET($R$3,0,0,'Données projet'!$E$9+1,1))-AVERAGE(OFFSET($H$3,0,0,'Données projet'!$E$9+1,1))</f>
        <v>299.45724561493057</v>
      </c>
      <c r="T86" s="59">
        <f t="shared" si="88"/>
        <v>297.63369027443196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75.639350661063645</v>
      </c>
      <c r="AA86" s="21">
        <f>EXP(-LN(2)/25)*AA85+(1-EXP(-LN(2)/25))/(LN(2)/25)*Calculateur!V86*Calculateur!X86*VLOOKUP('Données projet'!$B$9,Paramètres!$A$1:$I$89,3,0)*0.475*44/12</f>
        <v>38.587716434004484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114.22706709506812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64.852338914504841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3.4106051316484809E-13</v>
      </c>
      <c r="AJ86" s="13">
        <f>AI86*VLOOKUP('Données projet'!$B$10,Paramètres!$A$1:$I$89,3,0)*VLOOKUP('Données projet'!$B$10,Paramètres!$A$1:$I$89,5,0)</f>
        <v>1.9065282685915009E-13</v>
      </c>
      <c r="AK86" s="13">
        <f t="shared" si="89"/>
        <v>2.6568987209435707E-12</v>
      </c>
      <c r="AL86" s="20">
        <f t="shared" si="58"/>
        <v>4.959485612423072E-12</v>
      </c>
      <c r="AM86" s="59">
        <f t="shared" si="59"/>
        <v>274.45857601985603</v>
      </c>
      <c r="AN86" s="59">
        <f ca="1">AVERAGE(OFFSET($AM$3,0,0,'Données projet'!$E$10+1,1))-AVERAGE(OFFSET($H$3,0,0,'Données projet'!$E$10+1,1))</f>
        <v>363.98181065114898</v>
      </c>
      <c r="AO86" s="59">
        <f t="shared" si="90"/>
        <v>410.85213343666396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151.95437756402373</v>
      </c>
      <c r="AV86" s="21">
        <f>EXP(-LN(2)/25)*AV85+(1-EXP(-LN(2)/25))/(LN(2)/25)*Calculateur!AQ86*Calculateur!AS86*VLOOKUP('Données projet'!$B$10,Paramètres!$A$1:$I$89,3,0)*0.475*44/12</f>
        <v>70.040323929100822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221.99470149312455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64.852338914504841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-1.1368683772161603E-13</v>
      </c>
      <c r="BE86" s="13">
        <f>BD86*VLOOKUP('Données projet'!$B$11,Paramètres!$A$1:$I$89,3,0)*VLOOKUP('Données projet'!$B$11,Paramètres!$A$1:$I$89,5,0)</f>
        <v>-9.9316821433603781E-14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433.6995276469014</v>
      </c>
      <c r="BJ86" s="59">
        <f t="shared" si="92"/>
        <v>306.37969720280557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140.99179377430255</v>
      </c>
      <c r="BQ86" s="21">
        <f>EXP(-LN(2)/25)*BQ85+(1-EXP(-LN(2)/25))/(LN(2)/25)*Calculateur!BL86*Calculateur!BN86*VLOOKUP('Données projet'!$B$11,Paramètres!$A$1:$I$89,3,0)*0.475*44/12</f>
        <v>66.415881633966976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207.40767540826954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64.852338914504841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5.75</v>
      </c>
      <c r="BY86" s="12">
        <f>IF('Données projet'!$A$114&gt;35,BY85+BX86-CG85,IF(A86&lt;'Données projet'!$A$114,$BV$205^A86,IF(A86='Données projet'!$A$114,'Données projet'!$B$114,BY85+BX86-CG85)))</f>
        <v>195.5</v>
      </c>
      <c r="BZ86" s="13">
        <f>BY86*VLOOKUP('Données projet'!$B$12,Paramètres!$A$1:$I$89,3,0)*VLOOKUP('Données projet'!$B$12,Paramètres!$A$1:$I$89,5,0)</f>
        <v>189.08760000000001</v>
      </c>
      <c r="CA86" s="13">
        <f t="shared" si="93"/>
        <v>47.338177687827148</v>
      </c>
      <c r="CB86" s="20">
        <f t="shared" si="64"/>
        <v>411.77489613963229</v>
      </c>
      <c r="CC86" s="59">
        <f t="shared" si="65"/>
        <v>686.23347215948343</v>
      </c>
      <c r="CD86" s="59">
        <f ca="1">AVERAGE(OFFSET($CC$3,0,0,'Données projet'!$E$12+1,1))-AVERAGE(OFFSET($H$3,0,0,'Données projet'!$E$12+1,1))</f>
        <v>455.95436253828132</v>
      </c>
      <c r="CE86" s="59">
        <f t="shared" si="94"/>
        <v>64.829921296688497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21.202646240203492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21.202646240203492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64.852338914504841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5.6843418860808015E-14</v>
      </c>
      <c r="CU86" s="17">
        <f>CT86*VLOOKUP('Données projet'!$B$13,Paramètres!$A$1:$I$89,3,0)*VLOOKUP('Données projet'!$B$13,Paramètres!$A$1:$I$89,5,0)</f>
        <v>4.4337866711430253E-14</v>
      </c>
      <c r="CV86" s="13">
        <f t="shared" si="95"/>
        <v>7.3222115536967035E-13</v>
      </c>
      <c r="CW86" s="20">
        <f t="shared" si="67"/>
        <v>1.3525069634579169E-12</v>
      </c>
      <c r="CX86" s="59">
        <f t="shared" si="68"/>
        <v>274.45857601985244</v>
      </c>
      <c r="CY86" s="59">
        <f ca="1">AVERAGE(OFFSET($CX$3,0,0,'Données projet'!$E$13+1,1))-AVERAGE(OFFSET($H$3,0,0,'Données projet'!$E$13+1,1))</f>
        <v>306.44760579759713</v>
      </c>
      <c r="CZ86" s="59">
        <f t="shared" si="96"/>
        <v>300.30192123221718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67.029175285039159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67.029175285039159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64.852338914504841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64.852338914504841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64.852338914504841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64.852338914504841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64.852338914504841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4.4000000000000004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16.133333333333336</v>
      </c>
      <c r="H87" s="67">
        <f t="shared" si="56"/>
        <v>192.13333333333333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64.941639325892083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1.1368683772161603E-13</v>
      </c>
      <c r="O87" s="13">
        <f>N87*VLOOKUP('Données projet'!$B$9,Paramètres!$A$1:$I$89,3,0)*VLOOKUP('Données projet'!$B$9,Paramètres!$A$1:$I$89,5,0)</f>
        <v>6.7984728957526396E-14</v>
      </c>
      <c r="P87" s="13">
        <f t="shared" si="87"/>
        <v>1.0682447123141398E-12</v>
      </c>
      <c r="Q87" s="20">
        <f t="shared" si="54"/>
        <v>1.978932943548152E-12</v>
      </c>
      <c r="R87" s="59">
        <f t="shared" si="55"/>
        <v>274.78601086160631</v>
      </c>
      <c r="S87" s="59">
        <f ca="1">AVERAGE(OFFSET($R$3,0,0,'Données projet'!$E$9+1,1))-AVERAGE(OFFSET($H$3,0,0,'Données projet'!$E$9+1,1))</f>
        <v>299.45724561493057</v>
      </c>
      <c r="T87" s="59">
        <f t="shared" si="88"/>
        <v>297.63369027443196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74.156109130048591</v>
      </c>
      <c r="AA87" s="21">
        <f>EXP(-LN(2)/25)*AA86+(1-EXP(-LN(2)/25))/(LN(2)/25)*Calculateur!V87*Calculateur!X87*VLOOKUP('Données projet'!$B$9,Paramètres!$A$1:$I$89,3,0)*0.475*44/12</f>
        <v>37.532533298876821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111.68864242892542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64.941639325892083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3.4106051316484809E-13</v>
      </c>
      <c r="AJ87" s="13">
        <f>AI87*VLOOKUP('Données projet'!$B$10,Paramètres!$A$1:$I$89,3,0)*VLOOKUP('Données projet'!$B$10,Paramètres!$A$1:$I$89,5,0)</f>
        <v>1.9065282685915009E-13</v>
      </c>
      <c r="AK87" s="13">
        <f t="shared" si="89"/>
        <v>2.6568987209435707E-12</v>
      </c>
      <c r="AL87" s="20">
        <f t="shared" si="58"/>
        <v>4.959485612423072E-12</v>
      </c>
      <c r="AM87" s="59">
        <f t="shared" si="59"/>
        <v>274.78601086160927</v>
      </c>
      <c r="AN87" s="59">
        <f ca="1">AVERAGE(OFFSET($AM$3,0,0,'Données projet'!$E$10+1,1))-AVERAGE(OFFSET($H$3,0,0,'Données projet'!$E$10+1,1))</f>
        <v>363.98181065114898</v>
      </c>
      <c r="AO87" s="59">
        <f t="shared" si="90"/>
        <v>410.85213343666396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148.97464490301186</v>
      </c>
      <c r="AV87" s="21">
        <f>EXP(-LN(2)/25)*AV86+(1-EXP(-LN(2)/25))/(LN(2)/25)*Calculateur!AQ87*Calculateur!AS87*VLOOKUP('Données projet'!$B$10,Paramètres!$A$1:$I$89,3,0)*0.475*44/12</f>
        <v>68.125067587998998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217.09971249101085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64.941639325892083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-1.1368683772161603E-13</v>
      </c>
      <c r="BE87" s="13">
        <f>BD87*VLOOKUP('Données projet'!$B$11,Paramètres!$A$1:$I$89,3,0)*VLOOKUP('Données projet'!$B$11,Paramètres!$A$1:$I$89,5,0)</f>
        <v>-9.9316821433603781E-14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433.6995276469014</v>
      </c>
      <c r="BJ87" s="59">
        <f t="shared" si="92"/>
        <v>306.37969720280557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138.22703069489123</v>
      </c>
      <c r="BQ87" s="21">
        <f>EXP(-LN(2)/25)*BQ86+(1-EXP(-LN(2)/25))/(LN(2)/25)*Calculateur!BL87*Calculateur!BN87*VLOOKUP('Données projet'!$B$11,Paramètres!$A$1:$I$89,3,0)*0.475*44/12</f>
        <v>64.599735858026733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202.82676655291795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64.941639325892083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5.75</v>
      </c>
      <c r="BY87" s="12">
        <f>IF('Données projet'!$A$114&gt;35,BY86+BX87-CG86,IF(A87&lt;'Données projet'!$A$114,$BV$205^A87,IF(A87='Données projet'!$A$114,'Données projet'!$B$114,BY86+BX87-CG86)))</f>
        <v>201.25</v>
      </c>
      <c r="BZ87" s="13">
        <f>BY87*VLOOKUP('Données projet'!$B$12,Paramètres!$A$1:$I$89,3,0)*VLOOKUP('Données projet'!$B$12,Paramètres!$A$1:$I$89,5,0)</f>
        <v>194.64900000000003</v>
      </c>
      <c r="CA87" s="13">
        <f t="shared" si="93"/>
        <v>48.566330210681976</v>
      </c>
      <c r="CB87" s="20">
        <f t="shared" si="64"/>
        <v>423.60003345027116</v>
      </c>
      <c r="CC87" s="59">
        <f t="shared" si="65"/>
        <v>698.38604431187548</v>
      </c>
      <c r="CD87" s="59">
        <f ca="1">AVERAGE(OFFSET($CC$3,0,0,'Données projet'!$E$12+1,1))-AVERAGE(OFFSET($H$3,0,0,'Données projet'!$E$12+1,1))</f>
        <v>455.95436253828132</v>
      </c>
      <c r="CE87" s="59">
        <f t="shared" si="94"/>
        <v>64.829921296688497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20.786875279770346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20.786875279770346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64.941639325892083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5.6843418860808015E-14</v>
      </c>
      <c r="CU87" s="17">
        <f>CT87*VLOOKUP('Données projet'!$B$13,Paramètres!$A$1:$I$89,3,0)*VLOOKUP('Données projet'!$B$13,Paramètres!$A$1:$I$89,5,0)</f>
        <v>4.4337866711430253E-14</v>
      </c>
      <c r="CV87" s="13">
        <f t="shared" si="95"/>
        <v>7.3222115536967035E-13</v>
      </c>
      <c r="CW87" s="20">
        <f t="shared" si="67"/>
        <v>1.3525069634579169E-12</v>
      </c>
      <c r="CX87" s="59">
        <f t="shared" si="68"/>
        <v>274.78601086160569</v>
      </c>
      <c r="CY87" s="59">
        <f ca="1">AVERAGE(OFFSET($CX$3,0,0,'Données projet'!$E$13+1,1))-AVERAGE(OFFSET($H$3,0,0,'Données projet'!$E$13+1,1))</f>
        <v>306.44760579759713</v>
      </c>
      <c r="CZ87" s="59">
        <f t="shared" si="96"/>
        <v>300.30192123221718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65.714774041459535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65.714774041459535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64.941639325892083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64.941639325892083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64.941639325892083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64.941639325892083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64.941639325892083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4.4000000000000004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16.133333333333336</v>
      </c>
      <c r="H88" s="67">
        <f t="shared" si="56"/>
        <v>192.13333333333333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65.02939057478757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1.1368683772161603E-13</v>
      </c>
      <c r="O88" s="13">
        <f>N88*VLOOKUP('Données projet'!$B$9,Paramètres!$A$1:$I$89,3,0)*VLOOKUP('Données projet'!$B$9,Paramètres!$A$1:$I$89,5,0)</f>
        <v>6.7984728957526396E-14</v>
      </c>
      <c r="P88" s="13">
        <f t="shared" si="87"/>
        <v>1.0682447123141398E-12</v>
      </c>
      <c r="Q88" s="20">
        <f t="shared" si="54"/>
        <v>1.978932943548152E-12</v>
      </c>
      <c r="R88" s="59">
        <f t="shared" si="55"/>
        <v>275.10776544088975</v>
      </c>
      <c r="S88" s="59">
        <f ca="1">AVERAGE(OFFSET($R$3,0,0,'Données projet'!$E$9+1,1))-AVERAGE(OFFSET($H$3,0,0,'Données projet'!$E$9+1,1))</f>
        <v>299.45724561493057</v>
      </c>
      <c r="T88" s="59">
        <f t="shared" si="88"/>
        <v>297.63369027443196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72.701953060768744</v>
      </c>
      <c r="AA88" s="21">
        <f>EXP(-LN(2)/25)*AA87+(1-EXP(-LN(2)/25))/(LN(2)/25)*Calculateur!V88*Calculateur!X88*VLOOKUP('Données projet'!$B$9,Paramètres!$A$1:$I$89,3,0)*0.475*44/12</f>
        <v>36.506204202068886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109.20815726283763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65.02939057478757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3.4106051316484809E-13</v>
      </c>
      <c r="AJ88" s="13">
        <f>AI88*VLOOKUP('Données projet'!$B$10,Paramètres!$A$1:$I$89,3,0)*VLOOKUP('Données projet'!$B$10,Paramètres!$A$1:$I$89,5,0)</f>
        <v>1.9065282685915009E-13</v>
      </c>
      <c r="AK88" s="13">
        <f t="shared" si="89"/>
        <v>2.6568987209435707E-12</v>
      </c>
      <c r="AL88" s="20">
        <f t="shared" si="58"/>
        <v>4.959485612423072E-12</v>
      </c>
      <c r="AM88" s="59">
        <f t="shared" si="59"/>
        <v>275.10776544089271</v>
      </c>
      <c r="AN88" s="59">
        <f ca="1">AVERAGE(OFFSET($AM$3,0,0,'Données projet'!$E$10+1,1))-AVERAGE(OFFSET($H$3,0,0,'Données projet'!$E$10+1,1))</f>
        <v>363.98181065114898</v>
      </c>
      <c r="AO88" s="59">
        <f t="shared" si="90"/>
        <v>410.85213343666396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146.05334298202496</v>
      </c>
      <c r="AV88" s="21">
        <f>EXP(-LN(2)/25)*AV87+(1-EXP(-LN(2)/25))/(LN(2)/25)*Calculateur!AQ88*Calculateur!AS88*VLOOKUP('Données projet'!$B$10,Paramètres!$A$1:$I$89,3,0)*0.475*44/12</f>
        <v>66.262184032263562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212.31552701428853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65.02939057478757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-1.1368683772161603E-13</v>
      </c>
      <c r="BE88" s="13">
        <f>BD88*VLOOKUP('Données projet'!$B$11,Paramètres!$A$1:$I$89,3,0)*VLOOKUP('Données projet'!$B$11,Paramètres!$A$1:$I$89,5,0)</f>
        <v>-9.9316821433603781E-14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433.6995276469014</v>
      </c>
      <c r="BJ88" s="59">
        <f t="shared" si="92"/>
        <v>306.37969720280557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135.5164829331282</v>
      </c>
      <c r="BQ88" s="21">
        <f>EXP(-LN(2)/25)*BQ87+(1-EXP(-LN(2)/25))/(LN(2)/25)*Calculateur!BL88*Calculateur!BN88*VLOOKUP('Données projet'!$B$11,Paramètres!$A$1:$I$89,3,0)*0.475*44/12</f>
        <v>62.833252683836527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198.34973561696472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65.02939057478757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207</v>
      </c>
      <c r="BW88" s="12">
        <f>VLOOKUP(A88,'Données projet'!$A$113:$I$133,9,0)</f>
        <v>5.75</v>
      </c>
      <c r="BX88" s="12">
        <f t="array" ref="BX88">INDEX(BW:BW,MIN(IF(ISNUMBER(BW88:BW284),ROW(BW88:BW284),"")))</f>
        <v>5.75</v>
      </c>
      <c r="BY88" s="12">
        <f>IF('Données projet'!$A$114&gt;35,BY87+BX88-CG87,IF(A88&lt;'Données projet'!$A$114,$BV$205^A88,IF(A88='Données projet'!$A$114,'Données projet'!$B$114,BY87+BX88-CG87)))</f>
        <v>207</v>
      </c>
      <c r="BZ88" s="13">
        <f>BY88*VLOOKUP('Données projet'!$B$12,Paramètres!$A$1:$I$89,3,0)*VLOOKUP('Données projet'!$B$12,Paramètres!$A$1:$I$89,5,0)</f>
        <v>200.21040000000002</v>
      </c>
      <c r="CA88" s="13">
        <f t="shared" si="93"/>
        <v>49.790404447235048</v>
      </c>
      <c r="CB88" s="20">
        <f t="shared" si="64"/>
        <v>435.41806774560104</v>
      </c>
      <c r="CC88" s="59">
        <f t="shared" si="65"/>
        <v>710.52583318648885</v>
      </c>
      <c r="CD88" s="59">
        <f ca="1">AVERAGE(OFFSET($CC$3,0,0,'Données projet'!$E$12+1,1))-AVERAGE(OFFSET($H$3,0,0,'Données projet'!$E$12+1,1))</f>
        <v>455.95436253828132</v>
      </c>
      <c r="CE88" s="59">
        <f t="shared" si="94"/>
        <v>64.829921296688497</v>
      </c>
      <c r="CF88" s="15">
        <f>IF(ISNA(VLOOKUP(A88,'Données projet'!$A$113:$I$133,3,0)),0,VLOOKUP(A88,'Données projet'!$A$113:$I$133,3,0))</f>
        <v>7</v>
      </c>
      <c r="CG88" s="15">
        <f>IF(ISNA(VLOOKUP(A88,'Données projet'!$A$113:$I$133,4,0)),0,VLOOKUP(A88,'Données projet'!$A$113:$I$133,4,0))</f>
        <v>30</v>
      </c>
      <c r="CH88" s="16">
        <f>IF(ISNA(VLOOKUP(A88,'Données projet'!$A$113:$I$133,5,0)),0%,VLOOKUP(A88,'Données projet'!$A$113:$I$133,5,0)*VLOOKUP('Données projet'!$B$12,Paramètres!$A$1:$I$89,7,0))</f>
        <v>0.25800000000000001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28.654950095668291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28.654950095668291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65.02939057478757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5.6843418860808015E-14</v>
      </c>
      <c r="CU88" s="17">
        <f>CT88*VLOOKUP('Données projet'!$B$13,Paramètres!$A$1:$I$89,3,0)*VLOOKUP('Données projet'!$B$13,Paramètres!$A$1:$I$89,5,0)</f>
        <v>4.4337866711430253E-14</v>
      </c>
      <c r="CV88" s="13">
        <f t="shared" si="95"/>
        <v>7.3222115536967035E-13</v>
      </c>
      <c r="CW88" s="20">
        <f t="shared" si="67"/>
        <v>1.3525069634579169E-12</v>
      </c>
      <c r="CX88" s="59">
        <f t="shared" si="68"/>
        <v>275.10776544088912</v>
      </c>
      <c r="CY88" s="59">
        <f ca="1">AVERAGE(OFFSET($CX$3,0,0,'Données projet'!$E$13+1,1))-AVERAGE(OFFSET($H$3,0,0,'Données projet'!$E$13+1,1))</f>
        <v>306.44760579759713</v>
      </c>
      <c r="CZ88" s="59">
        <f t="shared" si="96"/>
        <v>300.30192123221718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64.426147404560908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64.426147404560908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65.02939057478757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65.02939057478757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65.02939057478757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65.02939057478757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65.02939057478757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4.4000000000000004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16.133333333333336</v>
      </c>
      <c r="H89" s="67">
        <f t="shared" si="56"/>
        <v>192.13333333333333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65.115619535697121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1.1368683772161603E-13</v>
      </c>
      <c r="O89" s="13">
        <f>N89*VLOOKUP('Données projet'!$B$9,Paramètres!$A$1:$I$89,3,0)*VLOOKUP('Données projet'!$B$9,Paramètres!$A$1:$I$89,5,0)</f>
        <v>6.7984728957526396E-14</v>
      </c>
      <c r="P89" s="13">
        <f t="shared" si="87"/>
        <v>1.0682447123141398E-12</v>
      </c>
      <c r="Q89" s="20">
        <f t="shared" si="54"/>
        <v>1.978932943548152E-12</v>
      </c>
      <c r="R89" s="59">
        <f t="shared" si="55"/>
        <v>275.4239382975581</v>
      </c>
      <c r="S89" s="59">
        <f ca="1">AVERAGE(OFFSET($R$3,0,0,'Données projet'!$E$9+1,1))-AVERAGE(OFFSET($H$3,0,0,'Données projet'!$E$9+1,1))</f>
        <v>299.45724561493057</v>
      </c>
      <c r="T89" s="59">
        <f t="shared" si="88"/>
        <v>297.63369027443196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71.276312105059844</v>
      </c>
      <c r="AA89" s="21">
        <f>EXP(-LN(2)/25)*AA88+(1-EXP(-LN(2)/25))/(LN(2)/25)*Calculateur!V89*Calculateur!X89*VLOOKUP('Données projet'!$B$9,Paramètres!$A$1:$I$89,3,0)*0.475*44/12</f>
        <v>35.507940128385471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106.78425223344532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65.115619535697121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3.4106051316484809E-13</v>
      </c>
      <c r="AJ89" s="13">
        <f>AI89*VLOOKUP('Données projet'!$B$10,Paramètres!$A$1:$I$89,3,0)*VLOOKUP('Données projet'!$B$10,Paramètres!$A$1:$I$89,5,0)</f>
        <v>1.9065282685915009E-13</v>
      </c>
      <c r="AK89" s="13">
        <f t="shared" si="89"/>
        <v>2.6568987209435707E-12</v>
      </c>
      <c r="AL89" s="20">
        <f t="shared" si="58"/>
        <v>4.959485612423072E-12</v>
      </c>
      <c r="AM89" s="59">
        <f t="shared" si="59"/>
        <v>275.42393829756105</v>
      </c>
      <c r="AN89" s="59">
        <f ca="1">AVERAGE(OFFSET($AM$3,0,0,'Données projet'!$E$10+1,1))-AVERAGE(OFFSET($H$3,0,0,'Données projet'!$E$10+1,1))</f>
        <v>363.98181065114898</v>
      </c>
      <c r="AO89" s="59">
        <f t="shared" si="90"/>
        <v>410.85213343666396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143.18932600989038</v>
      </c>
      <c r="AV89" s="21">
        <f>EXP(-LN(2)/25)*AV88+(1-EXP(-LN(2)/25))/(LN(2)/25)*Calculateur!AQ89*Calculateur!AS89*VLOOKUP('Données projet'!$B$10,Paramètres!$A$1:$I$89,3,0)*0.475*44/12</f>
        <v>64.450241125324496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207.63956713521486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65.115619535697121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-1.1368683772161603E-13</v>
      </c>
      <c r="BE89" s="13">
        <f>BD89*VLOOKUP('Données projet'!$B$11,Paramètres!$A$1:$I$89,3,0)*VLOOKUP('Données projet'!$B$11,Paramètres!$A$1:$I$89,5,0)</f>
        <v>-9.9316821433603781E-14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433.6995276469014</v>
      </c>
      <c r="BJ89" s="59">
        <f t="shared" si="92"/>
        <v>306.37969720280557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132.85908735970247</v>
      </c>
      <c r="BQ89" s="21">
        <f>EXP(-LN(2)/25)*BQ88+(1-EXP(-LN(2)/25))/(LN(2)/25)*Calculateur!BL89*Calculateur!BN89*VLOOKUP('Données projet'!$B$11,Paramètres!$A$1:$I$89,3,0)*0.475*44/12</f>
        <v>61.115074084939863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193.97416144464233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65.115619535697121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5.6</v>
      </c>
      <c r="BY89" s="12">
        <f>IF('Données projet'!$A$114&gt;35,BY88+BX89-CG88,IF(A89&lt;'Données projet'!$A$114,$BV$205^A89,IF(A89='Données projet'!$A$114,'Données projet'!$B$114,BY88+BX89-CG88)))</f>
        <v>182.6</v>
      </c>
      <c r="BZ89" s="13">
        <f>BY89*VLOOKUP('Données projet'!$B$12,Paramètres!$A$1:$I$89,3,0)*VLOOKUP('Données projet'!$B$12,Paramètres!$A$1:$I$89,5,0)</f>
        <v>176.61071999999999</v>
      </c>
      <c r="CA89" s="13">
        <f t="shared" si="93"/>
        <v>44.567301620535588</v>
      </c>
      <c r="CB89" s="20">
        <f t="shared" si="64"/>
        <v>385.21838765576609</v>
      </c>
      <c r="CC89" s="59">
        <f t="shared" si="65"/>
        <v>660.64232595332214</v>
      </c>
      <c r="CD89" s="59">
        <f ca="1">AVERAGE(OFFSET($CC$3,0,0,'Données projet'!$E$12+1,1))-AVERAGE(OFFSET($H$3,0,0,'Données projet'!$E$12+1,1))</f>
        <v>455.95436253828132</v>
      </c>
      <c r="CE89" s="59">
        <f t="shared" si="94"/>
        <v>64.829921296688497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28.093044002086003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28.093044002086003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65.115619535697121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5.6843418860808015E-14</v>
      </c>
      <c r="CU89" s="17">
        <f>CT89*VLOOKUP('Données projet'!$B$13,Paramètres!$A$1:$I$89,3,0)*VLOOKUP('Données projet'!$B$13,Paramètres!$A$1:$I$89,5,0)</f>
        <v>4.4337866711430253E-14</v>
      </c>
      <c r="CV89" s="13">
        <f t="shared" si="95"/>
        <v>7.3222115536967035E-13</v>
      </c>
      <c r="CW89" s="20">
        <f t="shared" si="67"/>
        <v>1.3525069634579169E-12</v>
      </c>
      <c r="CX89" s="59">
        <f t="shared" si="68"/>
        <v>275.42393829755747</v>
      </c>
      <c r="CY89" s="59">
        <f ca="1">AVERAGE(OFFSET($CX$3,0,0,'Données projet'!$E$13+1,1))-AVERAGE(OFFSET($H$3,0,0,'Données projet'!$E$13+1,1))</f>
        <v>306.44760579759713</v>
      </c>
      <c r="CZ89" s="59">
        <f t="shared" si="96"/>
        <v>300.30192123221718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63.162789950027218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63.162789950027218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65.115619535697121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65.115619535697121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65.115619535697121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65.115619535697121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65.115619535697121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4.4000000000000004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16.133333333333336</v>
      </c>
      <c r="H90" s="67">
        <f t="shared" si="56"/>
        <v>192.13333333333333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65.20035261691396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1.1368683772161603E-13</v>
      </c>
      <c r="O90" s="13">
        <f>N90*VLOOKUP('Données projet'!$B$9,Paramètres!$A$1:$I$89,3,0)*VLOOKUP('Données projet'!$B$9,Paramètres!$A$1:$I$89,5,0)</f>
        <v>6.7984728957526396E-14</v>
      </c>
      <c r="P90" s="13">
        <f t="shared" si="87"/>
        <v>1.0682447123141398E-12</v>
      </c>
      <c r="Q90" s="20">
        <f t="shared" si="54"/>
        <v>1.978932943548152E-12</v>
      </c>
      <c r="R90" s="59">
        <f t="shared" si="55"/>
        <v>275.73462626201984</v>
      </c>
      <c r="S90" s="59">
        <f ca="1">AVERAGE(OFFSET($R$3,0,0,'Données projet'!$E$9+1,1))-AVERAGE(OFFSET($H$3,0,0,'Données projet'!$E$9+1,1))</f>
        <v>299.45724561493057</v>
      </c>
      <c r="T90" s="59">
        <f t="shared" si="88"/>
        <v>297.63369027443196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69.878627098937272</v>
      </c>
      <c r="AA90" s="21">
        <f>EXP(-LN(2)/25)*AA89+(1-EXP(-LN(2)/25))/(LN(2)/25)*Calculateur!V90*Calculateur!X90*VLOOKUP('Données projet'!$B$9,Paramètres!$A$1:$I$89,3,0)*0.475*44/12</f>
        <v>34.536973638293354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104.41560073723062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65.20035261691396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3.4106051316484809E-13</v>
      </c>
      <c r="AJ90" s="13">
        <f>AI90*VLOOKUP('Données projet'!$B$10,Paramètres!$A$1:$I$89,3,0)*VLOOKUP('Données projet'!$B$10,Paramètres!$A$1:$I$89,5,0)</f>
        <v>1.9065282685915009E-13</v>
      </c>
      <c r="AK90" s="13">
        <f t="shared" si="89"/>
        <v>2.6568987209435707E-12</v>
      </c>
      <c r="AL90" s="20">
        <f t="shared" si="58"/>
        <v>4.959485612423072E-12</v>
      </c>
      <c r="AM90" s="59">
        <f t="shared" si="59"/>
        <v>275.7346262620228</v>
      </c>
      <c r="AN90" s="59">
        <f ca="1">AVERAGE(OFFSET($AM$3,0,0,'Données projet'!$E$10+1,1))-AVERAGE(OFFSET($H$3,0,0,'Données projet'!$E$10+1,1))</f>
        <v>363.98181065114898</v>
      </c>
      <c r="AO90" s="59">
        <f t="shared" si="90"/>
        <v>410.85213343666396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140.38147066370149</v>
      </c>
      <c r="AV90" s="21">
        <f>EXP(-LN(2)/25)*AV89+(1-EXP(-LN(2)/25))/(LN(2)/25)*Calculateur!AQ90*Calculateur!AS90*VLOOKUP('Données projet'!$B$10,Paramètres!$A$1:$I$89,3,0)*0.475*44/12</f>
        <v>62.687845892461617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203.0693165561631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65.20035261691396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-1.1368683772161603E-13</v>
      </c>
      <c r="BE90" s="13">
        <f>BD90*VLOOKUP('Données projet'!$B$11,Paramètres!$A$1:$I$89,3,0)*VLOOKUP('Données projet'!$B$11,Paramètres!$A$1:$I$89,5,0)</f>
        <v>-9.9316821433603781E-14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433.6995276469014</v>
      </c>
      <c r="BJ90" s="59">
        <f t="shared" si="92"/>
        <v>306.37969720280557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130.25380169262036</v>
      </c>
      <c r="BQ90" s="21">
        <f>EXP(-LN(2)/25)*BQ89+(1-EXP(-LN(2)/25))/(LN(2)/25)*Calculateur!BL90*Calculateur!BN90*VLOOKUP('Données projet'!$B$11,Paramètres!$A$1:$I$89,3,0)*0.475*44/12</f>
        <v>59.44387917018512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189.69768086280547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65.20035261691396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5.6</v>
      </c>
      <c r="BY90" s="12">
        <f>IF('Données projet'!$A$114&gt;35,BY89+BX90-CG89,IF(A90&lt;'Données projet'!$A$114,$BV$205^A90,IF(A90='Données projet'!$A$114,'Données projet'!$B$114,BY89+BX90-CG89)))</f>
        <v>188.2</v>
      </c>
      <c r="BZ90" s="13">
        <f>BY90*VLOOKUP('Données projet'!$B$12,Paramètres!$A$1:$I$89,3,0)*VLOOKUP('Données projet'!$B$12,Paramètres!$A$1:$I$89,5,0)</f>
        <v>182.02704</v>
      </c>
      <c r="CA90" s="13">
        <f t="shared" si="93"/>
        <v>45.772870875913014</v>
      </c>
      <c r="CB90" s="20">
        <f t="shared" si="64"/>
        <v>396.75151144221513</v>
      </c>
      <c r="CC90" s="59">
        <f t="shared" si="65"/>
        <v>672.48613770423299</v>
      </c>
      <c r="CD90" s="59">
        <f ca="1">AVERAGE(OFFSET($CC$3,0,0,'Données projet'!$E$12+1,1))-AVERAGE(OFFSET($H$3,0,0,'Données projet'!$E$12+1,1))</f>
        <v>455.95436253828132</v>
      </c>
      <c r="CE90" s="59">
        <f t="shared" si="94"/>
        <v>64.829921296688497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27.542156544269989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27.542156544269989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65.20035261691396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5.6843418860808015E-14</v>
      </c>
      <c r="CU90" s="17">
        <f>CT90*VLOOKUP('Données projet'!$B$13,Paramètres!$A$1:$I$89,3,0)*VLOOKUP('Données projet'!$B$13,Paramètres!$A$1:$I$89,5,0)</f>
        <v>4.4337866711430253E-14</v>
      </c>
      <c r="CV90" s="13">
        <f t="shared" si="95"/>
        <v>7.3222115536967035E-13</v>
      </c>
      <c r="CW90" s="20">
        <f t="shared" si="67"/>
        <v>1.3525069634579169E-12</v>
      </c>
      <c r="CX90" s="59">
        <f t="shared" si="68"/>
        <v>275.73462626201922</v>
      </c>
      <c r="CY90" s="59">
        <f ca="1">AVERAGE(OFFSET($CX$3,0,0,'Données projet'!$E$13+1,1))-AVERAGE(OFFSET($H$3,0,0,'Données projet'!$E$13+1,1))</f>
        <v>306.44760579759713</v>
      </c>
      <c r="CZ90" s="59">
        <f t="shared" si="96"/>
        <v>300.30192123221718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61.924206164604975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61.924206164604975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65.20035261691396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65.20035261691396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65.20035261691396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65.20035261691396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65.20035261691396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4.4000000000000004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16.133333333333336</v>
      </c>
      <c r="H91" s="67">
        <f t="shared" si="56"/>
        <v>192.13333333333333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65.283615768606495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1.1368683772161603E-13</v>
      </c>
      <c r="O91" s="13">
        <f>N91*VLOOKUP('Données projet'!$B$9,Paramètres!$A$1:$I$89,3,0)*VLOOKUP('Données projet'!$B$9,Paramètres!$A$1:$I$89,5,0)</f>
        <v>6.7984728957526396E-14</v>
      </c>
      <c r="P91" s="13">
        <f t="shared" si="87"/>
        <v>1.0682447123141398E-12</v>
      </c>
      <c r="Q91" s="20">
        <f t="shared" si="54"/>
        <v>1.978932943548152E-12</v>
      </c>
      <c r="R91" s="59">
        <f t="shared" si="55"/>
        <v>276.03992448489248</v>
      </c>
      <c r="S91" s="59">
        <f ca="1">AVERAGE(OFFSET($R$3,0,0,'Données projet'!$E$9+1,1))-AVERAGE(OFFSET($H$3,0,0,'Données projet'!$E$9+1,1))</f>
        <v>299.45724561493057</v>
      </c>
      <c r="T91" s="59">
        <f t="shared" si="88"/>
        <v>297.63369027443196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68.508349843281096</v>
      </c>
      <c r="AA91" s="21">
        <f>EXP(-LN(2)/25)*AA90+(1-EXP(-LN(2)/25))/(LN(2)/25)*Calculateur!V91*Calculateur!X91*VLOOKUP('Données projet'!$B$9,Paramètres!$A$1:$I$89,3,0)*0.475*44/12</f>
        <v>33.592558277933712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102.10090812121481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65.283615768606495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3.4106051316484809E-13</v>
      </c>
      <c r="AJ91" s="13">
        <f>AI91*VLOOKUP('Données projet'!$B$10,Paramètres!$A$1:$I$89,3,0)*VLOOKUP('Données projet'!$B$10,Paramètres!$A$1:$I$89,5,0)</f>
        <v>1.9065282685915009E-13</v>
      </c>
      <c r="AK91" s="13">
        <f t="shared" si="89"/>
        <v>2.6568987209435707E-12</v>
      </c>
      <c r="AL91" s="20">
        <f t="shared" si="58"/>
        <v>4.959485612423072E-12</v>
      </c>
      <c r="AM91" s="59">
        <f t="shared" si="59"/>
        <v>276.03992448489544</v>
      </c>
      <c r="AN91" s="59">
        <f ca="1">AVERAGE(OFFSET($AM$3,0,0,'Données projet'!$E$10+1,1))-AVERAGE(OFFSET($H$3,0,0,'Données projet'!$E$10+1,1))</f>
        <v>363.98181065114898</v>
      </c>
      <c r="AO91" s="59">
        <f t="shared" si="90"/>
        <v>410.85213343666396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137.62867564822872</v>
      </c>
      <c r="AV91" s="21">
        <f>EXP(-LN(2)/25)*AV90+(1-EXP(-LN(2)/25))/(LN(2)/25)*Calculateur!AQ91*Calculateur!AS91*VLOOKUP('Données projet'!$B$10,Paramètres!$A$1:$I$89,3,0)*0.475*44/12</f>
        <v>60.973643449921717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198.60231909815045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65.283615768606495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-1.1368683772161603E-13</v>
      </c>
      <c r="BE91" s="13">
        <f>BD91*VLOOKUP('Données projet'!$B$11,Paramètres!$A$1:$I$89,3,0)*VLOOKUP('Données projet'!$B$11,Paramètres!$A$1:$I$89,5,0)</f>
        <v>-9.9316821433603781E-14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433.6995276469014</v>
      </c>
      <c r="BJ91" s="59">
        <f t="shared" si="92"/>
        <v>306.37969720280557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127.69960408840237</v>
      </c>
      <c r="BQ91" s="21">
        <f>EXP(-LN(2)/25)*BQ90+(1-EXP(-LN(2)/25))/(LN(2)/25)*Calculateur!BL91*Calculateur!BN91*VLOOKUP('Données projet'!$B$11,Paramètres!$A$1:$I$89,3,0)*0.475*44/12</f>
        <v>57.818383168258663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185.51798725666103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65.283615768606495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5.6</v>
      </c>
      <c r="BY91" s="12">
        <f>IF('Données projet'!$A$114&gt;35,BY90+BX91-CG90,IF(A91&lt;'Données projet'!$A$114,$BV$205^A91,IF(A91='Données projet'!$A$114,'Données projet'!$B$114,BY90+BX91-CG90)))</f>
        <v>193.79999999999998</v>
      </c>
      <c r="BZ91" s="13">
        <f>BY91*VLOOKUP('Données projet'!$B$12,Paramètres!$A$1:$I$89,3,0)*VLOOKUP('Données projet'!$B$12,Paramètres!$A$1:$I$89,5,0)</f>
        <v>187.44335999999998</v>
      </c>
      <c r="CA91" s="13">
        <f t="shared" si="93"/>
        <v>46.974271155353676</v>
      </c>
      <c r="CB91" s="20">
        <f t="shared" si="64"/>
        <v>408.27737426224098</v>
      </c>
      <c r="CC91" s="59">
        <f t="shared" si="65"/>
        <v>684.31729874713142</v>
      </c>
      <c r="CD91" s="59">
        <f ca="1">AVERAGE(OFFSET($CC$3,0,0,'Données projet'!$E$12+1,1))-AVERAGE(OFFSET($H$3,0,0,'Données projet'!$E$12+1,1))</f>
        <v>455.95436253828132</v>
      </c>
      <c r="CE91" s="59">
        <f t="shared" si="94"/>
        <v>64.829921296688497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27.002071653493577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27.002071653493577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65.283615768606495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5.6843418860808015E-14</v>
      </c>
      <c r="CU91" s="17">
        <f>CT91*VLOOKUP('Données projet'!$B$13,Paramètres!$A$1:$I$89,3,0)*VLOOKUP('Données projet'!$B$13,Paramètres!$A$1:$I$89,5,0)</f>
        <v>4.4337866711430253E-14</v>
      </c>
      <c r="CV91" s="13">
        <f t="shared" si="95"/>
        <v>7.3222115536967035E-13</v>
      </c>
      <c r="CW91" s="20">
        <f t="shared" si="67"/>
        <v>1.3525069634579169E-12</v>
      </c>
      <c r="CX91" s="59">
        <f t="shared" si="68"/>
        <v>276.03992448489186</v>
      </c>
      <c r="CY91" s="59">
        <f ca="1">AVERAGE(OFFSET($CX$3,0,0,'Données projet'!$E$13+1,1))-AVERAGE(OFFSET($H$3,0,0,'Données projet'!$E$13+1,1))</f>
        <v>306.44760579759713</v>
      </c>
      <c r="CZ91" s="59">
        <f t="shared" si="96"/>
        <v>300.30192123221718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60.70991025175335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60.70991025175335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65.283615768606495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65.283615768606495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65.283615768606495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65.283615768606495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65.283615768606495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4.4000000000000004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16.133333333333336</v>
      </c>
      <c r="H92" s="67">
        <f t="shared" si="56"/>
        <v>192.13333333333333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65.365434490765665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1.1368683772161603E-13</v>
      </c>
      <c r="O92" s="13">
        <f>N92*VLOOKUP('Données projet'!$B$9,Paramètres!$A$1:$I$89,3,0)*VLOOKUP('Données projet'!$B$9,Paramètres!$A$1:$I$89,5,0)</f>
        <v>6.7984728957526396E-14</v>
      </c>
      <c r="P92" s="13">
        <f t="shared" si="87"/>
        <v>1.0682447123141398E-12</v>
      </c>
      <c r="Q92" s="20">
        <f t="shared" si="54"/>
        <v>1.978932943548152E-12</v>
      </c>
      <c r="R92" s="59">
        <f t="shared" si="55"/>
        <v>276.33992646614274</v>
      </c>
      <c r="S92" s="59">
        <f ca="1">AVERAGE(OFFSET($R$3,0,0,'Données projet'!$E$9+1,1))-AVERAGE(OFFSET($H$3,0,0,'Données projet'!$E$9+1,1))</f>
        <v>299.45724561493057</v>
      </c>
      <c r="T92" s="59">
        <f t="shared" si="88"/>
        <v>297.63369027443196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67.164942888821741</v>
      </c>
      <c r="AA92" s="21">
        <f>EXP(-LN(2)/25)*AA91+(1-EXP(-LN(2)/25))/(LN(2)/25)*Calculateur!V92*Calculateur!X92*VLOOKUP('Données projet'!$B$9,Paramètres!$A$1:$I$89,3,0)*0.475*44/12</f>
        <v>32.673968005267753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99.838910894089494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65.365434490765665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3.4106051316484809E-13</v>
      </c>
      <c r="AJ92" s="13">
        <f>AI92*VLOOKUP('Données projet'!$B$10,Paramètres!$A$1:$I$89,3,0)*VLOOKUP('Données projet'!$B$10,Paramètres!$A$1:$I$89,5,0)</f>
        <v>1.9065282685915009E-13</v>
      </c>
      <c r="AK92" s="13">
        <f t="shared" si="89"/>
        <v>2.6568987209435707E-12</v>
      </c>
      <c r="AL92" s="20">
        <f t="shared" si="58"/>
        <v>4.959485612423072E-12</v>
      </c>
      <c r="AM92" s="59">
        <f t="shared" si="59"/>
        <v>276.3399264661457</v>
      </c>
      <c r="AN92" s="59">
        <f ca="1">AVERAGE(OFFSET($AM$3,0,0,'Données projet'!$E$10+1,1))-AVERAGE(OFFSET($H$3,0,0,'Données projet'!$E$10+1,1))</f>
        <v>363.98181065114898</v>
      </c>
      <c r="AO92" s="59">
        <f t="shared" si="90"/>
        <v>410.85213343666396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134.9298612639702</v>
      </c>
      <c r="AV92" s="21">
        <f>EXP(-LN(2)/25)*AV91+(1-EXP(-LN(2)/25))/(LN(2)/25)*Calculateur!AQ92*Calculateur!AS92*VLOOKUP('Données projet'!$B$10,Paramètres!$A$1:$I$89,3,0)*0.475*44/12</f>
        <v>59.306315963319058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194.23617722728926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65.365434490765665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-1.1368683772161603E-13</v>
      </c>
      <c r="BE92" s="13">
        <f>BD92*VLOOKUP('Données projet'!$B$11,Paramètres!$A$1:$I$89,3,0)*VLOOKUP('Données projet'!$B$11,Paramètres!$A$1:$I$89,5,0)</f>
        <v>-9.9316821433603781E-14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433.6995276469014</v>
      </c>
      <c r="BJ92" s="59">
        <f t="shared" si="92"/>
        <v>306.37969720280557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125.19549274129638</v>
      </c>
      <c r="BQ92" s="21">
        <f>EXP(-LN(2)/25)*BQ91+(1-EXP(-LN(2)/25))/(LN(2)/25)*Calculateur!BL92*Calculateur!BN92*VLOOKUP('Données projet'!$B$11,Paramètres!$A$1:$I$89,3,0)*0.475*44/12</f>
        <v>56.237336439986002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181.43282918128239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65.365434490765665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5.6</v>
      </c>
      <c r="BY92" s="12">
        <f>IF('Données projet'!$A$114&gt;35,BY91+BX92-CG91,IF(A92&lt;'Données projet'!$A$114,$BV$205^A92,IF(A92='Données projet'!$A$114,'Données projet'!$B$114,BY91+BX92-CG91)))</f>
        <v>199.39999999999998</v>
      </c>
      <c r="BZ92" s="13">
        <f>BY92*VLOOKUP('Données projet'!$B$12,Paramètres!$A$1:$I$89,3,0)*VLOOKUP('Données projet'!$B$12,Paramètres!$A$1:$I$89,5,0)</f>
        <v>192.85968</v>
      </c>
      <c r="CA92" s="13">
        <f t="shared" si="93"/>
        <v>48.171636758797227</v>
      </c>
      <c r="CB92" s="20">
        <f t="shared" si="64"/>
        <v>419.79621002157182</v>
      </c>
      <c r="CC92" s="59">
        <f t="shared" si="65"/>
        <v>696.13613648771252</v>
      </c>
      <c r="CD92" s="59">
        <f ca="1">AVERAGE(OFFSET($CC$3,0,0,'Données projet'!$E$12+1,1))-AVERAGE(OFFSET($H$3,0,0,'Données projet'!$E$12+1,1))</f>
        <v>455.95436253828132</v>
      </c>
      <c r="CE92" s="59">
        <f t="shared" si="94"/>
        <v>64.829921296688497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26.472577498006036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26.472577498006036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65.365434490765665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5.6843418860808015E-14</v>
      </c>
      <c r="CU92" s="17">
        <f>CT92*VLOOKUP('Données projet'!$B$13,Paramètres!$A$1:$I$89,3,0)*VLOOKUP('Données projet'!$B$13,Paramètres!$A$1:$I$89,5,0)</f>
        <v>4.4337866711430253E-14</v>
      </c>
      <c r="CV92" s="13">
        <f t="shared" si="95"/>
        <v>7.3222115536967035E-13</v>
      </c>
      <c r="CW92" s="20">
        <f t="shared" si="67"/>
        <v>1.3525069634579169E-12</v>
      </c>
      <c r="CX92" s="59">
        <f t="shared" si="68"/>
        <v>276.33992646614212</v>
      </c>
      <c r="CY92" s="59">
        <f ca="1">AVERAGE(OFFSET($CX$3,0,0,'Données projet'!$E$13+1,1))-AVERAGE(OFFSET($H$3,0,0,'Données projet'!$E$13+1,1))</f>
        <v>306.44760579759713</v>
      </c>
      <c r="CZ92" s="59">
        <f t="shared" si="96"/>
        <v>300.30192123221718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59.519425941105375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59.519425941105375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65.365434490765665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65.365434490765665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65.365434490765665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65.365434490765665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65.365434490765665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4.4000000000000004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16.133333333333336</v>
      </c>
      <c r="H93" s="67">
        <f t="shared" si="56"/>
        <v>192.13333333333333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65.445833841014647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1.1368683772161603E-13</v>
      </c>
      <c r="O93" s="13">
        <f>N93*VLOOKUP('Données projet'!$B$9,Paramètres!$A$1:$I$89,3,0)*VLOOKUP('Données projet'!$B$9,Paramètres!$A$1:$I$89,5,0)</f>
        <v>6.7984728957526396E-14</v>
      </c>
      <c r="P93" s="13">
        <f t="shared" si="87"/>
        <v>1.0682447123141398E-12</v>
      </c>
      <c r="Q93" s="20">
        <f t="shared" si="54"/>
        <v>1.978932943548152E-12</v>
      </c>
      <c r="R93" s="59">
        <f t="shared" si="55"/>
        <v>276.63472408372235</v>
      </c>
      <c r="S93" s="59">
        <f ca="1">AVERAGE(OFFSET($R$3,0,0,'Données projet'!$E$9+1,1))-AVERAGE(OFFSET($H$3,0,0,'Données projet'!$E$9+1,1))</f>
        <v>299.45724561493057</v>
      </c>
      <c r="T93" s="59">
        <f t="shared" si="88"/>
        <v>297.63369027443196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65.847879325341992</v>
      </c>
      <c r="AA93" s="21">
        <f>EXP(-LN(2)/25)*AA92+(1-EXP(-LN(2)/25))/(LN(2)/25)*Calculateur!V93*Calculateur!X93*VLOOKUP('Données projet'!$B$9,Paramètres!$A$1:$I$89,3,0)*0.475*44/12</f>
        <v>31.780496631914406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97.628375957256395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65.445833841014647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3.4106051316484809E-13</v>
      </c>
      <c r="AJ93" s="13">
        <f>AI93*VLOOKUP('Données projet'!$B$10,Paramètres!$A$1:$I$89,3,0)*VLOOKUP('Données projet'!$B$10,Paramètres!$A$1:$I$89,5,0)</f>
        <v>1.9065282685915009E-13</v>
      </c>
      <c r="AK93" s="13">
        <f t="shared" si="89"/>
        <v>2.6568987209435707E-12</v>
      </c>
      <c r="AL93" s="20">
        <f t="shared" si="58"/>
        <v>4.959485612423072E-12</v>
      </c>
      <c r="AM93" s="59">
        <f t="shared" si="59"/>
        <v>276.6347240837253</v>
      </c>
      <c r="AN93" s="59">
        <f ca="1">AVERAGE(OFFSET($AM$3,0,0,'Données projet'!$E$10+1,1))-AVERAGE(OFFSET($H$3,0,0,'Données projet'!$E$10+1,1))</f>
        <v>363.98181065114898</v>
      </c>
      <c r="AO93" s="59">
        <f t="shared" si="90"/>
        <v>410.85213343666396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132.28396898367276</v>
      </c>
      <c r="AV93" s="21">
        <f>EXP(-LN(2)/25)*AV92+(1-EXP(-LN(2)/25))/(LN(2)/25)*Calculateur!AQ93*Calculateur!AS93*VLOOKUP('Données projet'!$B$10,Paramètres!$A$1:$I$89,3,0)*0.475*44/12</f>
        <v>57.684581634518487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189.96855061819124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65.445833841014647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-1.1368683772161603E-13</v>
      </c>
      <c r="BE93" s="13">
        <f>BD93*VLOOKUP('Données projet'!$B$11,Paramètres!$A$1:$I$89,3,0)*VLOOKUP('Données projet'!$B$11,Paramètres!$A$1:$I$89,5,0)</f>
        <v>-9.9316821433603781E-14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433.6995276469014</v>
      </c>
      <c r="BJ93" s="59">
        <f t="shared" si="92"/>
        <v>306.37969720280557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122.74048549035004</v>
      </c>
      <c r="BQ93" s="21">
        <f>EXP(-LN(2)/25)*BQ92+(1-EXP(-LN(2)/25))/(LN(2)/25)*Calculateur!BL93*Calculateur!BN93*VLOOKUP('Données projet'!$B$11,Paramètres!$A$1:$I$89,3,0)*0.475*44/12</f>
        <v>54.699523517641595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177.44000900799165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65.445833841014647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5.6</v>
      </c>
      <c r="BY93" s="12">
        <f>IF('Données projet'!$A$114&gt;35,BY92+BX93-CG92,IF(A93&lt;'Données projet'!$A$114,$BV$205^A93,IF(A93='Données projet'!$A$114,'Données projet'!$B$114,BY92+BX93-CG92)))</f>
        <v>204.99999999999997</v>
      </c>
      <c r="BZ93" s="13">
        <f>BY93*VLOOKUP('Données projet'!$B$12,Paramètres!$A$1:$I$89,3,0)*VLOOKUP('Données projet'!$B$12,Paramètres!$A$1:$I$89,5,0)</f>
        <v>198.27599999999998</v>
      </c>
      <c r="CA93" s="13">
        <f t="shared" si="93"/>
        <v>49.36509401359271</v>
      </c>
      <c r="CB93" s="20">
        <f t="shared" si="64"/>
        <v>431.30823874034058</v>
      </c>
      <c r="CC93" s="59">
        <f t="shared" si="65"/>
        <v>707.94296282406094</v>
      </c>
      <c r="CD93" s="59">
        <f ca="1">AVERAGE(OFFSET($CC$3,0,0,'Données projet'!$E$12+1,1))-AVERAGE(OFFSET($H$3,0,0,'Données projet'!$E$12+1,1))</f>
        <v>455.95436253828132</v>
      </c>
      <c r="CE93" s="59">
        <f t="shared" si="94"/>
        <v>64.829921296688497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25.953466399948059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25.953466399948059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65.445833841014647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5.6843418860808015E-14</v>
      </c>
      <c r="CU93" s="17">
        <f>CT93*VLOOKUP('Données projet'!$B$13,Paramètres!$A$1:$I$89,3,0)*VLOOKUP('Données projet'!$B$13,Paramètres!$A$1:$I$89,5,0)</f>
        <v>4.4337866711430253E-14</v>
      </c>
      <c r="CV93" s="13">
        <f t="shared" si="95"/>
        <v>7.3222115536967035E-13</v>
      </c>
      <c r="CW93" s="20">
        <f t="shared" si="67"/>
        <v>1.3525069634579169E-12</v>
      </c>
      <c r="CX93" s="59">
        <f t="shared" si="68"/>
        <v>276.63472408372172</v>
      </c>
      <c r="CY93" s="59">
        <f ca="1">AVERAGE(OFFSET($CX$3,0,0,'Données projet'!$E$13+1,1))-AVERAGE(OFFSET($H$3,0,0,'Données projet'!$E$13+1,1))</f>
        <v>306.44760579759713</v>
      </c>
      <c r="CZ93" s="59">
        <f t="shared" si="96"/>
        <v>300.30192123221718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58.352286301665472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58.352286301665472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65.445833841014647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65.445833841014647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65.445833841014647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65.445833841014647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65.445833841014647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4.4000000000000004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16.133333333333336</v>
      </c>
      <c r="H94" s="67">
        <f t="shared" si="56"/>
        <v>192.13333333333333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65.524838442282828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1.1368683772161603E-13</v>
      </c>
      <c r="O94" s="13">
        <f>N94*VLOOKUP('Données projet'!$B$9,Paramètres!$A$1:$I$89,3,0)*VLOOKUP('Données projet'!$B$9,Paramètres!$A$1:$I$89,5,0)</f>
        <v>6.7984728957526396E-14</v>
      </c>
      <c r="P94" s="13">
        <f t="shared" si="87"/>
        <v>1.0682447123141398E-12</v>
      </c>
      <c r="Q94" s="20">
        <f t="shared" si="54"/>
        <v>1.978932943548152E-12</v>
      </c>
      <c r="R94" s="59">
        <f t="shared" si="55"/>
        <v>276.92440762170571</v>
      </c>
      <c r="S94" s="59">
        <f ca="1">AVERAGE(OFFSET($R$3,0,0,'Données projet'!$E$9+1,1))-AVERAGE(OFFSET($H$3,0,0,'Données projet'!$E$9+1,1))</f>
        <v>299.45724561493057</v>
      </c>
      <c r="T94" s="59">
        <f t="shared" si="88"/>
        <v>297.63369027443196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64.556642575012631</v>
      </c>
      <c r="AA94" s="21">
        <f>EXP(-LN(2)/25)*AA93+(1-EXP(-LN(2)/25))/(LN(2)/25)*Calculateur!V94*Calculateur!X94*VLOOKUP('Données projet'!$B$9,Paramètres!$A$1:$I$89,3,0)*0.475*44/12</f>
        <v>30.911457280251025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95.468099855263659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65.524838442282828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3.4106051316484809E-13</v>
      </c>
      <c r="AJ94" s="13">
        <f>AI94*VLOOKUP('Données projet'!$B$10,Paramètres!$A$1:$I$89,3,0)*VLOOKUP('Données projet'!$B$10,Paramètres!$A$1:$I$89,5,0)</f>
        <v>1.9065282685915009E-13</v>
      </c>
      <c r="AK94" s="13">
        <f t="shared" si="89"/>
        <v>2.6568987209435707E-12</v>
      </c>
      <c r="AL94" s="20">
        <f t="shared" si="58"/>
        <v>4.959485612423072E-12</v>
      </c>
      <c r="AM94" s="59">
        <f t="shared" si="59"/>
        <v>276.92440762170867</v>
      </c>
      <c r="AN94" s="59">
        <f ca="1">AVERAGE(OFFSET($AM$3,0,0,'Données projet'!$E$10+1,1))-AVERAGE(OFFSET($H$3,0,0,'Données projet'!$E$10+1,1))</f>
        <v>363.98181065114898</v>
      </c>
      <c r="AO94" s="59">
        <f t="shared" si="90"/>
        <v>410.85213343666396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129.68996103715702</v>
      </c>
      <c r="AV94" s="21">
        <f>EXP(-LN(2)/25)*AV93+(1-EXP(-LN(2)/25))/(LN(2)/25)*Calculateur!AQ94*Calculateur!AS94*VLOOKUP('Données projet'!$B$10,Paramètres!$A$1:$I$89,3,0)*0.475*44/12</f>
        <v>56.10719371622227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185.79715475337929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65.524838442282828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-1.1368683772161603E-13</v>
      </c>
      <c r="BE94" s="13">
        <f>BD94*VLOOKUP('Données projet'!$B$11,Paramètres!$A$1:$I$89,3,0)*VLOOKUP('Données projet'!$B$11,Paramètres!$A$1:$I$89,5,0)</f>
        <v>-9.9316821433603781E-14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433.6995276469014</v>
      </c>
      <c r="BJ94" s="59">
        <f t="shared" si="92"/>
        <v>306.37969720280557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120.33361943418819</v>
      </c>
      <c r="BQ94" s="21">
        <f>EXP(-LN(2)/25)*BQ93+(1-EXP(-LN(2)/25))/(LN(2)/25)*Calculateur!BL94*Calculateur!BN94*VLOOKUP('Données projet'!$B$11,Paramètres!$A$1:$I$89,3,0)*0.475*44/12</f>
        <v>53.203762170528762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173.53738160471696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65.524838442282828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5.6</v>
      </c>
      <c r="BY94" s="12">
        <f>IF('Données projet'!$A$114&gt;35,BY93+BX94-CG93,IF(A94&lt;'Données projet'!$A$114,$BV$205^A94,IF(A94='Données projet'!$A$114,'Données projet'!$B$114,BY93+BX94-CG93)))</f>
        <v>210.59999999999997</v>
      </c>
      <c r="BZ94" s="13">
        <f>BY94*VLOOKUP('Données projet'!$B$12,Paramètres!$A$1:$I$89,3,0)*VLOOKUP('Données projet'!$B$12,Paramètres!$A$1:$I$89,5,0)</f>
        <v>203.69231999999997</v>
      </c>
      <c r="CA94" s="13">
        <f t="shared" si="93"/>
        <v>50.554761952475928</v>
      </c>
      <c r="CB94" s="20">
        <f t="shared" si="64"/>
        <v>442.8136677338955</v>
      </c>
      <c r="CC94" s="59">
        <f t="shared" si="65"/>
        <v>719.73807535559922</v>
      </c>
      <c r="CD94" s="59">
        <f ca="1">AVERAGE(OFFSET($CC$3,0,0,'Données projet'!$E$12+1,1))-AVERAGE(OFFSET($H$3,0,0,'Données projet'!$E$12+1,1))</f>
        <v>455.95436253828132</v>
      </c>
      <c r="CE94" s="59">
        <f t="shared" si="94"/>
        <v>64.829921296688497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25.444534753896495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25.444534753896495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65.524838442282828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5.6843418860808015E-14</v>
      </c>
      <c r="CU94" s="17">
        <f>CT94*VLOOKUP('Données projet'!$B$13,Paramètres!$A$1:$I$89,3,0)*VLOOKUP('Données projet'!$B$13,Paramètres!$A$1:$I$89,5,0)</f>
        <v>4.4337866711430253E-14</v>
      </c>
      <c r="CV94" s="13">
        <f t="shared" si="95"/>
        <v>7.3222115536967035E-13</v>
      </c>
      <c r="CW94" s="20">
        <f t="shared" si="67"/>
        <v>1.3525069634579169E-12</v>
      </c>
      <c r="CX94" s="59">
        <f t="shared" si="68"/>
        <v>276.92440762170509</v>
      </c>
      <c r="CY94" s="59">
        <f ca="1">AVERAGE(OFFSET($CX$3,0,0,'Données projet'!$E$13+1,1))-AVERAGE(OFFSET($H$3,0,0,'Données projet'!$E$13+1,1))</f>
        <v>306.44760579759713</v>
      </c>
      <c r="CZ94" s="59">
        <f t="shared" si="96"/>
        <v>300.30192123221718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57.208033558670103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57.208033558670103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65.524838442282828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65.524838442282828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65.524838442282828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65.524838442282828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65.524838442282828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4.4000000000000004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16.133333333333336</v>
      </c>
      <c r="H95" s="67">
        <f t="shared" si="56"/>
        <v>192.13333333333333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65.602472490346827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1.1368683772161603E-13</v>
      </c>
      <c r="O95" s="13">
        <f>N95*VLOOKUP('Données projet'!$B$9,Paramètres!$A$1:$I$89,3,0)*VLOOKUP('Données projet'!$B$9,Paramètres!$A$1:$I$89,5,0)</f>
        <v>6.7984728957526396E-14</v>
      </c>
      <c r="P95" s="13">
        <f t="shared" si="87"/>
        <v>1.0682447123141398E-12</v>
      </c>
      <c r="Q95" s="20">
        <f t="shared" si="54"/>
        <v>1.978932943548152E-12</v>
      </c>
      <c r="R95" s="59">
        <f t="shared" si="55"/>
        <v>277.20906579794035</v>
      </c>
      <c r="S95" s="59">
        <f ca="1">AVERAGE(OFFSET($R$3,0,0,'Données projet'!$E$9+1,1))-AVERAGE(OFFSET($H$3,0,0,'Données projet'!$E$9+1,1))</f>
        <v>299.45724561493057</v>
      </c>
      <c r="T95" s="59">
        <f t="shared" si="88"/>
        <v>297.63369027443196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63.290726189780578</v>
      </c>
      <c r="AA95" s="21">
        <f>EXP(-LN(2)/25)*AA94+(1-EXP(-LN(2)/25))/(LN(2)/25)*Calculateur!V95*Calculateur!X95*VLOOKUP('Données projet'!$B$9,Paramètres!$A$1:$I$89,3,0)*0.475*44/12</f>
        <v>30.06618185535967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93.356908045140244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65.602472490346827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3.4106051316484809E-13</v>
      </c>
      <c r="AJ95" s="13">
        <f>AI95*VLOOKUP('Données projet'!$B$10,Paramètres!$A$1:$I$89,3,0)*VLOOKUP('Données projet'!$B$10,Paramètres!$A$1:$I$89,5,0)</f>
        <v>1.9065282685915009E-13</v>
      </c>
      <c r="AK95" s="13">
        <f t="shared" si="89"/>
        <v>2.6568987209435707E-12</v>
      </c>
      <c r="AL95" s="20">
        <f t="shared" si="58"/>
        <v>4.959485612423072E-12</v>
      </c>
      <c r="AM95" s="59">
        <f t="shared" si="59"/>
        <v>277.20906579794331</v>
      </c>
      <c r="AN95" s="59">
        <f ca="1">AVERAGE(OFFSET($AM$3,0,0,'Données projet'!$E$10+1,1))-AVERAGE(OFFSET($H$3,0,0,'Données projet'!$E$10+1,1))</f>
        <v>363.98181065114898</v>
      </c>
      <c r="AO95" s="59">
        <f t="shared" si="90"/>
        <v>410.85213343666396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127.14682000428382</v>
      </c>
      <c r="AV95" s="21">
        <f>EXP(-LN(2)/25)*AV94+(1-EXP(-LN(2)/25))/(LN(2)/25)*Calculateur!AQ95*Calculateur!AS95*VLOOKUP('Données projet'!$B$10,Paramètres!$A$1:$I$89,3,0)*0.475*44/12</f>
        <v>54.57293955350309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181.71975955778692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65.602472490346827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-1.1368683772161603E-13</v>
      </c>
      <c r="BE95" s="13">
        <f>BD95*VLOOKUP('Données projet'!$B$11,Paramètres!$A$1:$I$89,3,0)*VLOOKUP('Données projet'!$B$11,Paramètres!$A$1:$I$89,5,0)</f>
        <v>-9.9316821433603781E-14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433.6995276469014</v>
      </c>
      <c r="BJ95" s="59">
        <f t="shared" si="92"/>
        <v>306.37969720280557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117.97395055334434</v>
      </c>
      <c r="BQ95" s="21">
        <f>EXP(-LN(2)/25)*BQ94+(1-EXP(-LN(2)/25))/(LN(2)/25)*Calculateur!BL95*Calculateur!BN95*VLOOKUP('Données projet'!$B$11,Paramètres!$A$1:$I$89,3,0)*0.475*44/12</f>
        <v>51.748902496111398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169.72285304945575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65.602472490346827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5.6</v>
      </c>
      <c r="BY95" s="12">
        <f>IF('Données projet'!$A$114&gt;35,BY94+BX95-CG94,IF(A95&lt;'Données projet'!$A$114,$BV$205^A95,IF(A95='Données projet'!$A$114,'Données projet'!$B$114,BY94+BX95-CG94)))</f>
        <v>216.19999999999996</v>
      </c>
      <c r="BZ95" s="13">
        <f>BY95*VLOOKUP('Données projet'!$B$12,Paramètres!$A$1:$I$89,3,0)*VLOOKUP('Données projet'!$B$12,Paramètres!$A$1:$I$89,5,0)</f>
        <v>209.10863999999998</v>
      </c>
      <c r="CA95" s="13">
        <f t="shared" si="93"/>
        <v>51.740752917407036</v>
      </c>
      <c r="CB95" s="20">
        <f t="shared" si="64"/>
        <v>454.3126926644839</v>
      </c>
      <c r="CC95" s="59">
        <f t="shared" si="65"/>
        <v>731.52175846242221</v>
      </c>
      <c r="CD95" s="59">
        <f ca="1">AVERAGE(OFFSET($CC$3,0,0,'Données projet'!$E$12+1,1))-AVERAGE(OFFSET($H$3,0,0,'Données projet'!$E$12+1,1))</f>
        <v>455.95436253828132</v>
      </c>
      <c r="CE95" s="59">
        <f t="shared" si="94"/>
        <v>64.829921296688497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24.945582947006347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24.945582947006347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65.602472490346827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5.6843418860808015E-14</v>
      </c>
      <c r="CU95" s="17">
        <f>CT95*VLOOKUP('Données projet'!$B$13,Paramètres!$A$1:$I$89,3,0)*VLOOKUP('Données projet'!$B$13,Paramètres!$A$1:$I$89,5,0)</f>
        <v>4.4337866711430253E-14</v>
      </c>
      <c r="CV95" s="13">
        <f t="shared" si="95"/>
        <v>7.3222115536967035E-13</v>
      </c>
      <c r="CW95" s="20">
        <f t="shared" si="67"/>
        <v>1.3525069634579169E-12</v>
      </c>
      <c r="CX95" s="59">
        <f t="shared" si="68"/>
        <v>277.20906579793973</v>
      </c>
      <c r="CY95" s="59">
        <f ca="1">AVERAGE(OFFSET($CX$3,0,0,'Données projet'!$E$13+1,1))-AVERAGE(OFFSET($H$3,0,0,'Données projet'!$E$13+1,1))</f>
        <v>306.44760579759713</v>
      </c>
      <c r="CZ95" s="59">
        <f t="shared" si="96"/>
        <v>300.30192123221718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56.086218914039613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56.086218914039613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65.602472490346827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65.602472490346827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65.602472490346827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65.602472490346827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65.602472490346827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4.4000000000000004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16.133333333333336</v>
      </c>
      <c r="H96" s="67">
        <f t="shared" si="56"/>
        <v>192.13333333333333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65.678759761240642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1.1368683772161603E-13</v>
      </c>
      <c r="O96" s="13">
        <f>N96*VLOOKUP('Données projet'!$B$9,Paramètres!$A$1:$I$89,3,0)*VLOOKUP('Données projet'!$B$9,Paramètres!$A$1:$I$89,5,0)</f>
        <v>6.7984728957526396E-14</v>
      </c>
      <c r="P96" s="13">
        <f t="shared" si="87"/>
        <v>1.0682447123141398E-12</v>
      </c>
      <c r="Q96" s="20">
        <f t="shared" si="54"/>
        <v>1.978932943548152E-12</v>
      </c>
      <c r="R96" s="59">
        <f t="shared" si="55"/>
        <v>277.48878579121765</v>
      </c>
      <c r="S96" s="59">
        <f ca="1">AVERAGE(OFFSET($R$3,0,0,'Données projet'!$E$9+1,1))-AVERAGE(OFFSET($H$3,0,0,'Données projet'!$E$9+1,1))</f>
        <v>299.45724561493057</v>
      </c>
      <c r="T96" s="59">
        <f t="shared" si="88"/>
        <v>297.63369027443196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62.049633652730172</v>
      </c>
      <c r="AA96" s="21">
        <f>EXP(-LN(2)/25)*AA95+(1-EXP(-LN(2)/25))/(LN(2)/25)*Calculateur!V96*Calculateur!X96*VLOOKUP('Données projet'!$B$9,Paramètres!$A$1:$I$89,3,0)*0.475*44/12</f>
        <v>29.244020531413074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91.29365418414325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65.678759761240642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3.4106051316484809E-13</v>
      </c>
      <c r="AJ96" s="13">
        <f>AI96*VLOOKUP('Données projet'!$B$10,Paramètres!$A$1:$I$89,3,0)*VLOOKUP('Données projet'!$B$10,Paramètres!$A$1:$I$89,5,0)</f>
        <v>1.9065282685915009E-13</v>
      </c>
      <c r="AK96" s="13">
        <f t="shared" si="89"/>
        <v>2.6568987209435707E-12</v>
      </c>
      <c r="AL96" s="20">
        <f t="shared" si="58"/>
        <v>4.959485612423072E-12</v>
      </c>
      <c r="AM96" s="59">
        <f t="shared" si="59"/>
        <v>277.48878579122061</v>
      </c>
      <c r="AN96" s="59">
        <f ca="1">AVERAGE(OFFSET($AM$3,0,0,'Données projet'!$E$10+1,1))-AVERAGE(OFFSET($H$3,0,0,'Données projet'!$E$10+1,1))</f>
        <v>363.98181065114898</v>
      </c>
      <c r="AO96" s="59">
        <f t="shared" si="90"/>
        <v>410.85213343666396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124.65354841590241</v>
      </c>
      <c r="AV96" s="21">
        <f>EXP(-LN(2)/25)*AV95+(1-EXP(-LN(2)/25))/(LN(2)/25)*Calculateur!AQ96*Calculateur!AS96*VLOOKUP('Données projet'!$B$10,Paramètres!$A$1:$I$89,3,0)*0.475*44/12</f>
        <v>53.080639651546385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177.7341880674488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65.678759761240642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-1.1368683772161603E-13</v>
      </c>
      <c r="BE96" s="13">
        <f>BD96*VLOOKUP('Données projet'!$B$11,Paramètres!$A$1:$I$89,3,0)*VLOOKUP('Données projet'!$B$11,Paramètres!$A$1:$I$89,5,0)</f>
        <v>-9.9316821433603781E-14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433.6995276469014</v>
      </c>
      <c r="BJ96" s="59">
        <f t="shared" si="92"/>
        <v>306.37969720280557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115.66055333999793</v>
      </c>
      <c r="BQ96" s="21">
        <f>EXP(-LN(2)/25)*BQ95+(1-EXP(-LN(2)/25))/(LN(2)/25)*Calculateur!BL96*Calculateur!BN96*VLOOKUP('Données projet'!$B$11,Paramètres!$A$1:$I$89,3,0)*0.475*44/12</f>
        <v>50.333826035998726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165.99437937599666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65.678759761240642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5.6</v>
      </c>
      <c r="BY96" s="12">
        <f>IF('Données projet'!$A$114&gt;35,BY95+BX96-CG95,IF(A96&lt;'Données projet'!$A$114,$BV$205^A96,IF(A96='Données projet'!$A$114,'Données projet'!$B$114,BY95+BX96-CG95)))</f>
        <v>221.79999999999995</v>
      </c>
      <c r="BZ96" s="13">
        <f>BY96*VLOOKUP('Données projet'!$B$12,Paramètres!$A$1:$I$89,3,0)*VLOOKUP('Données projet'!$B$12,Paramètres!$A$1:$I$89,5,0)</f>
        <v>214.52495999999994</v>
      </c>
      <c r="CA96" s="13">
        <f t="shared" si="93"/>
        <v>52.923173099085716</v>
      </c>
      <c r="CB96" s="20">
        <f t="shared" si="64"/>
        <v>465.80549848090754</v>
      </c>
      <c r="CC96" s="59">
        <f t="shared" si="65"/>
        <v>743.29428427212315</v>
      </c>
      <c r="CD96" s="59">
        <f ca="1">AVERAGE(OFFSET($CC$3,0,0,'Données projet'!$E$12+1,1))-AVERAGE(OFFSET($H$3,0,0,'Données projet'!$E$12+1,1))</f>
        <v>455.95436253828132</v>
      </c>
      <c r="CE96" s="59">
        <f t="shared" si="94"/>
        <v>64.829921296688497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24.456415280718765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24.456415280718765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65.678759761240642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5.6843418860808015E-14</v>
      </c>
      <c r="CU96" s="17">
        <f>CT96*VLOOKUP('Données projet'!$B$13,Paramètres!$A$1:$I$89,3,0)*VLOOKUP('Données projet'!$B$13,Paramètres!$A$1:$I$89,5,0)</f>
        <v>4.4337866711430253E-14</v>
      </c>
      <c r="CV96" s="13">
        <f t="shared" si="95"/>
        <v>7.3222115536967035E-13</v>
      </c>
      <c r="CW96" s="20">
        <f t="shared" si="67"/>
        <v>1.3525069634579169E-12</v>
      </c>
      <c r="CX96" s="59">
        <f t="shared" si="68"/>
        <v>277.48878579121703</v>
      </c>
      <c r="CY96" s="59">
        <f ca="1">AVERAGE(OFFSET($CX$3,0,0,'Données projet'!$E$13+1,1))-AVERAGE(OFFSET($H$3,0,0,'Données projet'!$E$13+1,1))</f>
        <v>306.44760579759713</v>
      </c>
      <c r="CZ96" s="59">
        <f t="shared" si="96"/>
        <v>300.30192123221718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54.986402370350952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54.986402370350952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65.678759761240642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65.678759761240642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65.678759761240642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65.678759761240642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65.678759761240642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4.4000000000000004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16.133333333333336</v>
      </c>
      <c r="H97" s="67">
        <f t="shared" si="56"/>
        <v>192.13333333333333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65.753723618537251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1.1368683772161603E-13</v>
      </c>
      <c r="O97" s="13">
        <f>N97*VLOOKUP('Données projet'!$B$9,Paramètres!$A$1:$I$89,3,0)*VLOOKUP('Données projet'!$B$9,Paramètres!$A$1:$I$89,5,0)</f>
        <v>6.7984728957526396E-14</v>
      </c>
      <c r="P97" s="13">
        <f t="shared" si="87"/>
        <v>1.0682447123141398E-12</v>
      </c>
      <c r="Q97" s="20">
        <f t="shared" si="54"/>
        <v>1.978932943548152E-12</v>
      </c>
      <c r="R97" s="59">
        <f t="shared" si="55"/>
        <v>277.7636532679719</v>
      </c>
      <c r="S97" s="59">
        <f ca="1">AVERAGE(OFFSET($R$3,0,0,'Données projet'!$E$9+1,1))-AVERAGE(OFFSET($H$3,0,0,'Données projet'!$E$9+1,1))</f>
        <v>299.45724561493057</v>
      </c>
      <c r="T97" s="59">
        <f t="shared" si="88"/>
        <v>297.63369027443196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60.832878183339623</v>
      </c>
      <c r="AA97" s="21">
        <f>EXP(-LN(2)/25)*AA96+(1-EXP(-LN(2)/25))/(LN(2)/25)*Calculateur!V97*Calculateur!X97*VLOOKUP('Données projet'!$B$9,Paramètres!$A$1:$I$89,3,0)*0.475*44/12</f>
        <v>28.444341252105382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89.277219435445005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65.753723618537251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3.4106051316484809E-13</v>
      </c>
      <c r="AJ97" s="13">
        <f>AI97*VLOOKUP('Données projet'!$B$10,Paramètres!$A$1:$I$89,3,0)*VLOOKUP('Données projet'!$B$10,Paramètres!$A$1:$I$89,5,0)</f>
        <v>1.9065282685915009E-13</v>
      </c>
      <c r="AK97" s="13">
        <f t="shared" si="89"/>
        <v>2.6568987209435707E-12</v>
      </c>
      <c r="AL97" s="20">
        <f t="shared" si="58"/>
        <v>4.959485612423072E-12</v>
      </c>
      <c r="AM97" s="59">
        <f t="shared" si="59"/>
        <v>277.76365326797486</v>
      </c>
      <c r="AN97" s="59">
        <f ca="1">AVERAGE(OFFSET($AM$3,0,0,'Données projet'!$E$10+1,1))-AVERAGE(OFFSET($H$3,0,0,'Données projet'!$E$10+1,1))</f>
        <v>363.98181065114898</v>
      </c>
      <c r="AO97" s="59">
        <f t="shared" si="90"/>
        <v>410.85213343666396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122.20916836262364</v>
      </c>
      <c r="AV97" s="21">
        <f>EXP(-LN(2)/25)*AV96+(1-EXP(-LN(2)/25))/(LN(2)/25)*Calculateur!AQ97*Calculateur!AS97*VLOOKUP('Données projet'!$B$10,Paramètres!$A$1:$I$89,3,0)*0.475*44/12</f>
        <v>51.629146768885327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173.83831513150898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65.753723618537251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-1.1368683772161603E-13</v>
      </c>
      <c r="BE97" s="13">
        <f>BD97*VLOOKUP('Données projet'!$B$11,Paramètres!$A$1:$I$89,3,0)*VLOOKUP('Données projet'!$B$11,Paramètres!$A$1:$I$89,5,0)</f>
        <v>-9.9316821433603781E-14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433.6995276469014</v>
      </c>
      <c r="BJ97" s="59">
        <f t="shared" si="92"/>
        <v>306.37969720280557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113.39252043497227</v>
      </c>
      <c r="BQ97" s="21">
        <f>EXP(-LN(2)/25)*BQ96+(1-EXP(-LN(2)/25))/(LN(2)/25)*Calculateur!BL97*Calculateur!BN97*VLOOKUP('Données projet'!$B$11,Paramètres!$A$1:$I$89,3,0)*0.475*44/12</f>
        <v>48.957444916103469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162.34996535107575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65.753723618537251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5.6</v>
      </c>
      <c r="BY97" s="12">
        <f>IF('Données projet'!$A$114&gt;35,BY96+BX97-CG96,IF(A97&lt;'Données projet'!$A$114,$BV$205^A97,IF(A97='Données projet'!$A$114,'Données projet'!$B$114,BY96+BX97-CG96)))</f>
        <v>227.39999999999995</v>
      </c>
      <c r="BZ97" s="13">
        <f>BY97*VLOOKUP('Données projet'!$B$12,Paramètres!$A$1:$I$89,3,0)*VLOOKUP('Données projet'!$B$12,Paramètres!$A$1:$I$89,5,0)</f>
        <v>219.94127999999995</v>
      </c>
      <c r="CA97" s="13">
        <f t="shared" si="93"/>
        <v>54.102123020446285</v>
      </c>
      <c r="CB97" s="20">
        <f t="shared" si="64"/>
        <v>477.29226026061059</v>
      </c>
      <c r="CC97" s="59">
        <f t="shared" si="65"/>
        <v>755.0559135285805</v>
      </c>
      <c r="CD97" s="59">
        <f ca="1">AVERAGE(OFFSET($CC$3,0,0,'Données projet'!$E$12+1,1))-AVERAGE(OFFSET($H$3,0,0,'Données projet'!$E$12+1,1))</f>
        <v>455.95436253828132</v>
      </c>
      <c r="CE97" s="59">
        <f t="shared" si="94"/>
        <v>64.829921296688497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23.976839894004264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23.976839894004264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65.753723618537251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5.6843418860808015E-14</v>
      </c>
      <c r="CU97" s="17">
        <f>CT97*VLOOKUP('Données projet'!$B$13,Paramètres!$A$1:$I$89,3,0)*VLOOKUP('Données projet'!$B$13,Paramètres!$A$1:$I$89,5,0)</f>
        <v>4.4337866711430253E-14</v>
      </c>
      <c r="CV97" s="13">
        <f t="shared" si="95"/>
        <v>7.3222115536967035E-13</v>
      </c>
      <c r="CW97" s="20">
        <f t="shared" si="67"/>
        <v>1.3525069634579169E-12</v>
      </c>
      <c r="CX97" s="59">
        <f t="shared" si="68"/>
        <v>277.76365326797128</v>
      </c>
      <c r="CY97" s="59">
        <f ca="1">AVERAGE(OFFSET($CX$3,0,0,'Données projet'!$E$13+1,1))-AVERAGE(OFFSET($H$3,0,0,'Données projet'!$E$13+1,1))</f>
        <v>306.44760579759713</v>
      </c>
      <c r="CZ97" s="59">
        <f t="shared" si="96"/>
        <v>300.30192123221718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53.908152558262174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53.908152558262174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65.753723618537251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65.753723618537251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65.753723618537251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65.753723618537251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65.753723618537251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4.4000000000000004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16.133333333333336</v>
      </c>
      <c r="H98" s="67">
        <f t="shared" si="56"/>
        <v>192.13333333333333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65.827387020503821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1.1368683772161603E-13</v>
      </c>
      <c r="O98" s="13">
        <f>N98*VLOOKUP('Données projet'!$B$9,Paramètres!$A$1:$I$89,3,0)*VLOOKUP('Données projet'!$B$9,Paramètres!$A$1:$I$89,5,0)</f>
        <v>6.7984728957526396E-14</v>
      </c>
      <c r="P98" s="13">
        <f t="shared" si="87"/>
        <v>1.0682447123141398E-12</v>
      </c>
      <c r="Q98" s="20">
        <f t="shared" si="54"/>
        <v>1.978932943548152E-12</v>
      </c>
      <c r="R98" s="59">
        <f t="shared" si="55"/>
        <v>278.03375240851597</v>
      </c>
      <c r="S98" s="59">
        <f ca="1">AVERAGE(OFFSET($R$3,0,0,'Données projet'!$E$9+1,1))-AVERAGE(OFFSET($H$3,0,0,'Données projet'!$E$9+1,1))</f>
        <v>299.45724561493057</v>
      </c>
      <c r="T98" s="59">
        <f t="shared" si="88"/>
        <v>297.63369027443196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59.639982546556269</v>
      </c>
      <c r="AA98" s="21">
        <f>EXP(-LN(2)/25)*AA97+(1-EXP(-LN(2)/25))/(LN(2)/25)*Calculateur!V98*Calculateur!X98*VLOOKUP('Données projet'!$B$9,Paramètres!$A$1:$I$89,3,0)*0.475*44/12</f>
        <v>27.666529244743664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87.306511791299926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65.827387020503821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3.4106051316484809E-13</v>
      </c>
      <c r="AJ98" s="13">
        <f>AI98*VLOOKUP('Données projet'!$B$10,Paramètres!$A$1:$I$89,3,0)*VLOOKUP('Données projet'!$B$10,Paramètres!$A$1:$I$89,5,0)</f>
        <v>1.9065282685915009E-13</v>
      </c>
      <c r="AK98" s="13">
        <f t="shared" si="89"/>
        <v>2.6568987209435707E-12</v>
      </c>
      <c r="AL98" s="20">
        <f t="shared" si="58"/>
        <v>4.959485612423072E-12</v>
      </c>
      <c r="AM98" s="59">
        <f t="shared" si="59"/>
        <v>278.03375240851892</v>
      </c>
      <c r="AN98" s="59">
        <f ca="1">AVERAGE(OFFSET($AM$3,0,0,'Données projet'!$E$10+1,1))-AVERAGE(OFFSET($H$3,0,0,'Données projet'!$E$10+1,1))</f>
        <v>363.98181065114898</v>
      </c>
      <c r="AO98" s="59">
        <f t="shared" si="90"/>
        <v>410.85213343666396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119.81272111126506</v>
      </c>
      <c r="AV98" s="21">
        <f>EXP(-LN(2)/25)*AV97+(1-EXP(-LN(2)/25))/(LN(2)/25)*Calculateur!AQ98*Calculateur!AS98*VLOOKUP('Données projet'!$B$10,Paramètres!$A$1:$I$89,3,0)*0.475*44/12</f>
        <v>50.217345035431329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170.03006614669638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65.827387020503821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-1.1368683772161603E-13</v>
      </c>
      <c r="BE98" s="13">
        <f>BD98*VLOOKUP('Données projet'!$B$11,Paramètres!$A$1:$I$89,3,0)*VLOOKUP('Données projet'!$B$11,Paramètres!$A$1:$I$89,5,0)</f>
        <v>-9.9316821433603781E-14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433.6995276469014</v>
      </c>
      <c r="BJ98" s="59">
        <f t="shared" si="92"/>
        <v>306.37969720280557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111.16896227185069</v>
      </c>
      <c r="BQ98" s="21">
        <f>EXP(-LN(2)/25)*BQ97+(1-EXP(-LN(2)/25))/(LN(2)/25)*Calculateur!BL98*Calculateur!BN98*VLOOKUP('Données projet'!$B$11,Paramètres!$A$1:$I$89,3,0)*0.475*44/12</f>
        <v>47.618701010312485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158.78766328216318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65.827387020503821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233</v>
      </c>
      <c r="BW98" s="12">
        <f>VLOOKUP(A98,'Données projet'!$A$113:$I$133,9,0)</f>
        <v>5.6</v>
      </c>
      <c r="BX98" s="12">
        <f t="array" ref="BX98">INDEX(BW:BW,MIN(IF(ISNUMBER(BW98:BW294),ROW(BW98:BW294),"")))</f>
        <v>5.6</v>
      </c>
      <c r="BY98" s="12">
        <f>IF('Données projet'!$A$114&gt;35,BY97+BX98-CG97,IF(A98&lt;'Données projet'!$A$114,$BV$205^A98,IF(A98='Données projet'!$A$114,'Données projet'!$B$114,BY97+BX98-CG97)))</f>
        <v>232.99999999999994</v>
      </c>
      <c r="BZ98" s="13">
        <f>BY98*VLOOKUP('Données projet'!$B$12,Paramètres!$A$1:$I$89,3,0)*VLOOKUP('Données projet'!$B$12,Paramètres!$A$1:$I$89,5,0)</f>
        <v>225.35759999999993</v>
      </c>
      <c r="CA98" s="13">
        <f t="shared" si="93"/>
        <v>55.277697971185155</v>
      </c>
      <c r="CB98" s="20">
        <f t="shared" si="64"/>
        <v>488.77314396648063</v>
      </c>
      <c r="CC98" s="59">
        <f t="shared" si="65"/>
        <v>766.80689637499461</v>
      </c>
      <c r="CD98" s="59">
        <f ca="1">AVERAGE(OFFSET($CC$3,0,0,'Données projet'!$E$12+1,1))-AVERAGE(OFFSET($H$3,0,0,'Données projet'!$E$12+1,1))</f>
        <v>455.95436253828132</v>
      </c>
      <c r="CE98" s="59">
        <f t="shared" si="94"/>
        <v>64.829921296688497</v>
      </c>
      <c r="CF98" s="15">
        <f>IF(ISNA(VLOOKUP(A98,'Données projet'!$A$113:$I$133,3,0)),0,VLOOKUP(A98,'Données projet'!$A$113:$I$133,3,0))</f>
        <v>8</v>
      </c>
      <c r="CG98" s="15">
        <f>IF(ISNA(VLOOKUP(A98,'Données projet'!$A$113:$I$133,4,0)),0,VLOOKUP(A98,'Données projet'!$A$113:$I$133,4,0))</f>
        <v>40</v>
      </c>
      <c r="CH98" s="16">
        <f>IF(ISNA(VLOOKUP(A98,'Données projet'!$A$113:$I$133,5,0)),0%,VLOOKUP(A98,'Données projet'!$A$113:$I$133,5,0)*VLOOKUP('Données projet'!$B$12,Paramètres!$A$1:$I$89,7,0))</f>
        <v>0.25800000000000001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34.540925703300793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34.540925703300793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65.827387020503821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5.6843418860808015E-14</v>
      </c>
      <c r="CU98" s="17">
        <f>CT98*VLOOKUP('Données projet'!$B$13,Paramètres!$A$1:$I$89,3,0)*VLOOKUP('Données projet'!$B$13,Paramètres!$A$1:$I$89,5,0)</f>
        <v>4.4337866711430253E-14</v>
      </c>
      <c r="CV98" s="13">
        <f t="shared" si="95"/>
        <v>7.3222115536967035E-13</v>
      </c>
      <c r="CW98" s="20">
        <f t="shared" si="67"/>
        <v>1.3525069634579169E-12</v>
      </c>
      <c r="CX98" s="59">
        <f t="shared" si="68"/>
        <v>278.03375240851534</v>
      </c>
      <c r="CY98" s="59">
        <f ca="1">AVERAGE(OFFSET($CX$3,0,0,'Données projet'!$E$13+1,1))-AVERAGE(OFFSET($H$3,0,0,'Données projet'!$E$13+1,1))</f>
        <v>306.44760579759713</v>
      </c>
      <c r="CZ98" s="59">
        <f t="shared" si="96"/>
        <v>300.30192123221718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52.851046567321013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52.851046567321013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65.827387020503821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65.827387020503821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65.827387020503821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65.827387020503821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65.827387020503821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4.4000000000000004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16.133333333333336</v>
      </c>
      <c r="H99" s="67">
        <f t="shared" si="56"/>
        <v>192.13333333333333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65.899772527132981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1.1368683772161603E-13</v>
      </c>
      <c r="O99" s="13">
        <f>N99*VLOOKUP('Données projet'!$B$9,Paramètres!$A$1:$I$89,3,0)*VLOOKUP('Données projet'!$B$9,Paramètres!$A$1:$I$89,5,0)</f>
        <v>6.7984728957526396E-14</v>
      </c>
      <c r="P99" s="13">
        <f t="shared" si="87"/>
        <v>1.0682447123141398E-12</v>
      </c>
      <c r="Q99" s="20">
        <f t="shared" ref="Q99:Q130" si="107">(O99+P99)*0.475*44/12</f>
        <v>1.978932943548152E-12</v>
      </c>
      <c r="R99" s="59">
        <f t="shared" si="55"/>
        <v>278.29916593282292</v>
      </c>
      <c r="S99" s="59">
        <f ca="1">AVERAGE(OFFSET($R$3,0,0,'Données projet'!$E$9+1,1))-AVERAGE(OFFSET($H$3,0,0,'Données projet'!$E$9+1,1))</f>
        <v>299.45724561493057</v>
      </c>
      <c r="T99" s="59">
        <f t="shared" si="88"/>
        <v>297.63369027443196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58.470478865615746</v>
      </c>
      <c r="AA99" s="21">
        <f>EXP(-LN(2)/25)*AA98+(1-EXP(-LN(2)/25))/(LN(2)/25)*Calculateur!V99*Calculateur!X99*VLOOKUP('Données projet'!$B$9,Paramètres!$A$1:$I$89,3,0)*0.475*44/12</f>
        <v>26.909986547626609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85.380465413242348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65.899772527132981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3.4106051316484809E-13</v>
      </c>
      <c r="AJ99" s="13">
        <f>AI99*VLOOKUP('Données projet'!$B$10,Paramètres!$A$1:$I$89,3,0)*VLOOKUP('Données projet'!$B$10,Paramètres!$A$1:$I$89,5,0)</f>
        <v>1.9065282685915009E-13</v>
      </c>
      <c r="AK99" s="13">
        <f t="shared" si="89"/>
        <v>2.6568987209435707E-12</v>
      </c>
      <c r="AL99" s="20">
        <f t="shared" si="58"/>
        <v>4.959485612423072E-12</v>
      </c>
      <c r="AM99" s="59">
        <f t="shared" si="59"/>
        <v>278.29916593282587</v>
      </c>
      <c r="AN99" s="59">
        <f ca="1">AVERAGE(OFFSET($AM$3,0,0,'Données projet'!$E$10+1,1))-AVERAGE(OFFSET($H$3,0,0,'Données projet'!$E$10+1,1))</f>
        <v>363.98181065114898</v>
      </c>
      <c r="AO99" s="59">
        <f t="shared" si="90"/>
        <v>410.85213343666396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117.46326672881713</v>
      </c>
      <c r="AV99" s="21">
        <f>EXP(-LN(2)/25)*AV98+(1-EXP(-LN(2)/25))/(LN(2)/25)*Calculateur!AQ99*Calculateur!AS99*VLOOKUP('Données projet'!$B$10,Paramètres!$A$1:$I$89,3,0)*0.475*44/12</f>
        <v>48.844149094622054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166.30741582343919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65.899772527132981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-1.1368683772161603E-13</v>
      </c>
      <c r="BE99" s="13">
        <f>BD99*VLOOKUP('Données projet'!$B$11,Paramètres!$A$1:$I$89,3,0)*VLOOKUP('Données projet'!$B$11,Paramètres!$A$1:$I$89,5,0)</f>
        <v>-9.9316821433603781E-14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433.6995276469014</v>
      </c>
      <c r="BJ99" s="59">
        <f t="shared" si="92"/>
        <v>306.37969720280557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108.98900672807136</v>
      </c>
      <c r="BQ99" s="21">
        <f>EXP(-LN(2)/25)*BQ98+(1-EXP(-LN(2)/25))/(LN(2)/25)*Calculateur!BL99*Calculateur!BN99*VLOOKUP('Données projet'!$B$11,Paramètres!$A$1:$I$89,3,0)*0.475*44/12</f>
        <v>46.316565127026841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155.30557185509821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65.899772527132981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5.4</v>
      </c>
      <c r="BY99" s="12">
        <f>IF('Données projet'!$A$114&gt;35,BY98+BX99-CG98,IF(A99&lt;'Données projet'!$A$114,$BV$205^A99,IF(A99='Données projet'!$A$114,'Données projet'!$B$114,BY98+BX99-CG98)))</f>
        <v>198.39999999999995</v>
      </c>
      <c r="BZ99" s="13">
        <f>BY99*VLOOKUP('Données projet'!$B$12,Paramètres!$A$1:$I$89,3,0)*VLOOKUP('Données projet'!$B$12,Paramètres!$A$1:$I$89,5,0)</f>
        <v>191.89247999999995</v>
      </c>
      <c r="CA99" s="13">
        <f t="shared" si="93"/>
        <v>47.958111658419469</v>
      </c>
      <c r="CB99" s="20">
        <f t="shared" si="64"/>
        <v>417.73978047174711</v>
      </c>
      <c r="CC99" s="59">
        <f t="shared" si="65"/>
        <v>696.03894640456804</v>
      </c>
      <c r="CD99" s="59">
        <f ca="1">AVERAGE(OFFSET($CC$3,0,0,'Données projet'!$E$12+1,1))-AVERAGE(OFFSET($H$3,0,0,'Données projet'!$E$12+1,1))</f>
        <v>455.95436253828132</v>
      </c>
      <c r="CE99" s="59">
        <f t="shared" si="94"/>
        <v>64.829921296688497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33.863599218143463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33.863599218143463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65.899772527132981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5.6843418860808015E-14</v>
      </c>
      <c r="CU99" s="17">
        <f>CT99*VLOOKUP('Données projet'!$B$13,Paramètres!$A$1:$I$89,3,0)*VLOOKUP('Données projet'!$B$13,Paramètres!$A$1:$I$89,5,0)</f>
        <v>4.4337866711430253E-14</v>
      </c>
      <c r="CV99" s="13">
        <f t="shared" si="95"/>
        <v>7.3222115536967035E-13</v>
      </c>
      <c r="CW99" s="20">
        <f t="shared" si="67"/>
        <v>1.3525069634579169E-12</v>
      </c>
      <c r="CX99" s="59">
        <f t="shared" si="68"/>
        <v>278.29916593282229</v>
      </c>
      <c r="CY99" s="59">
        <f ca="1">AVERAGE(OFFSET($CX$3,0,0,'Données projet'!$E$13+1,1))-AVERAGE(OFFSET($H$3,0,0,'Données projet'!$E$13+1,1))</f>
        <v>306.44760579759713</v>
      </c>
      <c r="CZ99" s="59">
        <f t="shared" si="96"/>
        <v>300.30192123221718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51.814669780091215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51.814669780091215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65.899772527132981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65.899772527132981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65.899772527132981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65.899772527132981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65.899772527132981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4.4000000000000004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16.133333333333336</v>
      </c>
      <c r="H100" s="67">
        <f t="shared" si="56"/>
        <v>192.13333333333333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65.970902307051873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1.1368683772161603E-13</v>
      </c>
      <c r="O100" s="13">
        <f>N100*VLOOKUP('Données projet'!$B$9,Paramètres!$A$1:$I$89,3,0)*VLOOKUP('Données projet'!$B$9,Paramètres!$A$1:$I$89,5,0)</f>
        <v>6.7984728957526396E-14</v>
      </c>
      <c r="P100" s="13">
        <f t="shared" si="87"/>
        <v>1.0682447123141398E-12</v>
      </c>
      <c r="Q100" s="20">
        <f t="shared" si="107"/>
        <v>1.978932943548152E-12</v>
      </c>
      <c r="R100" s="59">
        <f t="shared" si="55"/>
        <v>278.55997512585884</v>
      </c>
      <c r="S100" s="59">
        <f ca="1">AVERAGE(OFFSET($R$3,0,0,'Données projet'!$E$9+1,1))-AVERAGE(OFFSET($H$3,0,0,'Données projet'!$E$9+1,1))</f>
        <v>299.45724561493057</v>
      </c>
      <c r="T100" s="59">
        <f t="shared" si="88"/>
        <v>297.63369027443196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57.323908438531653</v>
      </c>
      <c r="AA100" s="21">
        <f>EXP(-LN(2)/25)*AA99+(1-EXP(-LN(2)/25))/(LN(2)/25)*Calculateur!V100*Calculateur!X100*VLOOKUP('Données projet'!$B$9,Paramètres!$A$1:$I$89,3,0)*0.475*44/12</f>
        <v>26.17413155034707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83.49803998887873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65.970902307051873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3.4106051316484809E-13</v>
      </c>
      <c r="AJ100" s="13">
        <f>AI100*VLOOKUP('Données projet'!$B$10,Paramètres!$A$1:$I$89,3,0)*VLOOKUP('Données projet'!$B$10,Paramètres!$A$1:$I$89,5,0)</f>
        <v>1.9065282685915009E-13</v>
      </c>
      <c r="AK100" s="13">
        <f t="shared" si="89"/>
        <v>2.6568987209435707E-12</v>
      </c>
      <c r="AL100" s="20">
        <f t="shared" si="58"/>
        <v>4.959485612423072E-12</v>
      </c>
      <c r="AM100" s="59">
        <f t="shared" si="59"/>
        <v>278.5599751258618</v>
      </c>
      <c r="AN100" s="59">
        <f ca="1">AVERAGE(OFFSET($AM$3,0,0,'Données projet'!$E$10+1,1))-AVERAGE(OFFSET($H$3,0,0,'Données projet'!$E$10+1,1))</f>
        <v>363.98181065114898</v>
      </c>
      <c r="AO100" s="59">
        <f t="shared" si="90"/>
        <v>410.85213343666396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115.15988371378333</v>
      </c>
      <c r="AV100" s="21">
        <f>EXP(-LN(2)/25)*AV99+(1-EXP(-LN(2)/25))/(LN(2)/25)*Calculateur!AQ100*Calculateur!AS100*VLOOKUP('Données projet'!$B$10,Paramètres!$A$1:$I$89,3,0)*0.475*44/12</f>
        <v>47.50850326902745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162.66838698281077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65.970902307051873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-1.1368683772161603E-13</v>
      </c>
      <c r="BE100" s="13">
        <f>BD100*VLOOKUP('Données projet'!$B$11,Paramètres!$A$1:$I$89,3,0)*VLOOKUP('Données projet'!$B$11,Paramètres!$A$1:$I$89,5,0)</f>
        <v>-9.9316821433603781E-14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433.6995276469014</v>
      </c>
      <c r="BJ100" s="59">
        <f t="shared" si="92"/>
        <v>306.37969720280557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106.85179878286395</v>
      </c>
      <c r="BQ100" s="21">
        <f>EXP(-LN(2)/25)*BQ99+(1-EXP(-LN(2)/25))/(LN(2)/25)*Calculateur!BL100*Calculateur!BN100*VLOOKUP('Données projet'!$B$11,Paramètres!$A$1:$I$89,3,0)*0.475*44/12</f>
        <v>45.050036217945987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151.90183500080994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65.970902307051873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5.4</v>
      </c>
      <c r="BY100" s="12">
        <f>IF('Données projet'!$A$114&gt;35,BY99+BX100-CG99,IF(A100&lt;'Données projet'!$A$114,$BV$205^A100,IF(A100='Données projet'!$A$114,'Données projet'!$B$114,BY99+BX100-CG99)))</f>
        <v>203.79999999999995</v>
      </c>
      <c r="BZ100" s="13">
        <f>BY100*VLOOKUP('Données projet'!$B$12,Paramètres!$A$1:$I$89,3,0)*VLOOKUP('Données projet'!$B$12,Paramètres!$A$1:$I$89,5,0)</f>
        <v>197.11535999999995</v>
      </c>
      <c r="CA100" s="13">
        <f t="shared" si="93"/>
        <v>49.109676122143036</v>
      </c>
      <c r="CB100" s="20">
        <f t="shared" si="64"/>
        <v>428.84193791273236</v>
      </c>
      <c r="CC100" s="59">
        <f t="shared" si="65"/>
        <v>707.40191303858921</v>
      </c>
      <c r="CD100" s="59">
        <f ca="1">AVERAGE(OFFSET($CC$3,0,0,'Données projet'!$E$12+1,1))-AVERAGE(OFFSET($H$3,0,0,'Données projet'!$E$12+1,1))</f>
        <v>455.95436253828132</v>
      </c>
      <c r="CE100" s="59">
        <f t="shared" si="94"/>
        <v>64.829921296688497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33.199554692231708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33.199554692231708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65.970902307051873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5.6843418860808015E-14</v>
      </c>
      <c r="CU100" s="17">
        <f>CT100*VLOOKUP('Données projet'!$B$13,Paramètres!$A$1:$I$89,3,0)*VLOOKUP('Données projet'!$B$13,Paramètres!$A$1:$I$89,5,0)</f>
        <v>4.4337866711430253E-14</v>
      </c>
      <c r="CV100" s="13">
        <f t="shared" si="95"/>
        <v>7.3222115536967035E-13</v>
      </c>
      <c r="CW100" s="20">
        <f t="shared" si="67"/>
        <v>1.3525069634579169E-12</v>
      </c>
      <c r="CX100" s="59">
        <f t="shared" si="68"/>
        <v>278.55997512585822</v>
      </c>
      <c r="CY100" s="59">
        <f ca="1">AVERAGE(OFFSET($CX$3,0,0,'Données projet'!$E$13+1,1))-AVERAGE(OFFSET($H$3,0,0,'Données projet'!$E$13+1,1))</f>
        <v>306.44760579759713</v>
      </c>
      <c r="CZ100" s="59">
        <f t="shared" si="96"/>
        <v>300.30192123221718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50.798615709531575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50.798615709531575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65.970902307051873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65.970902307051873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65.970902307051873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65.970902307051873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65.970902307051873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4.4000000000000004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16.133333333333336</v>
      </c>
      <c r="H101" s="67">
        <f t="shared" si="56"/>
        <v>192.13333333333333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66.040798144311537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1.1368683772161603E-13</v>
      </c>
      <c r="O101" s="13">
        <f>N101*VLOOKUP('Données projet'!$B$9,Paramètres!$A$1:$I$89,3,0)*VLOOKUP('Données projet'!$B$9,Paramètres!$A$1:$I$89,5,0)</f>
        <v>6.7984728957526396E-14</v>
      </c>
      <c r="P101" s="13">
        <f t="shared" si="87"/>
        <v>1.0682447123141398E-12</v>
      </c>
      <c r="Q101" s="20">
        <f t="shared" si="107"/>
        <v>1.978932943548152E-12</v>
      </c>
      <c r="R101" s="59">
        <f t="shared" si="55"/>
        <v>278.81625986247764</v>
      </c>
      <c r="S101" s="59">
        <f ca="1">AVERAGE(OFFSET($R$3,0,0,'Données projet'!$E$9+1,1))-AVERAGE(OFFSET($H$3,0,0,'Données projet'!$E$9+1,1))</f>
        <v>299.45724561493057</v>
      </c>
      <c r="T101" s="59">
        <f t="shared" si="88"/>
        <v>297.63369027443196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56.199821558183771</v>
      </c>
      <c r="AA101" s="21">
        <f>EXP(-LN(2)/25)*AA100+(1-EXP(-LN(2)/25))/(LN(2)/25)*Calculateur!V101*Calculateur!X101*VLOOKUP('Données projet'!$B$9,Paramètres!$A$1:$I$89,3,0)*0.475*44/12</f>
        <v>25.458398546665073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81.658220104848851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66.040798144311537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3.4106051316484809E-13</v>
      </c>
      <c r="AJ101" s="13">
        <f>AI101*VLOOKUP('Données projet'!$B$10,Paramètres!$A$1:$I$89,3,0)*VLOOKUP('Données projet'!$B$10,Paramètres!$A$1:$I$89,5,0)</f>
        <v>1.9065282685915009E-13</v>
      </c>
      <c r="AK101" s="13">
        <f t="shared" si="89"/>
        <v>2.6568987209435707E-12</v>
      </c>
      <c r="AL101" s="20">
        <f t="shared" si="58"/>
        <v>4.959485612423072E-12</v>
      </c>
      <c r="AM101" s="59">
        <f t="shared" si="59"/>
        <v>278.81625986248059</v>
      </c>
      <c r="AN101" s="59">
        <f ca="1">AVERAGE(OFFSET($AM$3,0,0,'Données projet'!$E$10+1,1))-AVERAGE(OFFSET($H$3,0,0,'Données projet'!$E$10+1,1))</f>
        <v>363.98181065114898</v>
      </c>
      <c r="AO101" s="59">
        <f t="shared" si="90"/>
        <v>410.85213343666396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112.90166863474943</v>
      </c>
      <c r="AV101" s="21">
        <f>EXP(-LN(2)/25)*AV100+(1-EXP(-LN(2)/25))/(LN(2)/25)*Calculateur!AQ101*Calculateur!AS101*VLOOKUP('Données projet'!$B$10,Paramètres!$A$1:$I$89,3,0)*0.475*44/12</f>
        <v>46.20938074877229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159.11104938352173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66.040798144311537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-1.1368683772161603E-13</v>
      </c>
      <c r="BE101" s="13">
        <f>BD101*VLOOKUP('Données projet'!$B$11,Paramètres!$A$1:$I$89,3,0)*VLOOKUP('Données projet'!$B$11,Paramètres!$A$1:$I$89,5,0)</f>
        <v>-9.9316821433603781E-14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433.6995276469014</v>
      </c>
      <c r="BJ101" s="59">
        <f t="shared" si="92"/>
        <v>306.37969720280557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104.75650018189393</v>
      </c>
      <c r="BQ101" s="21">
        <f>EXP(-LN(2)/25)*BQ100+(1-EXP(-LN(2)/25))/(LN(2)/25)*Calculateur!BL101*Calculateur!BN101*VLOOKUP('Données projet'!$B$11,Paramètres!$A$1:$I$89,3,0)*0.475*44/12</f>
        <v>43.818140608487809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148.57464079038175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66.040798144311537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5.4</v>
      </c>
      <c r="BY101" s="12">
        <f>IF('Données projet'!$A$114&gt;35,BY100+BX101-CG100,IF(A101&lt;'Données projet'!$A$114,$BV$205^A101,IF(A101='Données projet'!$A$114,'Données projet'!$B$114,BY100+BX101-CG100)))</f>
        <v>209.19999999999996</v>
      </c>
      <c r="BZ101" s="13">
        <f>BY101*VLOOKUP('Données projet'!$B$12,Paramètres!$A$1:$I$89,3,0)*VLOOKUP('Données projet'!$B$12,Paramètres!$A$1:$I$89,5,0)</f>
        <v>202.33823999999998</v>
      </c>
      <c r="CA101" s="13">
        <f t="shared" si="93"/>
        <v>50.257693963357752</v>
      </c>
      <c r="CB101" s="20">
        <f t="shared" si="64"/>
        <v>439.93791831951472</v>
      </c>
      <c r="CC101" s="59">
        <f t="shared" si="65"/>
        <v>718.75417818199037</v>
      </c>
      <c r="CD101" s="59">
        <f ca="1">AVERAGE(OFFSET($CC$3,0,0,'Données projet'!$E$12+1,1))-AVERAGE(OFFSET($H$3,0,0,'Données projet'!$E$12+1,1))</f>
        <v>455.95436253828132</v>
      </c>
      <c r="CE101" s="59">
        <f t="shared" si="94"/>
        <v>64.829921296688497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32.548531674445911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32.548531674445911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66.040798144311537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5.6843418860808015E-14</v>
      </c>
      <c r="CU101" s="17">
        <f>CT101*VLOOKUP('Données projet'!$B$13,Paramètres!$A$1:$I$89,3,0)*VLOOKUP('Données projet'!$B$13,Paramètres!$A$1:$I$89,5,0)</f>
        <v>4.4337866711430253E-14</v>
      </c>
      <c r="CV101" s="13">
        <f t="shared" si="95"/>
        <v>7.3222115536967035E-13</v>
      </c>
      <c r="CW101" s="20">
        <f t="shared" si="67"/>
        <v>1.3525069634579169E-12</v>
      </c>
      <c r="CX101" s="59">
        <f t="shared" si="68"/>
        <v>278.81625986247701</v>
      </c>
      <c r="CY101" s="59">
        <f ca="1">AVERAGE(OFFSET($CX$3,0,0,'Données projet'!$E$13+1,1))-AVERAGE(OFFSET($H$3,0,0,'Données projet'!$E$13+1,1))</f>
        <v>306.44760579759713</v>
      </c>
      <c r="CZ101" s="59">
        <f t="shared" si="96"/>
        <v>300.30192123221718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49.802485839563815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49.802485839563815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66.040798144311537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66.040798144311537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66.040798144311537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66.040798144311537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66.040798144311537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4.4000000000000004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16.133333333333336</v>
      </c>
      <c r="H102" s="67">
        <f t="shared" si="56"/>
        <v>192.13333333333333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66.109481445058421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1.1368683772161603E-13</v>
      </c>
      <c r="O102" s="13">
        <f>N102*VLOOKUP('Données projet'!$B$9,Paramètres!$A$1:$I$89,3,0)*VLOOKUP('Données projet'!$B$9,Paramètres!$A$1:$I$89,5,0)</f>
        <v>6.7984728957526396E-14</v>
      </c>
      <c r="P102" s="13">
        <f t="shared" si="87"/>
        <v>1.0682447123141398E-12</v>
      </c>
      <c r="Q102" s="20">
        <f t="shared" si="107"/>
        <v>1.978932943548152E-12</v>
      </c>
      <c r="R102" s="59">
        <f t="shared" si="55"/>
        <v>279.06809863188289</v>
      </c>
      <c r="S102" s="59">
        <f ca="1">AVERAGE(OFFSET($R$3,0,0,'Données projet'!$E$9+1,1))-AVERAGE(OFFSET($H$3,0,0,'Données projet'!$E$9+1,1))</f>
        <v>299.45724561493057</v>
      </c>
      <c r="T102" s="59">
        <f t="shared" si="88"/>
        <v>297.63369027443196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55.097777335934218</v>
      </c>
      <c r="AA102" s="21">
        <f>EXP(-LN(2)/25)*AA101+(1-EXP(-LN(2)/25))/(LN(2)/25)*Calculateur!V102*Calculateur!X102*VLOOKUP('Données projet'!$B$9,Paramètres!$A$1:$I$89,3,0)*0.475*44/12</f>
        <v>24.762237299607524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79.860014635541745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66.109481445058421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3.4106051316484809E-13</v>
      </c>
      <c r="AJ102" s="13">
        <f>AI102*VLOOKUP('Données projet'!$B$10,Paramètres!$A$1:$I$89,3,0)*VLOOKUP('Données projet'!$B$10,Paramètres!$A$1:$I$89,5,0)</f>
        <v>1.9065282685915009E-13</v>
      </c>
      <c r="AK102" s="13">
        <f t="shared" si="89"/>
        <v>2.6568987209435707E-12</v>
      </c>
      <c r="AL102" s="20">
        <f t="shared" si="58"/>
        <v>4.959485612423072E-12</v>
      </c>
      <c r="AM102" s="59">
        <f t="shared" si="59"/>
        <v>279.06809863188585</v>
      </c>
      <c r="AN102" s="59">
        <f ca="1">AVERAGE(OFFSET($AM$3,0,0,'Données projet'!$E$10+1,1))-AVERAGE(OFFSET($H$3,0,0,'Données projet'!$E$10+1,1))</f>
        <v>363.98181065114898</v>
      </c>
      <c r="AO102" s="59">
        <f t="shared" si="90"/>
        <v>410.85213343666396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110.68773577604018</v>
      </c>
      <c r="AV102" s="21">
        <f>EXP(-LN(2)/25)*AV101+(1-EXP(-LN(2)/25))/(LN(2)/25)*Calculateur!AQ102*Calculateur!AS102*VLOOKUP('Données projet'!$B$10,Paramètres!$A$1:$I$89,3,0)*0.475*44/12</f>
        <v>44.945782802151392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155.63351857819157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66.109481445058421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-1.1368683772161603E-13</v>
      </c>
      <c r="BE102" s="13">
        <f>BD102*VLOOKUP('Données projet'!$B$11,Paramètres!$A$1:$I$89,3,0)*VLOOKUP('Données projet'!$B$11,Paramètres!$A$1:$I$89,5,0)</f>
        <v>-9.9316821433603781E-14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433.6995276469014</v>
      </c>
      <c r="BJ102" s="59">
        <f t="shared" si="92"/>
        <v>306.37969720280557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102.70228910848297</v>
      </c>
      <c r="BQ102" s="21">
        <f>EXP(-LN(2)/25)*BQ101+(1-EXP(-LN(2)/25))/(LN(2)/25)*Calculateur!BL102*Calculateur!BN102*VLOOKUP('Données projet'!$B$11,Paramètres!$A$1:$I$89,3,0)*0.475*44/12</f>
        <v>42.619931249252843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145.32222035773583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66.109481445058421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5.4</v>
      </c>
      <c r="BY102" s="12">
        <f>IF('Données projet'!$A$114&gt;35,BY101+BX102-CG101,IF(A102&lt;'Données projet'!$A$114,$BV$205^A102,IF(A102='Données projet'!$A$114,'Données projet'!$B$114,BY101+BX102-CG101)))</f>
        <v>214.59999999999997</v>
      </c>
      <c r="BZ102" s="13">
        <f>BY102*VLOOKUP('Données projet'!$B$12,Paramètres!$A$1:$I$89,3,0)*VLOOKUP('Données projet'!$B$12,Paramètres!$A$1:$I$89,5,0)</f>
        <v>207.56111999999996</v>
      </c>
      <c r="CA102" s="13">
        <f t="shared" si="93"/>
        <v>51.40226725537714</v>
      </c>
      <c r="CB102" s="20">
        <f t="shared" si="64"/>
        <v>451.02789946978169</v>
      </c>
      <c r="CC102" s="59">
        <f t="shared" si="65"/>
        <v>730.09599810166264</v>
      </c>
      <c r="CD102" s="59">
        <f ca="1">AVERAGE(OFFSET($CC$3,0,0,'Données projet'!$E$12+1,1))-AVERAGE(OFFSET($H$3,0,0,'Données projet'!$E$12+1,1))</f>
        <v>455.95436253828132</v>
      </c>
      <c r="CE102" s="59">
        <f t="shared" si="94"/>
        <v>64.829921296688497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31.910274820954061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31.910274820954061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66.109481445058421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5.6843418860808015E-14</v>
      </c>
      <c r="CU102" s="17">
        <f>CT102*VLOOKUP('Données projet'!$B$13,Paramètres!$A$1:$I$89,3,0)*VLOOKUP('Données projet'!$B$13,Paramètres!$A$1:$I$89,5,0)</f>
        <v>4.4337866711430253E-14</v>
      </c>
      <c r="CV102" s="13">
        <f t="shared" si="95"/>
        <v>7.3222115536967035E-13</v>
      </c>
      <c r="CW102" s="20">
        <f t="shared" si="67"/>
        <v>1.3525069634579169E-12</v>
      </c>
      <c r="CX102" s="59">
        <f t="shared" si="68"/>
        <v>279.06809863188226</v>
      </c>
      <c r="CY102" s="59">
        <f ca="1">AVERAGE(OFFSET($CX$3,0,0,'Données projet'!$E$13+1,1))-AVERAGE(OFFSET($H$3,0,0,'Données projet'!$E$13+1,1))</f>
        <v>306.44760579759713</v>
      </c>
      <c r="CZ102" s="59">
        <f t="shared" si="96"/>
        <v>300.30192123221718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48.825889468766896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48.825889468766896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66.109481445058421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66.109481445058421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66.109481445058421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66.109481445058421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66.109481445058421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4.4000000000000004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16.133333333333336</v>
      </c>
      <c r="H103" s="67">
        <f t="shared" si="56"/>
        <v>192.13333333333333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66.176973244090206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1.1368683772161603E-13</v>
      </c>
      <c r="O103" s="13">
        <f>N103*VLOOKUP('Données projet'!$B$9,Paramètres!$A$1:$I$89,3,0)*VLOOKUP('Données projet'!$B$9,Paramètres!$A$1:$I$89,5,0)</f>
        <v>6.7984728957526396E-14</v>
      </c>
      <c r="P103" s="13">
        <f t="shared" si="87"/>
        <v>1.0682447123141398E-12</v>
      </c>
      <c r="Q103" s="20">
        <f t="shared" si="107"/>
        <v>1.978932943548152E-12</v>
      </c>
      <c r="R103" s="59">
        <f t="shared" si="55"/>
        <v>279.31556856166605</v>
      </c>
      <c r="S103" s="59">
        <f ca="1">AVERAGE(OFFSET($R$3,0,0,'Données projet'!$E$9+1,1))-AVERAGE(OFFSET($H$3,0,0,'Données projet'!$E$9+1,1))</f>
        <v>299.45724561493057</v>
      </c>
      <c r="T103" s="59">
        <f t="shared" si="88"/>
        <v>297.63369027443196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54.017343528702376</v>
      </c>
      <c r="AA103" s="21">
        <f>EXP(-LN(2)/25)*AA102+(1-EXP(-LN(2)/25))/(LN(2)/25)*Calculateur!V103*Calculateur!X103*VLOOKUP('Données projet'!$B$9,Paramètres!$A$1:$I$89,3,0)*0.475*44/12</f>
        <v>24.08511261846029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78.10245614716267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66.176973244090206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3.4106051316484809E-13</v>
      </c>
      <c r="AJ103" s="13">
        <f>AI103*VLOOKUP('Données projet'!$B$10,Paramètres!$A$1:$I$89,3,0)*VLOOKUP('Données projet'!$B$10,Paramètres!$A$1:$I$89,5,0)</f>
        <v>1.9065282685915009E-13</v>
      </c>
      <c r="AK103" s="13">
        <f t="shared" si="89"/>
        <v>2.6568987209435707E-12</v>
      </c>
      <c r="AL103" s="20">
        <f t="shared" si="58"/>
        <v>4.959485612423072E-12</v>
      </c>
      <c r="AM103" s="59">
        <f t="shared" si="59"/>
        <v>279.31556856166901</v>
      </c>
      <c r="AN103" s="59">
        <f ca="1">AVERAGE(OFFSET($AM$3,0,0,'Données projet'!$E$10+1,1))-AVERAGE(OFFSET($H$3,0,0,'Données projet'!$E$10+1,1))</f>
        <v>363.98181065114898</v>
      </c>
      <c r="AO103" s="59">
        <f t="shared" si="90"/>
        <v>410.85213343666396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108.51721679032453</v>
      </c>
      <c r="AV103" s="21">
        <f>EXP(-LN(2)/25)*AV102+(1-EXP(-LN(2)/25))/(LN(2)/25)*Calculateur!AQ103*Calculateur!AS103*VLOOKUP('Données projet'!$B$10,Paramètres!$A$1:$I$89,3,0)*0.475*44/12</f>
        <v>43.716738007830571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152.23395479815508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66.176973244090206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-1.1368683772161603E-13</v>
      </c>
      <c r="BE103" s="13">
        <f>BD103*VLOOKUP('Données projet'!$B$11,Paramètres!$A$1:$I$89,3,0)*VLOOKUP('Données projet'!$B$11,Paramètres!$A$1:$I$89,5,0)</f>
        <v>-9.9316821433603781E-14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433.6995276469014</v>
      </c>
      <c r="BJ103" s="59">
        <f t="shared" si="92"/>
        <v>306.37969720280557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100.68835986127657</v>
      </c>
      <c r="BQ103" s="21">
        <f>EXP(-LN(2)/25)*BQ102+(1-EXP(-LN(2)/25))/(LN(2)/25)*Calculateur!BL103*Calculateur!BN103*VLOOKUP('Données projet'!$B$11,Paramètres!$A$1:$I$89,3,0)*0.475*44/12</f>
        <v>41.454486987957246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142.14284684923382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66.176973244090206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5.4</v>
      </c>
      <c r="BY103" s="12">
        <f>IF('Données projet'!$A$114&gt;35,BY102+BX103-CG102,IF(A103&lt;'Données projet'!$A$114,$BV$205^A103,IF(A103='Données projet'!$A$114,'Données projet'!$B$114,BY102+BX103-CG102)))</f>
        <v>219.99999999999997</v>
      </c>
      <c r="BZ103" s="13">
        <f>BY103*VLOOKUP('Données projet'!$B$12,Paramètres!$A$1:$I$89,3,0)*VLOOKUP('Données projet'!$B$12,Paramètres!$A$1:$I$89,5,0)</f>
        <v>212.78399999999996</v>
      </c>
      <c r="CA103" s="13">
        <f t="shared" si="93"/>
        <v>52.543492641808065</v>
      </c>
      <c r="CB103" s="20">
        <f t="shared" si="64"/>
        <v>462.11204968448232</v>
      </c>
      <c r="CC103" s="59">
        <f t="shared" si="65"/>
        <v>741.42761824614638</v>
      </c>
      <c r="CD103" s="59">
        <f ca="1">AVERAGE(OFFSET($CC$3,0,0,'Données projet'!$E$12+1,1))-AVERAGE(OFFSET($H$3,0,0,'Données projet'!$E$12+1,1))</f>
        <v>455.95436253828132</v>
      </c>
      <c r="CE103" s="59">
        <f t="shared" si="94"/>
        <v>64.829921296688497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31.284533795060948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31.284533795060948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66.176973244090206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5.6843418860808015E-14</v>
      </c>
      <c r="CU103" s="17">
        <f>CT103*VLOOKUP('Données projet'!$B$13,Paramètres!$A$1:$I$89,3,0)*VLOOKUP('Données projet'!$B$13,Paramètres!$A$1:$I$89,5,0)</f>
        <v>4.4337866711430253E-14</v>
      </c>
      <c r="CV103" s="13">
        <f t="shared" si="95"/>
        <v>7.3222115536967035E-13</v>
      </c>
      <c r="CW103" s="20">
        <f t="shared" si="67"/>
        <v>1.3525069634579169E-12</v>
      </c>
      <c r="CX103" s="59">
        <f t="shared" si="68"/>
        <v>279.31556856166543</v>
      </c>
      <c r="CY103" s="59">
        <f ca="1">AVERAGE(OFFSET($CX$3,0,0,'Données projet'!$E$13+1,1))-AVERAGE(OFFSET($H$3,0,0,'Données projet'!$E$13+1,1))</f>
        <v>306.44760579759713</v>
      </c>
      <c r="CZ103" s="59">
        <f t="shared" si="96"/>
        <v>300.30192123221718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47.868443557136338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47.868443557136338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66.176973244090206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66.176973244090206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66.176973244090206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66.176973244090206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66.176973244090206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4.4000000000000004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16.133333333333336</v>
      </c>
      <c r="H104" s="67">
        <f t="shared" si="56"/>
        <v>192.13333333333333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66.243294211297851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1.1368683772161603E-13</v>
      </c>
      <c r="O104" s="13">
        <f>N104*VLOOKUP('Données projet'!$B$9,Paramètres!$A$1:$I$89,3,0)*VLOOKUP('Données projet'!$B$9,Paramètres!$A$1:$I$89,5,0)</f>
        <v>6.7984728957526396E-14</v>
      </c>
      <c r="P104" s="13">
        <f t="shared" si="87"/>
        <v>1.0682447123141398E-12</v>
      </c>
      <c r="Q104" s="20">
        <f t="shared" si="107"/>
        <v>1.978932943548152E-12</v>
      </c>
      <c r="R104" s="59">
        <f t="shared" si="55"/>
        <v>279.55874544142745</v>
      </c>
      <c r="S104" s="59">
        <f ca="1">AVERAGE(OFFSET($R$3,0,0,'Données projet'!$E$9+1,1))-AVERAGE(OFFSET($H$3,0,0,'Données projet'!$E$9+1,1))</f>
        <v>299.45724561493057</v>
      </c>
      <c r="T104" s="59">
        <f t="shared" si="88"/>
        <v>297.63369027443196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52.958096369430798</v>
      </c>
      <c r="AA104" s="21">
        <f>EXP(-LN(2)/25)*AA103+(1-EXP(-LN(2)/25))/(LN(2)/25)*Calculateur!V104*Calculateur!X104*VLOOKUP('Données projet'!$B$9,Paramètres!$A$1:$I$89,3,0)*0.475*44/12</f>
        <v>23.426503947327468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76.384600316758267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66.243294211297851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3.4106051316484809E-13</v>
      </c>
      <c r="AJ104" s="13">
        <f>AI104*VLOOKUP('Données projet'!$B$10,Paramètres!$A$1:$I$89,3,0)*VLOOKUP('Données projet'!$B$10,Paramètres!$A$1:$I$89,5,0)</f>
        <v>1.9065282685915009E-13</v>
      </c>
      <c r="AK104" s="13">
        <f t="shared" si="89"/>
        <v>2.6568987209435707E-12</v>
      </c>
      <c r="AL104" s="20">
        <f t="shared" si="58"/>
        <v>4.959485612423072E-12</v>
      </c>
      <c r="AM104" s="59">
        <f t="shared" si="59"/>
        <v>279.5587454414304</v>
      </c>
      <c r="AN104" s="59">
        <f ca="1">AVERAGE(OFFSET($AM$3,0,0,'Données projet'!$E$10+1,1))-AVERAGE(OFFSET($H$3,0,0,'Données projet'!$E$10+1,1))</f>
        <v>363.98181065114898</v>
      </c>
      <c r="AO104" s="59">
        <f t="shared" si="90"/>
        <v>410.85213343666396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106.38926035803289</v>
      </c>
      <c r="AV104" s="21">
        <f>EXP(-LN(2)/25)*AV103+(1-EXP(-LN(2)/25))/(LN(2)/25)*Calculateur!AQ104*Calculateur!AS104*VLOOKUP('Données projet'!$B$10,Paramètres!$A$1:$I$89,3,0)*0.475*44/12</f>
        <v>42.521301508043109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148.91056186607599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66.243294211297851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-9.9316821433603781E-14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433.6995276469014</v>
      </c>
      <c r="BJ104" s="59">
        <f t="shared" si="92"/>
        <v>306.37969720280557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98.713922538232339</v>
      </c>
      <c r="BQ104" s="21">
        <f>EXP(-LN(2)/25)*BQ103+(1-EXP(-LN(2)/25))/(LN(2)/25)*Calculateur!BL104*Calculateur!BN104*VLOOKUP('Données projet'!$B$11,Paramètres!$A$1:$I$89,3,0)*0.475*44/12</f>
        <v>40.32091186127483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139.03483439950716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66.243294211297851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5.4</v>
      </c>
      <c r="BY104" s="12">
        <f>IF('Données projet'!$A$114&gt;35,BY103+BX104-CG103,IF(A104&lt;'Données projet'!$A$114,$BV$205^A104,IF(A104='Données projet'!$A$114,'Données projet'!$B$114,BY103+BX104-CG103)))</f>
        <v>225.39999999999998</v>
      </c>
      <c r="BZ104" s="13">
        <f>BY104*VLOOKUP('Données projet'!$B$12,Paramètres!$A$1:$I$89,3,0)*VLOOKUP('Données projet'!$B$12,Paramètres!$A$1:$I$89,5,0)</f>
        <v>218.00688</v>
      </c>
      <c r="CA104" s="13">
        <f t="shared" si="93"/>
        <v>53.681461751463317</v>
      </c>
      <c r="CB104" s="20">
        <f t="shared" si="64"/>
        <v>473.19052855046533</v>
      </c>
      <c r="CC104" s="59">
        <f t="shared" si="65"/>
        <v>752.74927399189073</v>
      </c>
      <c r="CD104" s="59">
        <f ca="1">AVERAGE(OFFSET($CC$3,0,0,'Données projet'!$E$12+1,1))-AVERAGE(OFFSET($H$3,0,0,'Données projet'!$E$12+1,1))</f>
        <v>455.95436253828132</v>
      </c>
      <c r="CE104" s="59">
        <f t="shared" si="94"/>
        <v>64.829921296688497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30.671063169021259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30.671063169021259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66.243294211297851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5.6843418860808015E-14</v>
      </c>
      <c r="CU104" s="17">
        <f>CT104*VLOOKUP('Données projet'!$B$13,Paramètres!$A$1:$I$89,3,0)*VLOOKUP('Données projet'!$B$13,Paramètres!$A$1:$I$89,5,0)</f>
        <v>4.4337866711430253E-14</v>
      </c>
      <c r="CV104" s="13">
        <f t="shared" si="95"/>
        <v>7.3222115536967035E-13</v>
      </c>
      <c r="CW104" s="20">
        <f t="shared" si="67"/>
        <v>1.3525069634579169E-12</v>
      </c>
      <c r="CX104" s="59">
        <f t="shared" si="68"/>
        <v>279.55874544142682</v>
      </c>
      <c r="CY104" s="59">
        <f ca="1">AVERAGE(OFFSET($CX$3,0,0,'Données projet'!$E$13+1,1))-AVERAGE(OFFSET($H$3,0,0,'Données projet'!$E$13+1,1))</f>
        <v>306.44760579759713</v>
      </c>
      <c r="CZ104" s="59">
        <f t="shared" si="96"/>
        <v>300.30192123221718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46.92977257584851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46.92977257584851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66.243294211297851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66.243294211297851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66.243294211297851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66.243294211297851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66.243294211297851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4.4000000000000004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16.133333333333336</v>
      </c>
      <c r="H105" s="67">
        <f t="shared" si="56"/>
        <v>192.13333333333333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66.308464657995913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1.1368683772161603E-13</v>
      </c>
      <c r="O105" s="13">
        <f>N105*VLOOKUP('Données projet'!$B$9,Paramètres!$A$1:$I$89,3,0)*VLOOKUP('Données projet'!$B$9,Paramètres!$A$1:$I$89,5,0)</f>
        <v>6.7984728957526396E-14</v>
      </c>
      <c r="P105" s="13">
        <f t="shared" si="87"/>
        <v>1.0682447123141398E-12</v>
      </c>
      <c r="Q105" s="20">
        <f t="shared" si="107"/>
        <v>1.978932943548152E-12</v>
      </c>
      <c r="R105" s="59">
        <f t="shared" si="55"/>
        <v>279.79770374598701</v>
      </c>
      <c r="S105" s="59">
        <f ca="1">AVERAGE(OFFSET($R$3,0,0,'Données projet'!$E$9+1,1))-AVERAGE(OFFSET($H$3,0,0,'Données projet'!$E$9+1,1))</f>
        <v>299.45724561493057</v>
      </c>
      <c r="T105" s="59">
        <f t="shared" si="88"/>
        <v>297.63369027443196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51.919620400875559</v>
      </c>
      <c r="AA105" s="21">
        <f>EXP(-LN(2)/25)*AA104+(1-EXP(-LN(2)/25))/(LN(2)/25)*Calculateur!V105*Calculateur!X105*VLOOKUP('Données projet'!$B$9,Paramètres!$A$1:$I$89,3,0)*0.475*44/12</f>
        <v>22.785904964941498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74.705525365817053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66.308464657995913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3.4106051316484809E-13</v>
      </c>
      <c r="AJ105" s="13">
        <f>AI105*VLOOKUP('Données projet'!$B$10,Paramètres!$A$1:$I$89,3,0)*VLOOKUP('Données projet'!$B$10,Paramètres!$A$1:$I$89,5,0)</f>
        <v>1.9065282685915009E-13</v>
      </c>
      <c r="AK105" s="13">
        <f t="shared" si="89"/>
        <v>2.6568987209435707E-12</v>
      </c>
      <c r="AL105" s="20">
        <f t="shared" si="58"/>
        <v>4.959485612423072E-12</v>
      </c>
      <c r="AM105" s="59">
        <f t="shared" si="59"/>
        <v>279.79770374598996</v>
      </c>
      <c r="AN105" s="59">
        <f ca="1">AVERAGE(OFFSET($AM$3,0,0,'Données projet'!$E$10+1,1))-AVERAGE(OFFSET($H$3,0,0,'Données projet'!$E$10+1,1))</f>
        <v>363.98181065114898</v>
      </c>
      <c r="AO105" s="59">
        <f t="shared" si="90"/>
        <v>410.85213343666396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104.30303185345322</v>
      </c>
      <c r="AV105" s="21">
        <f>EXP(-LN(2)/25)*AV104+(1-EXP(-LN(2)/25))/(LN(2)/25)*Calculateur!AQ105*Calculateur!AS105*VLOOKUP('Données projet'!$B$10,Paramètres!$A$1:$I$89,3,0)*0.475*44/12</f>
        <v>41.358554282207606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145.66158613566083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66.308464657995913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-9.9316821433603781E-14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433.6995276469014</v>
      </c>
      <c r="BJ105" s="59">
        <f t="shared" si="92"/>
        <v>306.37969720280557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96.778202726805148</v>
      </c>
      <c r="BQ105" s="21">
        <f>EXP(-LN(2)/25)*BQ104+(1-EXP(-LN(2)/25))/(LN(2)/25)*Calculateur!BL105*Calculateur!BN105*VLOOKUP('Données projet'!$B$11,Paramètres!$A$1:$I$89,3,0)*0.475*44/12</f>
        <v>39.218334406043667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135.9965371328488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66.308464657995913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5.4</v>
      </c>
      <c r="BY105" s="12">
        <f>IF('Données projet'!$A$114&gt;35,BY104+BX105-CG104,IF(A105&lt;'Données projet'!$A$114,$BV$205^A105,IF(A105='Données projet'!$A$114,'Données projet'!$B$114,BY104+BX105-CG104)))</f>
        <v>230.79999999999998</v>
      </c>
      <c r="BZ105" s="13">
        <f>BY105*VLOOKUP('Données projet'!$B$12,Paramètres!$A$1:$I$89,3,0)*VLOOKUP('Données projet'!$B$12,Paramètres!$A$1:$I$89,5,0)</f>
        <v>223.22975999999997</v>
      </c>
      <c r="CA105" s="13">
        <f t="shared" si="93"/>
        <v>54.816261572392499</v>
      </c>
      <c r="CB105" s="20">
        <f t="shared" si="64"/>
        <v>484.26348757191687</v>
      </c>
      <c r="CC105" s="59">
        <f t="shared" si="65"/>
        <v>764.06119131790183</v>
      </c>
      <c r="CD105" s="59">
        <f ca="1">AVERAGE(OFFSET($CC$3,0,0,'Données projet'!$E$12+1,1))-AVERAGE(OFFSET($H$3,0,0,'Données projet'!$E$12+1,1))</f>
        <v>455.95436253828132</v>
      </c>
      <c r="CE105" s="59">
        <f t="shared" si="94"/>
        <v>64.829921296688497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30.069622327778074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30.069622327778074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66.308464657995913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5.6843418860808015E-14</v>
      </c>
      <c r="CU105" s="17">
        <f>CT105*VLOOKUP('Données projet'!$B$13,Paramètres!$A$1:$I$89,3,0)*VLOOKUP('Données projet'!$B$13,Paramètres!$A$1:$I$89,5,0)</f>
        <v>4.4337866711430253E-14</v>
      </c>
      <c r="CV105" s="13">
        <f t="shared" si="95"/>
        <v>7.3222115536967035E-13</v>
      </c>
      <c r="CW105" s="20">
        <f t="shared" si="67"/>
        <v>1.3525069634579169E-12</v>
      </c>
      <c r="CX105" s="59">
        <f t="shared" si="68"/>
        <v>279.79770374598638</v>
      </c>
      <c r="CY105" s="59">
        <f ca="1">AVERAGE(OFFSET($CX$3,0,0,'Données projet'!$E$13+1,1))-AVERAGE(OFFSET($H$3,0,0,'Données projet'!$E$13+1,1))</f>
        <v>306.44760579759713</v>
      </c>
      <c r="CZ105" s="59">
        <f t="shared" si="96"/>
        <v>300.30192123221718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46.009508359970972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46.009508359970972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66.308464657995913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66.308464657995913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66.308464657995913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66.308464657995913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66.308464657995913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4.4000000000000004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16.133333333333336</v>
      </c>
      <c r="H106" s="67">
        <f t="shared" si="56"/>
        <v>192.13333333333333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66.372504543143052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1.1368683772161603E-13</v>
      </c>
      <c r="O106" s="13">
        <f>N106*VLOOKUP('Données projet'!$B$9,Paramètres!$A$1:$I$89,3,0)*VLOOKUP('Données projet'!$B$9,Paramètres!$A$1:$I$89,5,0)</f>
        <v>6.7984728957526396E-14</v>
      </c>
      <c r="P106" s="13">
        <f t="shared" si="87"/>
        <v>1.0682447123141398E-12</v>
      </c>
      <c r="Q106" s="20">
        <f t="shared" si="107"/>
        <v>1.978932943548152E-12</v>
      </c>
      <c r="R106" s="59">
        <f t="shared" si="55"/>
        <v>280.03251665819317</v>
      </c>
      <c r="S106" s="59">
        <f ca="1">AVERAGE(OFFSET($R$3,0,0,'Données projet'!$E$9+1,1))-AVERAGE(OFFSET($H$3,0,0,'Données projet'!$E$9+1,1))</f>
        <v>299.45724561493057</v>
      </c>
      <c r="T106" s="59">
        <f t="shared" si="88"/>
        <v>297.63369027443196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50.901508312655892</v>
      </c>
      <c r="AA106" s="21">
        <f>EXP(-LN(2)/25)*AA105+(1-EXP(-LN(2)/25))/(LN(2)/25)*Calculateur!V106*Calculateur!X106*VLOOKUP('Données projet'!$B$9,Paramètres!$A$1:$I$89,3,0)*0.475*44/12</f>
        <v>22.162823195416507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73.064331508072399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66.372504543143052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3.4106051316484809E-13</v>
      </c>
      <c r="AJ106" s="13">
        <f>AI106*VLOOKUP('Données projet'!$B$10,Paramètres!$A$1:$I$89,3,0)*VLOOKUP('Données projet'!$B$10,Paramètres!$A$1:$I$89,5,0)</f>
        <v>1.9065282685915009E-13</v>
      </c>
      <c r="AK106" s="13">
        <f t="shared" si="89"/>
        <v>2.6568987209435707E-12</v>
      </c>
      <c r="AL106" s="20">
        <f t="shared" si="58"/>
        <v>4.959485612423072E-12</v>
      </c>
      <c r="AM106" s="59">
        <f t="shared" si="59"/>
        <v>280.03251665819613</v>
      </c>
      <c r="AN106" s="59">
        <f ca="1">AVERAGE(OFFSET($AM$3,0,0,'Données projet'!$E$10+1,1))-AVERAGE(OFFSET($H$3,0,0,'Données projet'!$E$10+1,1))</f>
        <v>363.98181065114898</v>
      </c>
      <c r="AO106" s="59">
        <f t="shared" si="90"/>
        <v>410.85213343666396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102.25771301737463</v>
      </c>
      <c r="AV106" s="21">
        <f>EXP(-LN(2)/25)*AV105+(1-EXP(-LN(2)/25))/(LN(2)/25)*Calculateur!AQ106*Calculateur!AS106*VLOOKUP('Données projet'!$B$10,Paramètres!$A$1:$I$89,3,0)*0.475*44/12</f>
        <v>40.227602440408795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142.48531545778343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66.372504543143052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-9.9316821433603781E-14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433.6995276469014</v>
      </c>
      <c r="BJ106" s="59">
        <f t="shared" si="92"/>
        <v>306.37969720280557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94.880441200207542</v>
      </c>
      <c r="BQ106" s="21">
        <f>EXP(-LN(2)/25)*BQ105+(1-EXP(-LN(2)/25))/(LN(2)/25)*Calculateur!BL106*Calculateur!BN106*VLOOKUP('Données projet'!$B$11,Paramètres!$A$1:$I$89,3,0)*0.475*44/12</f>
        <v>38.145906989307832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133.02634818951537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66.372504543143052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5.4</v>
      </c>
      <c r="BY106" s="12">
        <f>IF('Données projet'!$A$114&gt;35,BY105+BX106-CG105,IF(A106&lt;'Données projet'!$A$114,$BV$205^A106,IF(A106='Données projet'!$A$114,'Données projet'!$B$114,BY105+BX106-CG105)))</f>
        <v>236.2</v>
      </c>
      <c r="BZ106" s="13">
        <f>BY106*VLOOKUP('Données projet'!$B$12,Paramètres!$A$1:$I$89,3,0)*VLOOKUP('Données projet'!$B$12,Paramètres!$A$1:$I$89,5,0)</f>
        <v>228.45264</v>
      </c>
      <c r="CA106" s="13">
        <f t="shared" si="93"/>
        <v>55.947974789923023</v>
      </c>
      <c r="CB106" s="20">
        <f t="shared" si="64"/>
        <v>495.33107075911585</v>
      </c>
      <c r="CC106" s="59">
        <f t="shared" si="65"/>
        <v>775.36358741730703</v>
      </c>
      <c r="CD106" s="59">
        <f ca="1">AVERAGE(OFFSET($CC$3,0,0,'Données projet'!$E$12+1,1))-AVERAGE(OFFSET($H$3,0,0,'Données projet'!$E$12+1,1))</f>
        <v>455.95436253828132</v>
      </c>
      <c r="CE106" s="59">
        <f t="shared" si="94"/>
        <v>64.829921296688497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29.479975374588975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29.479975374588975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66.372504543143052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5.6843418860808015E-14</v>
      </c>
      <c r="CU106" s="17">
        <f>CT106*VLOOKUP('Données projet'!$B$13,Paramètres!$A$1:$I$89,3,0)*VLOOKUP('Données projet'!$B$13,Paramètres!$A$1:$I$89,5,0)</f>
        <v>4.4337866711430253E-14</v>
      </c>
      <c r="CV106" s="13">
        <f t="shared" si="95"/>
        <v>7.3222115536967035E-13</v>
      </c>
      <c r="CW106" s="20">
        <f t="shared" si="67"/>
        <v>1.3525069634579169E-12</v>
      </c>
      <c r="CX106" s="59">
        <f t="shared" si="68"/>
        <v>280.03251665819255</v>
      </c>
      <c r="CY106" s="59">
        <f ca="1">AVERAGE(OFFSET($CX$3,0,0,'Données projet'!$E$13+1,1))-AVERAGE(OFFSET($H$3,0,0,'Données projet'!$E$13+1,1))</f>
        <v>306.44760579759713</v>
      </c>
      <c r="CZ106" s="59">
        <f t="shared" si="96"/>
        <v>300.30192123221718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45.107289964061046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45.107289964061046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66.372504543143052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66.372504543143052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66.372504543143052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66.372504543143052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66.372504543143052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4.4000000000000004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16.133333333333336</v>
      </c>
      <c r="H107" s="67">
        <f t="shared" si="56"/>
        <v>192.13333333333333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66.43543347945463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1.1368683772161603E-13</v>
      </c>
      <c r="O107" s="13">
        <f>N107*VLOOKUP('Données projet'!$B$9,Paramètres!$A$1:$I$89,3,0)*VLOOKUP('Données projet'!$B$9,Paramètres!$A$1:$I$89,5,0)</f>
        <v>6.7984728957526396E-14</v>
      </c>
      <c r="P107" s="13">
        <f t="shared" si="87"/>
        <v>1.0682447123141398E-12</v>
      </c>
      <c r="Q107" s="20">
        <f t="shared" si="107"/>
        <v>1.978932943548152E-12</v>
      </c>
      <c r="R107" s="59">
        <f t="shared" si="55"/>
        <v>280.26325609133562</v>
      </c>
      <c r="S107" s="59">
        <f ca="1">AVERAGE(OFFSET($R$3,0,0,'Données projet'!$E$9+1,1))-AVERAGE(OFFSET($H$3,0,0,'Données projet'!$E$9+1,1))</f>
        <v>299.45724561493057</v>
      </c>
      <c r="T107" s="59">
        <f t="shared" si="88"/>
        <v>297.63369027443196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49.90336078149916</v>
      </c>
      <c r="AA107" s="21">
        <f>EXP(-LN(2)/25)*AA106+(1-EXP(-LN(2)/25))/(LN(2)/25)*Calculateur!V107*Calculateur!X107*VLOOKUP('Données projet'!$B$9,Paramètres!$A$1:$I$89,3,0)*0.475*44/12</f>
        <v>21.556779629645625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71.460140411144778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66.43543347945463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3.4106051316484809E-13</v>
      </c>
      <c r="AJ107" s="13">
        <f>AI107*VLOOKUP('Données projet'!$B$10,Paramètres!$A$1:$I$89,3,0)*VLOOKUP('Données projet'!$B$10,Paramètres!$A$1:$I$89,5,0)</f>
        <v>1.9065282685915009E-13</v>
      </c>
      <c r="AK107" s="13">
        <f t="shared" si="89"/>
        <v>2.6568987209435707E-12</v>
      </c>
      <c r="AL107" s="20">
        <f t="shared" si="58"/>
        <v>4.959485612423072E-12</v>
      </c>
      <c r="AM107" s="59">
        <f t="shared" si="59"/>
        <v>280.26325609133858</v>
      </c>
      <c r="AN107" s="59">
        <f ca="1">AVERAGE(OFFSET($AM$3,0,0,'Données projet'!$E$10+1,1))-AVERAGE(OFFSET($H$3,0,0,'Données projet'!$E$10+1,1))</f>
        <v>363.98181065114898</v>
      </c>
      <c r="AO107" s="59">
        <f t="shared" si="90"/>
        <v>410.85213343666396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100.25250163615023</v>
      </c>
      <c r="AV107" s="21">
        <f>EXP(-LN(2)/25)*AV106+(1-EXP(-LN(2)/25))/(LN(2)/25)*Calculateur!AQ107*Calculateur!AS107*VLOOKUP('Données projet'!$B$10,Paramètres!$A$1:$I$89,3,0)*0.475*44/12</f>
        <v>39.127576536198148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139.38007817234836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66.43543347945463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-9.9316821433603781E-14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433.6995276469014</v>
      </c>
      <c r="BJ107" s="59">
        <f t="shared" si="92"/>
        <v>306.37969720280557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93.019893619626288</v>
      </c>
      <c r="BQ107" s="21">
        <f>EXP(-LN(2)/25)*BQ106+(1-EXP(-LN(2)/25))/(LN(2)/25)*Calculateur!BL107*Calculateur!BN107*VLOOKUP('Données projet'!$B$11,Paramètres!$A$1:$I$89,3,0)*0.475*44/12</f>
        <v>37.102805156679146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130.12269877630544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66.43543347945463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5.4</v>
      </c>
      <c r="BY107" s="12">
        <f>IF('Données projet'!$A$114&gt;35,BY106+BX107-CG106,IF(A107&lt;'Données projet'!$A$114,$BV$205^A107,IF(A107='Données projet'!$A$114,'Données projet'!$B$114,BY106+BX107-CG106)))</f>
        <v>241.6</v>
      </c>
      <c r="BZ107" s="13">
        <f>BY107*VLOOKUP('Données projet'!$B$12,Paramètres!$A$1:$I$89,3,0)*VLOOKUP('Données projet'!$B$12,Paramètres!$A$1:$I$89,5,0)</f>
        <v>233.67552000000001</v>
      </c>
      <c r="CA107" s="13">
        <f t="shared" si="93"/>
        <v>57.07668009291573</v>
      </c>
      <c r="CB107" s="20">
        <f t="shared" si="64"/>
        <v>506.39341516182827</v>
      </c>
      <c r="CC107" s="59">
        <f t="shared" si="65"/>
        <v>786.6566712531619</v>
      </c>
      <c r="CD107" s="59">
        <f ca="1">AVERAGE(OFFSET($CC$3,0,0,'Données projet'!$E$12+1,1))-AVERAGE(OFFSET($H$3,0,0,'Données projet'!$E$12+1,1))</f>
        <v>455.95436253828132</v>
      </c>
      <c r="CE107" s="59">
        <f t="shared" si="94"/>
        <v>64.829921296688497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28.901891038502786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28.901891038502786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66.43543347945463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5.6843418860808015E-14</v>
      </c>
      <c r="CU107" s="17">
        <f>CT107*VLOOKUP('Données projet'!$B$13,Paramètres!$A$1:$I$89,3,0)*VLOOKUP('Données projet'!$B$13,Paramètres!$A$1:$I$89,5,0)</f>
        <v>4.4337866711430253E-14</v>
      </c>
      <c r="CV107" s="13">
        <f t="shared" si="95"/>
        <v>7.3222115536967035E-13</v>
      </c>
      <c r="CW107" s="20">
        <f t="shared" si="67"/>
        <v>1.3525069634579169E-12</v>
      </c>
      <c r="CX107" s="59">
        <f t="shared" si="68"/>
        <v>280.26325609133499</v>
      </c>
      <c r="CY107" s="59">
        <f ca="1">AVERAGE(OFFSET($CX$3,0,0,'Données projet'!$E$13+1,1))-AVERAGE(OFFSET($H$3,0,0,'Données projet'!$E$13+1,1))</f>
        <v>306.44760579759713</v>
      </c>
      <c r="CZ107" s="59">
        <f t="shared" si="96"/>
        <v>300.30192123221718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44.222763520596033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44.222763520596033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66.43543347945463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66.43543347945463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66.43543347945463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66.43543347945463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66.43543347945463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4.4000000000000004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16.133333333333336</v>
      </c>
      <c r="H108" s="67">
        <f t="shared" si="56"/>
        <v>192.13333333333333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66.497270739409217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1.1368683772161603E-13</v>
      </c>
      <c r="O108" s="13">
        <f>N108*VLOOKUP('Données projet'!$B$9,Paramètres!$A$1:$I$89,3,0)*VLOOKUP('Données projet'!$B$9,Paramètres!$A$1:$I$89,5,0)</f>
        <v>6.7984728957526396E-14</v>
      </c>
      <c r="P108" s="13">
        <f t="shared" si="87"/>
        <v>1.0682447123141398E-12</v>
      </c>
      <c r="Q108" s="20">
        <f t="shared" si="107"/>
        <v>1.978932943548152E-12</v>
      </c>
      <c r="R108" s="59">
        <f t="shared" si="55"/>
        <v>280.48999271116912</v>
      </c>
      <c r="S108" s="59">
        <f ca="1">AVERAGE(OFFSET($R$3,0,0,'Données projet'!$E$9+1,1))-AVERAGE(OFFSET($H$3,0,0,'Données projet'!$E$9+1,1))</f>
        <v>299.45724561493057</v>
      </c>
      <c r="T108" s="59">
        <f t="shared" si="88"/>
        <v>297.63369027443196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48.92478631461853</v>
      </c>
      <c r="AA108" s="21">
        <f>EXP(-LN(2)/25)*AA107+(1-EXP(-LN(2)/25))/(LN(2)/25)*Calculateur!V108*Calculateur!X108*VLOOKUP('Données projet'!$B$9,Paramètres!$A$1:$I$89,3,0)*0.475*44/12</f>
        <v>20.967308357051195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69.892094671669724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66.497270739409217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3.4106051316484809E-13</v>
      </c>
      <c r="AJ108" s="13">
        <f>AI108*VLOOKUP('Données projet'!$B$10,Paramètres!$A$1:$I$89,3,0)*VLOOKUP('Données projet'!$B$10,Paramètres!$A$1:$I$89,5,0)</f>
        <v>1.9065282685915009E-13</v>
      </c>
      <c r="AK108" s="13">
        <f t="shared" si="89"/>
        <v>2.6568987209435707E-12</v>
      </c>
      <c r="AL108" s="20">
        <f t="shared" si="58"/>
        <v>4.959485612423072E-12</v>
      </c>
      <c r="AM108" s="59">
        <f t="shared" si="59"/>
        <v>280.48999271117208</v>
      </c>
      <c r="AN108" s="59">
        <f ca="1">AVERAGE(OFFSET($AM$3,0,0,'Données projet'!$E$10+1,1))-AVERAGE(OFFSET($H$3,0,0,'Données projet'!$E$10+1,1))</f>
        <v>363.98181065114898</v>
      </c>
      <c r="AO108" s="59">
        <f t="shared" si="90"/>
        <v>410.85213343666396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98.286611227053456</v>
      </c>
      <c r="AV108" s="21">
        <f>EXP(-LN(2)/25)*AV107+(1-EXP(-LN(2)/25))/(LN(2)/25)*Calculateur!AQ108*Calculateur!AS108*VLOOKUP('Données projet'!$B$10,Paramètres!$A$1:$I$89,3,0)*0.475*44/12</f>
        <v>38.057630898185984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136.34424212523945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66.497270739409217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-9.9316821433603781E-14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433.6995276469014</v>
      </c>
      <c r="BJ108" s="59">
        <f t="shared" si="92"/>
        <v>306.37969720280557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91.195830242278262</v>
      </c>
      <c r="BQ108" s="21">
        <f>EXP(-LN(2)/25)*BQ107+(1-EXP(-LN(2)/25))/(LN(2)/25)*Calculateur!BL108*Calculateur!BN108*VLOOKUP('Données projet'!$B$11,Paramètres!$A$1:$I$89,3,0)*0.475*44/12</f>
        <v>36.088226998518032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127.2840572407963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66.497270739409217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>
        <f>VLOOKUP(A108,'Données projet'!$A$113:$I$133,2,0)</f>
        <v>247</v>
      </c>
      <c r="BW108" s="12">
        <f>VLOOKUP(A108,'Données projet'!$A$113:$I$133,9,0)</f>
        <v>5.4</v>
      </c>
      <c r="BX108" s="12">
        <f t="array" ref="BX108">INDEX(BW:BW,MIN(IF(ISNUMBER(BW108:BW304),ROW(BW108:BW304),"")))</f>
        <v>5.4</v>
      </c>
      <c r="BY108" s="12">
        <f>IF('Données projet'!$A$114&gt;35,BY107+BX108-CG107,IF(A108&lt;'Données projet'!$A$114,$BV$205^A108,IF(A108='Données projet'!$A$114,'Données projet'!$B$114,BY107+BX108-CG107)))</f>
        <v>247</v>
      </c>
      <c r="BZ108" s="13">
        <f>BY108*VLOOKUP('Données projet'!$B$12,Paramètres!$A$1:$I$89,3,0)*VLOOKUP('Données projet'!$B$12,Paramètres!$A$1:$I$89,5,0)</f>
        <v>238.89839999999998</v>
      </c>
      <c r="CA108" s="13">
        <f t="shared" si="93"/>
        <v>58.202452451868851</v>
      </c>
      <c r="CB108" s="20">
        <f t="shared" si="64"/>
        <v>517.45065135367156</v>
      </c>
      <c r="CC108" s="59">
        <f t="shared" si="65"/>
        <v>797.94064406483869</v>
      </c>
      <c r="CD108" s="59">
        <f ca="1">AVERAGE(OFFSET($CC$3,0,0,'Données projet'!$E$12+1,1))-AVERAGE(OFFSET($H$3,0,0,'Données projet'!$E$12+1,1))</f>
        <v>455.95436253828132</v>
      </c>
      <c r="CE108" s="59">
        <f t="shared" si="94"/>
        <v>64.829921296688497</v>
      </c>
      <c r="CF108" s="15">
        <f>IF(ISNA(VLOOKUP(A108,'Données projet'!$A$113:$I$133,3,0)),0,VLOOKUP(A108,'Données projet'!$A$113:$I$133,3,0))</f>
        <v>9</v>
      </c>
      <c r="CG108" s="15">
        <f>IF(ISNA(VLOOKUP(A108,'Données projet'!$A$113:$I$133,4,0)),0,VLOOKUP(A108,'Données projet'!$A$113:$I$133,4,0))</f>
        <v>32</v>
      </c>
      <c r="CH108" s="16">
        <f>IF(ISNA(VLOOKUP(A108,'Données projet'!$A$113:$I$133,5,0)),0%,VLOOKUP(A108,'Données projet'!$A$113:$I$133,5,0)*VLOOKUP('Données projet'!$B$12,Paramètres!$A$1:$I$89,7,0))</f>
        <v>0.25800000000000001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37.162548195802344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37.162548195802344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66.497270739409217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5.6843418860808015E-14</v>
      </c>
      <c r="CU108" s="17">
        <f>CT108*VLOOKUP('Données projet'!$B$13,Paramètres!$A$1:$I$89,3,0)*VLOOKUP('Données projet'!$B$13,Paramètres!$A$1:$I$89,5,0)</f>
        <v>4.4337866711430253E-14</v>
      </c>
      <c r="CV108" s="13">
        <f t="shared" si="95"/>
        <v>7.3222115536967035E-13</v>
      </c>
      <c r="CW108" s="20">
        <f t="shared" si="67"/>
        <v>1.3525069634579169E-12</v>
      </c>
      <c r="CX108" s="59">
        <f t="shared" si="68"/>
        <v>280.4899927111685</v>
      </c>
      <c r="CY108" s="59">
        <f ca="1">AVERAGE(OFFSET($CX$3,0,0,'Données projet'!$E$13+1,1))-AVERAGE(OFFSET($H$3,0,0,'Données projet'!$E$13+1,1))</f>
        <v>306.44760579759713</v>
      </c>
      <c r="CZ108" s="59">
        <f t="shared" si="96"/>
        <v>300.30192123221718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43.355582101179508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43.355582101179508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66.497270739409217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66.497270739409217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66.497270739409217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66.497270739409217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66.497270739409217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4.4000000000000004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16.133333333333336</v>
      </c>
      <c r="H109" s="67">
        <f t="shared" si="56"/>
        <v>192.13333333333333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66.558035261150991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1.1368683772161603E-13</v>
      </c>
      <c r="O109" s="13">
        <f>N109*VLOOKUP('Données projet'!$B$9,Paramètres!$A$1:$I$89,3,0)*VLOOKUP('Données projet'!$B$9,Paramètres!$A$1:$I$89,5,0)</f>
        <v>6.7984728957526396E-14</v>
      </c>
      <c r="P109" s="13">
        <f t="shared" si="87"/>
        <v>1.0682447123141398E-12</v>
      </c>
      <c r="Q109" s="20">
        <f t="shared" si="107"/>
        <v>1.978932943548152E-12</v>
      </c>
      <c r="R109" s="59">
        <f t="shared" si="55"/>
        <v>280.71279595755561</v>
      </c>
      <c r="S109" s="59">
        <f ca="1">AVERAGE(OFFSET($R$3,0,0,'Données projet'!$E$9+1,1))-AVERAGE(OFFSET($H$3,0,0,'Données projet'!$E$9+1,1))</f>
        <v>299.45724561493057</v>
      </c>
      <c r="T109" s="59">
        <f t="shared" si="88"/>
        <v>297.63369027443196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47.965401096161941</v>
      </c>
      <c r="AA109" s="21">
        <f>EXP(-LN(2)/25)*AA108+(1-EXP(-LN(2)/25))/(LN(2)/25)*Calculateur!V109*Calculateur!X109*VLOOKUP('Données projet'!$B$9,Paramètres!$A$1:$I$89,3,0)*0.475*44/12</f>
        <v>20.393956207404806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68.359357303566753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66.558035261150991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3.4106051316484809E-13</v>
      </c>
      <c r="AJ109" s="13">
        <f>AI109*VLOOKUP('Données projet'!$B$10,Paramètres!$A$1:$I$89,3,0)*VLOOKUP('Données projet'!$B$10,Paramètres!$A$1:$I$89,5,0)</f>
        <v>1.9065282685915009E-13</v>
      </c>
      <c r="AK109" s="13">
        <f t="shared" si="89"/>
        <v>2.6568987209435707E-12</v>
      </c>
      <c r="AL109" s="20">
        <f t="shared" si="58"/>
        <v>4.959485612423072E-12</v>
      </c>
      <c r="AM109" s="59">
        <f t="shared" si="59"/>
        <v>280.71279595755857</v>
      </c>
      <c r="AN109" s="59">
        <f ca="1">AVERAGE(OFFSET($AM$3,0,0,'Données projet'!$E$10+1,1))-AVERAGE(OFFSET($H$3,0,0,'Données projet'!$E$10+1,1))</f>
        <v>363.98181065114898</v>
      </c>
      <c r="AO109" s="59">
        <f t="shared" si="90"/>
        <v>410.85213343666396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96.359270729804322</v>
      </c>
      <c r="AV109" s="21">
        <f>EXP(-LN(2)/25)*AV108+(1-EXP(-LN(2)/25))/(LN(2)/25)*Calculateur!AQ109*Calculateur!AS109*VLOOKUP('Données projet'!$B$10,Paramètres!$A$1:$I$89,3,0)*0.475*44/12</f>
        <v>37.016942979911263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133.37621370971559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66.558035261150991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-9.9316821433603781E-14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433.6995276469014</v>
      </c>
      <c r="BJ109" s="59">
        <f t="shared" si="92"/>
        <v>306.37969720280557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89.407535635191223</v>
      </c>
      <c r="BQ109" s="21">
        <f>EXP(-LN(2)/25)*BQ108+(1-EXP(-LN(2)/25))/(LN(2)/25)*Calculateur!BL109*Calculateur!BN109*VLOOKUP('Données projet'!$B$11,Paramètres!$A$1:$I$89,3,0)*0.475*44/12</f>
        <v>35.10139253344618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124.5089281686374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66.558035261150991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5.4</v>
      </c>
      <c r="BY109" s="12">
        <f>IF('Données projet'!$A$114&gt;35,BY108+BX109-CG108,IF(A109&lt;'Données projet'!$A$114,$BV$205^A109,IF(A109='Données projet'!$A$114,'Données projet'!$B$114,BY108+BX109-CG108)))</f>
        <v>220.4</v>
      </c>
      <c r="BZ109" s="13">
        <f>BY109*VLOOKUP('Données projet'!$B$12,Paramètres!$A$1:$I$89,3,0)*VLOOKUP('Données projet'!$B$12,Paramètres!$A$1:$I$89,5,0)</f>
        <v>213.17088000000001</v>
      </c>
      <c r="CA109" s="13">
        <f t="shared" si="93"/>
        <v>52.627897224631596</v>
      </c>
      <c r="CB109" s="20">
        <f t="shared" si="64"/>
        <v>462.93287033290011</v>
      </c>
      <c r="CC109" s="59">
        <f t="shared" si="65"/>
        <v>743.64566629045373</v>
      </c>
      <c r="CD109" s="59">
        <f ca="1">AVERAGE(OFFSET($CC$3,0,0,'Données projet'!$E$12+1,1))-AVERAGE(OFFSET($H$3,0,0,'Données projet'!$E$12+1,1))</f>
        <v>455.95436253828132</v>
      </c>
      <c r="CE109" s="59">
        <f t="shared" si="94"/>
        <v>64.829921296688497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36.433813292598884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36.433813292598884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66.558035261150991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5.6843418860808015E-14</v>
      </c>
      <c r="CU109" s="17">
        <f>CT109*VLOOKUP('Données projet'!$B$13,Paramètres!$A$1:$I$89,3,0)*VLOOKUP('Données projet'!$B$13,Paramètres!$A$1:$I$89,5,0)</f>
        <v>4.4337866711430253E-14</v>
      </c>
      <c r="CV109" s="13">
        <f t="shared" si="95"/>
        <v>7.3222115536967035E-13</v>
      </c>
      <c r="CW109" s="20">
        <f t="shared" si="67"/>
        <v>1.3525069634579169E-12</v>
      </c>
      <c r="CX109" s="59">
        <f t="shared" si="68"/>
        <v>280.71279595755499</v>
      </c>
      <c r="CY109" s="59">
        <f ca="1">AVERAGE(OFFSET($CX$3,0,0,'Données projet'!$E$13+1,1))-AVERAGE(OFFSET($H$3,0,0,'Données projet'!$E$13+1,1))</f>
        <v>306.44760579759713</v>
      </c>
      <c r="CZ109" s="59">
        <f t="shared" si="96"/>
        <v>300.30192123221718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42.505405580469301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42.505405580469301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66.558035261150991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66.558035261150991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66.558035261150991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66.558035261150991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66.558035261150991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4.4000000000000004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16.133333333333336</v>
      </c>
      <c r="H110" s="67">
        <f t="shared" si="56"/>
        <v>192.13333333333333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66.617745654289678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1.1368683772161603E-13</v>
      </c>
      <c r="O110" s="13">
        <f>N110*VLOOKUP('Données projet'!$B$9,Paramètres!$A$1:$I$89,3,0)*VLOOKUP('Données projet'!$B$9,Paramètres!$A$1:$I$89,5,0)</f>
        <v>6.7984728957526396E-14</v>
      </c>
      <c r="P110" s="13">
        <f t="shared" si="87"/>
        <v>1.0682447123141398E-12</v>
      </c>
      <c r="Q110" s="20">
        <f t="shared" si="107"/>
        <v>1.978932943548152E-12</v>
      </c>
      <c r="R110" s="59">
        <f t="shared" si="55"/>
        <v>280.93173406573078</v>
      </c>
      <c r="S110" s="59">
        <f ca="1">AVERAGE(OFFSET($R$3,0,0,'Données projet'!$E$9+1,1))-AVERAGE(OFFSET($H$3,0,0,'Données projet'!$E$9+1,1))</f>
        <v>299.45724561493057</v>
      </c>
      <c r="T110" s="59">
        <f t="shared" si="88"/>
        <v>297.63369027443196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47.024828836672086</v>
      </c>
      <c r="AA110" s="21">
        <f>EXP(-LN(2)/25)*AA109+(1-EXP(-LN(2)/25))/(LN(2)/25)*Calculateur!V110*Calculateur!X110*VLOOKUP('Données projet'!$B$9,Paramètres!$A$1:$I$89,3,0)*0.475*44/12</f>
        <v>19.836282402441775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66.861111239113853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66.617745654289678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3.4106051316484809E-13</v>
      </c>
      <c r="AJ110" s="13">
        <f>AI110*VLOOKUP('Données projet'!$B$10,Paramètres!$A$1:$I$89,3,0)*VLOOKUP('Données projet'!$B$10,Paramètres!$A$1:$I$89,5,0)</f>
        <v>1.9065282685915009E-13</v>
      </c>
      <c r="AK110" s="13">
        <f t="shared" si="89"/>
        <v>2.6568987209435707E-12</v>
      </c>
      <c r="AL110" s="20">
        <f t="shared" si="58"/>
        <v>4.959485612423072E-12</v>
      </c>
      <c r="AM110" s="59">
        <f t="shared" si="59"/>
        <v>280.93173406573374</v>
      </c>
      <c r="AN110" s="59">
        <f ca="1">AVERAGE(OFFSET($AM$3,0,0,'Données projet'!$E$10+1,1))-AVERAGE(OFFSET($H$3,0,0,'Données projet'!$E$10+1,1))</f>
        <v>363.98181065114898</v>
      </c>
      <c r="AO110" s="59">
        <f t="shared" si="90"/>
        <v>410.85213343666396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94.469724204144612</v>
      </c>
      <c r="AV110" s="21">
        <f>EXP(-LN(2)/25)*AV109+(1-EXP(-LN(2)/25))/(LN(2)/25)*Calculateur!AQ110*Calculateur!AS110*VLOOKUP('Données projet'!$B$10,Paramètres!$A$1:$I$89,3,0)*0.475*44/12</f>
        <v>36.004712727489164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130.47443693163376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66.617745654289678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-9.9316821433603781E-14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433.6995276469014</v>
      </c>
      <c r="BJ110" s="59">
        <f t="shared" si="92"/>
        <v>306.37969720280557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87.654308394597152</v>
      </c>
      <c r="BQ110" s="21">
        <f>EXP(-LN(2)/25)*BQ109+(1-EXP(-LN(2)/25))/(LN(2)/25)*Calculateur!BL110*Calculateur!BN110*VLOOKUP('Données projet'!$B$11,Paramètres!$A$1:$I$89,3,0)*0.475*44/12</f>
        <v>34.141543108717087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121.79585150331424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66.617745654289678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5.4</v>
      </c>
      <c r="BY110" s="12">
        <f>IF('Données projet'!$A$114&gt;35,BY109+BX110-CG109,IF(A110&lt;'Données projet'!$A$114,$BV$205^A110,IF(A110='Données projet'!$A$114,'Données projet'!$B$114,BY109+BX110-CG109)))</f>
        <v>225.8</v>
      </c>
      <c r="BZ110" s="13">
        <f>BY110*VLOOKUP('Données projet'!$B$12,Paramètres!$A$1:$I$89,3,0)*VLOOKUP('Données projet'!$B$12,Paramètres!$A$1:$I$89,5,0)</f>
        <v>218.39376000000001</v>
      </c>
      <c r="CA110" s="13">
        <f t="shared" si="93"/>
        <v>53.765628643773958</v>
      </c>
      <c r="CB110" s="20">
        <f t="shared" si="64"/>
        <v>474.01093522123961</v>
      </c>
      <c r="CC110" s="59">
        <f t="shared" si="65"/>
        <v>754.94266928696834</v>
      </c>
      <c r="CD110" s="59">
        <f ca="1">AVERAGE(OFFSET($CC$3,0,0,'Données projet'!$E$12+1,1))-AVERAGE(OFFSET($H$3,0,0,'Données projet'!$E$12+1,1))</f>
        <v>455.95436253828132</v>
      </c>
      <c r="CE110" s="59">
        <f t="shared" si="94"/>
        <v>64.829921296688497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35.719368436362849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35.719368436362849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66.617745654289678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5.6843418860808015E-14</v>
      </c>
      <c r="CU110" s="17">
        <f>CT110*VLOOKUP('Données projet'!$B$13,Paramètres!$A$1:$I$89,3,0)*VLOOKUP('Données projet'!$B$13,Paramètres!$A$1:$I$89,5,0)</f>
        <v>4.4337866711430253E-14</v>
      </c>
      <c r="CV110" s="13">
        <f t="shared" si="95"/>
        <v>7.3222115536967035E-13</v>
      </c>
      <c r="CW110" s="20">
        <f t="shared" si="67"/>
        <v>1.3525069634579169E-12</v>
      </c>
      <c r="CX110" s="59">
        <f t="shared" si="68"/>
        <v>280.93173406573015</v>
      </c>
      <c r="CY110" s="59">
        <f ca="1">AVERAGE(OFFSET($CX$3,0,0,'Données projet'!$E$13+1,1))-AVERAGE(OFFSET($H$3,0,0,'Données projet'!$E$13+1,1))</f>
        <v>306.44760579759713</v>
      </c>
      <c r="CZ110" s="59">
        <f t="shared" si="96"/>
        <v>300.30192123221718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41.671900502773745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41.671900502773745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66.617745654289678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66.617745654289678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66.617745654289678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66.617745654289678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66.617745654289678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4.4000000000000004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16.133333333333336</v>
      </c>
      <c r="H111" s="67">
        <f t="shared" si="56"/>
        <v>192.13333333333333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66.676420205599854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1.1368683772161603E-13</v>
      </c>
      <c r="O111" s="13">
        <f>N111*VLOOKUP('Données projet'!$B$9,Paramètres!$A$1:$I$89,3,0)*VLOOKUP('Données projet'!$B$9,Paramètres!$A$1:$I$89,5,0)</f>
        <v>6.7984728957526396E-14</v>
      </c>
      <c r="P111" s="13">
        <f t="shared" si="87"/>
        <v>1.0682447123141398E-12</v>
      </c>
      <c r="Q111" s="20">
        <f t="shared" si="107"/>
        <v>1.978932943548152E-12</v>
      </c>
      <c r="R111" s="59">
        <f t="shared" si="55"/>
        <v>281.14687408720147</v>
      </c>
      <c r="S111" s="59">
        <f ca="1">AVERAGE(OFFSET($R$3,0,0,'Données projet'!$E$9+1,1))-AVERAGE(OFFSET($H$3,0,0,'Données projet'!$E$9+1,1))</f>
        <v>299.45724561493057</v>
      </c>
      <c r="T111" s="59">
        <f t="shared" si="88"/>
        <v>297.63369027443196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46.102700625498393</v>
      </c>
      <c r="AA111" s="21">
        <f>EXP(-LN(2)/25)*AA110+(1-EXP(-LN(2)/25))/(LN(2)/25)*Calculateur!V111*Calculateur!X111*VLOOKUP('Données projet'!$B$9,Paramètres!$A$1:$I$89,3,0)*0.475*44/12</f>
        <v>19.293858217002249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65.396558842500639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66.676420205599854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3.4106051316484809E-13</v>
      </c>
      <c r="AJ111" s="13">
        <f>AI111*VLOOKUP('Données projet'!$B$10,Paramètres!$A$1:$I$89,3,0)*VLOOKUP('Données projet'!$B$10,Paramètres!$A$1:$I$89,5,0)</f>
        <v>1.9065282685915009E-13</v>
      </c>
      <c r="AK111" s="13">
        <f t="shared" si="89"/>
        <v>2.6568987209435707E-12</v>
      </c>
      <c r="AL111" s="20">
        <f t="shared" si="58"/>
        <v>4.959485612423072E-12</v>
      </c>
      <c r="AM111" s="59">
        <f t="shared" si="59"/>
        <v>281.14687408720442</v>
      </c>
      <c r="AN111" s="59">
        <f ca="1">AVERAGE(OFFSET($AM$3,0,0,'Données projet'!$E$10+1,1))-AVERAGE(OFFSET($H$3,0,0,'Données projet'!$E$10+1,1))</f>
        <v>363.98181065114898</v>
      </c>
      <c r="AO111" s="59">
        <f t="shared" si="90"/>
        <v>410.85213343666396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92.617230533343516</v>
      </c>
      <c r="AV111" s="21">
        <f>EXP(-LN(2)/25)*AV110+(1-EXP(-LN(2)/25))/(LN(2)/25)*Calculateur!AQ111*Calculateur!AS111*VLOOKUP('Données projet'!$B$10,Paramètres!$A$1:$I$89,3,0)*0.475*44/12</f>
        <v>35.020161964550418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127.63739249789393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66.676420205599854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-9.9316821433603781E-14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433.6995276469014</v>
      </c>
      <c r="BJ111" s="59">
        <f t="shared" si="92"/>
        <v>306.37969720280557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85.935460870828109</v>
      </c>
      <c r="BQ111" s="21">
        <f>EXP(-LN(2)/25)*BQ110+(1-EXP(-LN(2)/25))/(LN(2)/25)*Calculateur!BL111*Calculateur!BN111*VLOOKUP('Données projet'!$B$11,Paramètres!$A$1:$I$89,3,0)*0.475*44/12</f>
        <v>33.207940816983495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119.1434016878116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66.676420205599854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5.4</v>
      </c>
      <c r="BY111" s="12">
        <f>IF('Données projet'!$A$114&gt;35,BY110+BX111-CG110,IF(A111&lt;'Données projet'!$A$114,$BV$205^A111,IF(A111='Données projet'!$A$114,'Données projet'!$B$114,BY110+BX111-CG110)))</f>
        <v>231.20000000000002</v>
      </c>
      <c r="BZ111" s="13">
        <f>BY111*VLOOKUP('Données projet'!$B$12,Paramètres!$A$1:$I$89,3,0)*VLOOKUP('Données projet'!$B$12,Paramètres!$A$1:$I$89,5,0)</f>
        <v>223.61664000000005</v>
      </c>
      <c r="CA111" s="13">
        <f t="shared" si="93"/>
        <v>54.900197042646539</v>
      </c>
      <c r="CB111" s="20">
        <f t="shared" si="64"/>
        <v>485.08349118260935</v>
      </c>
      <c r="CC111" s="59">
        <f t="shared" si="65"/>
        <v>766.23036526980877</v>
      </c>
      <c r="CD111" s="59">
        <f ca="1">AVERAGE(OFFSET($CC$3,0,0,'Données projet'!$E$12+1,1))-AVERAGE(OFFSET($H$3,0,0,'Données projet'!$E$12+1,1))</f>
        <v>455.95436253828132</v>
      </c>
      <c r="CE111" s="59">
        <f t="shared" si="94"/>
        <v>64.829921296688497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35.018933407989266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35.018933407989266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66.676420205599854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5.6843418860808015E-14</v>
      </c>
      <c r="CU111" s="17">
        <f>CT111*VLOOKUP('Données projet'!$B$13,Paramètres!$A$1:$I$89,3,0)*VLOOKUP('Données projet'!$B$13,Paramètres!$A$1:$I$89,5,0)</f>
        <v>4.4337866711430253E-14</v>
      </c>
      <c r="CV111" s="13">
        <f t="shared" si="95"/>
        <v>7.3222115536967035E-13</v>
      </c>
      <c r="CW111" s="20">
        <f t="shared" si="67"/>
        <v>1.3525069634579169E-12</v>
      </c>
      <c r="CX111" s="59">
        <f t="shared" si="68"/>
        <v>281.14687408720084</v>
      </c>
      <c r="CY111" s="59">
        <f ca="1">AVERAGE(OFFSET($CX$3,0,0,'Données projet'!$E$13+1,1))-AVERAGE(OFFSET($H$3,0,0,'Données projet'!$E$13+1,1))</f>
        <v>306.44760579759713</v>
      </c>
      <c r="CZ111" s="59">
        <f t="shared" si="96"/>
        <v>300.30192123221718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40.854739951263902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40.854739951263902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66.676420205599854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66.676420205599854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66.676420205599854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66.676420205599854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66.676420205599854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4.4000000000000004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16.133333333333336</v>
      </c>
      <c r="H112" s="67">
        <f t="shared" si="56"/>
        <v>192.13333333333333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66.73407688462143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1.1368683772161603E-13</v>
      </c>
      <c r="O112" s="13">
        <f>N112*VLOOKUP('Données projet'!$B$9,Paramètres!$A$1:$I$89,3,0)*VLOOKUP('Données projet'!$B$9,Paramètres!$A$1:$I$89,5,0)</f>
        <v>6.7984728957526396E-14</v>
      </c>
      <c r="P112" s="13">
        <f t="shared" si="87"/>
        <v>1.0682447123141398E-12</v>
      </c>
      <c r="Q112" s="20">
        <f t="shared" si="107"/>
        <v>1.978932943548152E-12</v>
      </c>
      <c r="R112" s="59">
        <f t="shared" si="55"/>
        <v>281.35828191028054</v>
      </c>
      <c r="S112" s="59">
        <f ca="1">AVERAGE(OFFSET($R$3,0,0,'Données projet'!$E$9+1,1))-AVERAGE(OFFSET($H$3,0,0,'Données projet'!$E$9+1,1))</f>
        <v>299.45724561493057</v>
      </c>
      <c r="T112" s="59">
        <f t="shared" si="88"/>
        <v>297.63369027443196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45.198654786103141</v>
      </c>
      <c r="AA112" s="21">
        <f>EXP(-LN(2)/25)*AA111+(1-EXP(-LN(2)/25))/(LN(2)/25)*Calculateur!V112*Calculateur!X112*VLOOKUP('Données projet'!$B$9,Paramètres!$A$1:$I$89,3,0)*0.475*44/12</f>
        <v>18.766266649438414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63.964921435541555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66.73407688462143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3.4106051316484809E-13</v>
      </c>
      <c r="AJ112" s="13">
        <f>AI112*VLOOKUP('Données projet'!$B$10,Paramètres!$A$1:$I$89,3,0)*VLOOKUP('Données projet'!$B$10,Paramètres!$A$1:$I$89,5,0)</f>
        <v>1.9065282685915009E-13</v>
      </c>
      <c r="AK112" s="13">
        <f t="shared" si="89"/>
        <v>2.6568987209435707E-12</v>
      </c>
      <c r="AL112" s="20">
        <f t="shared" si="58"/>
        <v>4.959485612423072E-12</v>
      </c>
      <c r="AM112" s="59">
        <f t="shared" si="59"/>
        <v>281.35828191028349</v>
      </c>
      <c r="AN112" s="59">
        <f ca="1">AVERAGE(OFFSET($AM$3,0,0,'Données projet'!$E$10+1,1))-AVERAGE(OFFSET($H$3,0,0,'Données projet'!$E$10+1,1))</f>
        <v>363.98181065114898</v>
      </c>
      <c r="AO112" s="59">
        <f t="shared" si="90"/>
        <v>410.85213343666396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90.80106313351726</v>
      </c>
      <c r="AV112" s="21">
        <f>EXP(-LN(2)/25)*AV111+(1-EXP(-LN(2)/25))/(LN(2)/25)*Calculateur!AQ112*Calculateur!AS112*VLOOKUP('Données projet'!$B$10,Paramètres!$A$1:$I$89,3,0)*0.475*44/12</f>
        <v>34.062533793999506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124.86359692751677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66.73407688462143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-9.9316821433603781E-14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433.6995276469014</v>
      </c>
      <c r="BJ112" s="59">
        <f t="shared" si="92"/>
        <v>306.37969720280557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84.250318898606707</v>
      </c>
      <c r="BQ112" s="21">
        <f>EXP(-LN(2)/25)*BQ111+(1-EXP(-LN(2)/25))/(LN(2)/25)*Calculateur!BL112*Calculateur!BN112*VLOOKUP('Données projet'!$B$11,Paramètres!$A$1:$I$89,3,0)*0.475*44/12</f>
        <v>32.299867929013374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116.55018682762008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66.73407688462143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5.4</v>
      </c>
      <c r="BY112" s="12">
        <f>IF('Données projet'!$A$114&gt;35,BY111+BX112-CG111,IF(A112&lt;'Données projet'!$A$114,$BV$205^A112,IF(A112='Données projet'!$A$114,'Données projet'!$B$114,BY111+BX112-CG111)))</f>
        <v>236.60000000000002</v>
      </c>
      <c r="BZ112" s="13">
        <f>BY112*VLOOKUP('Données projet'!$B$12,Paramètres!$A$1:$I$89,3,0)*VLOOKUP('Données projet'!$B$12,Paramètres!$A$1:$I$89,5,0)</f>
        <v>228.83952000000002</v>
      </c>
      <c r="CA112" s="13">
        <f t="shared" si="93"/>
        <v>56.031684800405138</v>
      </c>
      <c r="CB112" s="20">
        <f t="shared" si="64"/>
        <v>496.15068169403895</v>
      </c>
      <c r="CC112" s="59">
        <f t="shared" si="65"/>
        <v>777.5089636043175</v>
      </c>
      <c r="CD112" s="59">
        <f ca="1">AVERAGE(OFFSET($CC$3,0,0,'Données projet'!$E$12+1,1))-AVERAGE(OFFSET($H$3,0,0,'Données projet'!$E$12+1,1))</f>
        <v>455.95436253828132</v>
      </c>
      <c r="CE112" s="59">
        <f t="shared" si="94"/>
        <v>64.829921296688497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34.332233483298907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34.332233483298907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66.73407688462143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5.6843418860808015E-14</v>
      </c>
      <c r="CU112" s="17">
        <f>CT112*VLOOKUP('Données projet'!$B$13,Paramètres!$A$1:$I$89,3,0)*VLOOKUP('Données projet'!$B$13,Paramètres!$A$1:$I$89,5,0)</f>
        <v>4.4337866711430253E-14</v>
      </c>
      <c r="CV112" s="13">
        <f t="shared" si="95"/>
        <v>7.3222115536967035E-13</v>
      </c>
      <c r="CW112" s="20">
        <f t="shared" si="67"/>
        <v>1.3525069634579169E-12</v>
      </c>
      <c r="CX112" s="59">
        <f t="shared" si="68"/>
        <v>281.35828191027991</v>
      </c>
      <c r="CY112" s="59">
        <f ca="1">AVERAGE(OFFSET($CX$3,0,0,'Données projet'!$E$13+1,1))-AVERAGE(OFFSET($H$3,0,0,'Données projet'!$E$13+1,1))</f>
        <v>306.44760579759713</v>
      </c>
      <c r="CZ112" s="59">
        <f t="shared" si="96"/>
        <v>300.30192123221718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40.053603419750445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40.053603419750445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66.73407688462143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66.73407688462143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66.73407688462143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66.73407688462143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66.73407688462143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4.4000000000000004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16.133333333333336</v>
      </c>
      <c r="H113" s="67">
        <f t="shared" si="56"/>
        <v>192.13333333333333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66.790733349163006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1.1368683772161603E-13</v>
      </c>
      <c r="O113" s="13">
        <f>N113*VLOOKUP('Données projet'!$B$9,Paramètres!$A$1:$I$89,3,0)*VLOOKUP('Données projet'!$B$9,Paramètres!$A$1:$I$89,5,0)</f>
        <v>6.7984728957526396E-14</v>
      </c>
      <c r="P113" s="13">
        <f t="shared" si="87"/>
        <v>1.0682447123141398E-12</v>
      </c>
      <c r="Q113" s="20">
        <f t="shared" si="107"/>
        <v>1.978932943548152E-12</v>
      </c>
      <c r="R113" s="59">
        <f t="shared" si="55"/>
        <v>281.56602228026634</v>
      </c>
      <c r="S113" s="59">
        <f ca="1">AVERAGE(OFFSET($R$3,0,0,'Données projet'!$E$9+1,1))-AVERAGE(OFFSET($H$3,0,0,'Données projet'!$E$9+1,1))</f>
        <v>299.45724561493057</v>
      </c>
      <c r="T113" s="59">
        <f t="shared" si="88"/>
        <v>297.63369027443196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44.312336734204919</v>
      </c>
      <c r="AA113" s="21">
        <f>EXP(-LN(2)/25)*AA112+(1-EXP(-LN(2)/25))/(LN(2)/25)*Calculateur!V113*Calculateur!X113*VLOOKUP('Données projet'!$B$9,Paramètres!$A$1:$I$89,3,0)*0.475*44/12</f>
        <v>18.253102101034447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62.565438835239362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66.790733349163006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3.4106051316484809E-13</v>
      </c>
      <c r="AJ113" s="13">
        <f>AI113*VLOOKUP('Données projet'!$B$10,Paramètres!$A$1:$I$89,3,0)*VLOOKUP('Données projet'!$B$10,Paramètres!$A$1:$I$89,5,0)</f>
        <v>1.9065282685915009E-13</v>
      </c>
      <c r="AK113" s="13">
        <f t="shared" si="89"/>
        <v>2.6568987209435707E-12</v>
      </c>
      <c r="AL113" s="20">
        <f t="shared" si="58"/>
        <v>4.959485612423072E-12</v>
      </c>
      <c r="AM113" s="59">
        <f t="shared" si="59"/>
        <v>281.56602228026929</v>
      </c>
      <c r="AN113" s="59">
        <f ca="1">AVERAGE(OFFSET($AM$3,0,0,'Données projet'!$E$10+1,1))-AVERAGE(OFFSET($H$3,0,0,'Données projet'!$E$10+1,1))</f>
        <v>363.98181065114898</v>
      </c>
      <c r="AO113" s="59">
        <f t="shared" si="90"/>
        <v>410.85213343666396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89.02050966864887</v>
      </c>
      <c r="AV113" s="21">
        <f>EXP(-LN(2)/25)*AV112+(1-EXP(-LN(2)/25))/(LN(2)/25)*Calculateur!AQ113*Calculateur!AS113*VLOOKUP('Données projet'!$B$10,Paramètres!$A$1:$I$89,3,0)*0.475*44/12</f>
        <v>33.131092016131788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122.15160168478066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66.790733349163006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-9.9316821433603781E-14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433.6995276469014</v>
      </c>
      <c r="BJ113" s="59">
        <f t="shared" si="92"/>
        <v>306.37969720280557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82.598221532625445</v>
      </c>
      <c r="BQ113" s="21">
        <f>EXP(-LN(2)/25)*BQ112+(1-EXP(-LN(2)/25))/(LN(2)/25)*Calculateur!BL113*Calculateur!BN113*VLOOKUP('Données projet'!$B$11,Paramètres!$A$1:$I$89,3,0)*0.475*44/12</f>
        <v>31.416626341918271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114.01484787454372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66.790733349163006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5.4</v>
      </c>
      <c r="BY113" s="12">
        <f>IF('Données projet'!$A$114&gt;35,BY112+BX113-CG112,IF(A113&lt;'Données projet'!$A$114,$BV$205^A113,IF(A113='Données projet'!$A$114,'Données projet'!$B$114,BY112+BX113-CG112)))</f>
        <v>242.00000000000003</v>
      </c>
      <c r="BZ113" s="13">
        <f>BY113*VLOOKUP('Données projet'!$B$12,Paramètres!$A$1:$I$89,3,0)*VLOOKUP('Données projet'!$B$12,Paramètres!$A$1:$I$89,5,0)</f>
        <v>234.06240000000005</v>
      </c>
      <c r="CA113" s="13">
        <f t="shared" si="93"/>
        <v>57.160170321263926</v>
      </c>
      <c r="CB113" s="20">
        <f t="shared" si="64"/>
        <v>507.21264330953471</v>
      </c>
      <c r="CC113" s="59">
        <f t="shared" si="65"/>
        <v>788.77866558979906</v>
      </c>
      <c r="CD113" s="59">
        <f ca="1">AVERAGE(OFFSET($CC$3,0,0,'Données projet'!$E$12+1,1))-AVERAGE(OFFSET($H$3,0,0,'Données projet'!$E$12+1,1))</f>
        <v>455.95436253828132</v>
      </c>
      <c r="CE113" s="59">
        <f t="shared" si="94"/>
        <v>64.829921296688497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33.658999325286132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33.658999325286132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66.790733349163006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5.6843418860808015E-14</v>
      </c>
      <c r="CU113" s="17">
        <f>CT113*VLOOKUP('Données projet'!$B$13,Paramètres!$A$1:$I$89,3,0)*VLOOKUP('Données projet'!$B$13,Paramètres!$A$1:$I$89,5,0)</f>
        <v>4.4337866711430253E-14</v>
      </c>
      <c r="CV113" s="13">
        <f t="shared" si="95"/>
        <v>7.3222115536967035E-13</v>
      </c>
      <c r="CW113" s="20">
        <f t="shared" si="67"/>
        <v>1.3525069634579169E-12</v>
      </c>
      <c r="CX113" s="59">
        <f t="shared" si="68"/>
        <v>281.56602228026571</v>
      </c>
      <c r="CY113" s="59">
        <f ca="1">AVERAGE(OFFSET($CX$3,0,0,'Données projet'!$E$13+1,1))-AVERAGE(OFFSET($H$3,0,0,'Données projet'!$E$13+1,1))</f>
        <v>306.44760579759713</v>
      </c>
      <c r="CZ113" s="59">
        <f t="shared" si="96"/>
        <v>300.30192123221718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39.268176686974932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39.268176686974932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66.790733349163006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66.790733349163006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66.790733349163006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66.790733349163006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66.790733349163006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4.4000000000000004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16.133333333333336</v>
      </c>
      <c r="H114" s="67">
        <f t="shared" si="56"/>
        <v>192.13333333333333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66.846406950709664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1.1368683772161603E-13</v>
      </c>
      <c r="O114" s="13">
        <f>N114*VLOOKUP('Données projet'!$B$9,Paramètres!$A$1:$I$89,3,0)*VLOOKUP('Données projet'!$B$9,Paramètres!$A$1:$I$89,5,0)</f>
        <v>6.7984728957526396E-14</v>
      </c>
      <c r="P114" s="13">
        <f t="shared" si="87"/>
        <v>1.0682447123141398E-12</v>
      </c>
      <c r="Q114" s="20">
        <f t="shared" si="107"/>
        <v>1.978932943548152E-12</v>
      </c>
      <c r="R114" s="59">
        <f t="shared" si="55"/>
        <v>281.77015881927076</v>
      </c>
      <c r="S114" s="59">
        <f ca="1">AVERAGE(OFFSET($R$3,0,0,'Données projet'!$E$9+1,1))-AVERAGE(OFFSET($H$3,0,0,'Données projet'!$E$9+1,1))</f>
        <v>299.45724561493057</v>
      </c>
      <c r="T114" s="59">
        <f t="shared" si="88"/>
        <v>297.63369027443196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43.443398838703793</v>
      </c>
      <c r="AA114" s="21">
        <f>EXP(-LN(2)/25)*AA113+(1-EXP(-LN(2)/25))/(LN(2)/25)*Calculateur!V114*Calculateur!X114*VLOOKUP('Données projet'!$B$9,Paramètres!$A$1:$I$89,3,0)*0.475*44/12</f>
        <v>17.753970064192739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61.197368902896528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66.846406950709664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3.4106051316484809E-13</v>
      </c>
      <c r="AJ114" s="13">
        <f>AI114*VLOOKUP('Données projet'!$B$10,Paramètres!$A$1:$I$89,3,0)*VLOOKUP('Données projet'!$B$10,Paramètres!$A$1:$I$89,5,0)</f>
        <v>1.9065282685915009E-13</v>
      </c>
      <c r="AK114" s="13">
        <f t="shared" si="89"/>
        <v>2.6568987209435707E-12</v>
      </c>
      <c r="AL114" s="20">
        <f t="shared" si="58"/>
        <v>4.959485612423072E-12</v>
      </c>
      <c r="AM114" s="59">
        <f t="shared" si="59"/>
        <v>281.77015881927372</v>
      </c>
      <c r="AN114" s="59">
        <f ca="1">AVERAGE(OFFSET($AM$3,0,0,'Données projet'!$E$10+1,1))-AVERAGE(OFFSET($H$3,0,0,'Données projet'!$E$10+1,1))</f>
        <v>363.98181065114898</v>
      </c>
      <c r="AO114" s="59">
        <f t="shared" si="90"/>
        <v>410.85213343666396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87.27487177119616</v>
      </c>
      <c r="AV114" s="21">
        <f>EXP(-LN(2)/25)*AV113+(1-EXP(-LN(2)/25))/(LN(2)/25)*Calculateur!AQ114*Calculateur!AS114*VLOOKUP('Données projet'!$B$10,Paramètres!$A$1:$I$89,3,0)*0.475*44/12</f>
        <v>32.225120562662255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119.49999233385842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66.846406950709664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-9.9316821433603781E-14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433.6995276469014</v>
      </c>
      <c r="BJ114" s="59">
        <f t="shared" si="92"/>
        <v>306.37969720280557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80.978520788311187</v>
      </c>
      <c r="BQ114" s="21">
        <f>EXP(-LN(2)/25)*BQ113+(1-EXP(-LN(2)/25))/(LN(2)/25)*Calculateur!BL114*Calculateur!BN114*VLOOKUP('Données projet'!$B$11,Paramètres!$A$1:$I$89,3,0)*0.475*44/12</f>
        <v>30.557537042469939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111.53605783078112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66.846406950709664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5.4</v>
      </c>
      <c r="BY114" s="12">
        <f>IF('Données projet'!$A$114&gt;35,BY113+BX114-CG113,IF(A114&lt;'Données projet'!$A$114,$BV$205^A114,IF(A114='Données projet'!$A$114,'Données projet'!$B$114,BY113+BX114-CG113)))</f>
        <v>247.40000000000003</v>
      </c>
      <c r="BZ114" s="13">
        <f>BY114*VLOOKUP('Données projet'!$B$12,Paramètres!$A$1:$I$89,3,0)*VLOOKUP('Données projet'!$B$12,Paramètres!$A$1:$I$89,5,0)</f>
        <v>239.28528000000006</v>
      </c>
      <c r="CA114" s="13">
        <f t="shared" si="93"/>
        <v>58.285728310643833</v>
      </c>
      <c r="CB114" s="20">
        <f t="shared" si="64"/>
        <v>518.26950614103805</v>
      </c>
      <c r="CC114" s="59">
        <f t="shared" si="65"/>
        <v>800.03966496030682</v>
      </c>
      <c r="CD114" s="59">
        <f ca="1">AVERAGE(OFFSET($CC$3,0,0,'Données projet'!$E$12+1,1))-AVERAGE(OFFSET($H$3,0,0,'Données projet'!$E$12+1,1))</f>
        <v>455.95436253828132</v>
      </c>
      <c r="CE114" s="59">
        <f t="shared" si="94"/>
        <v>64.829921296688497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32.998966878479692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32.998966878479692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66.846406950709664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5.6843418860808015E-14</v>
      </c>
      <c r="CU114" s="17">
        <f>CT114*VLOOKUP('Données projet'!$B$13,Paramètres!$A$1:$I$89,3,0)*VLOOKUP('Données projet'!$B$13,Paramètres!$A$1:$I$89,5,0)</f>
        <v>4.4337866711430253E-14</v>
      </c>
      <c r="CV114" s="13">
        <f t="shared" si="95"/>
        <v>7.3222115536967035E-13</v>
      </c>
      <c r="CW114" s="20">
        <f t="shared" si="67"/>
        <v>1.3525069634579169E-12</v>
      </c>
      <c r="CX114" s="59">
        <f t="shared" si="68"/>
        <v>281.77015881927014</v>
      </c>
      <c r="CY114" s="59">
        <f ca="1">AVERAGE(OFFSET($CX$3,0,0,'Données projet'!$E$13+1,1))-AVERAGE(OFFSET($H$3,0,0,'Données projet'!$E$13+1,1))</f>
        <v>306.44760579759713</v>
      </c>
      <c r="CZ114" s="59">
        <f t="shared" si="96"/>
        <v>300.30192123221718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38.498151693366147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38.498151693366147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66.846406950709664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66.846406950709664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66.846406950709664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66.846406950709664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66.846406950709664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4.4000000000000004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16.133333333333336</v>
      </c>
      <c r="H115" s="67">
        <f t="shared" si="56"/>
        <v>192.13333333333333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66.901114739737011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1.1368683772161603E-13</v>
      </c>
      <c r="O115" s="13">
        <f>N115*VLOOKUP('Données projet'!$B$9,Paramètres!$A$1:$I$89,3,0)*VLOOKUP('Données projet'!$B$9,Paramètres!$A$1:$I$89,5,0)</f>
        <v>6.7984728957526396E-14</v>
      </c>
      <c r="P115" s="13">
        <f t="shared" si="87"/>
        <v>1.0682447123141398E-12</v>
      </c>
      <c r="Q115" s="20">
        <f t="shared" si="107"/>
        <v>1.978932943548152E-12</v>
      </c>
      <c r="R115" s="59">
        <f t="shared" si="55"/>
        <v>281.97075404570433</v>
      </c>
      <c r="S115" s="59">
        <f ca="1">AVERAGE(OFFSET($R$3,0,0,'Données projet'!$E$9+1,1))-AVERAGE(OFFSET($H$3,0,0,'Données projet'!$E$9+1,1))</f>
        <v>299.45724561493057</v>
      </c>
      <c r="T115" s="59">
        <f t="shared" si="88"/>
        <v>297.63369027443196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42.591500285333659</v>
      </c>
      <c r="AA115" s="21">
        <f>EXP(-LN(2)/25)*AA114+(1-EXP(-LN(2)/25))/(LN(2)/25)*Calculateur!V115*Calculateur!X115*VLOOKUP('Données projet'!$B$9,Paramètres!$A$1:$I$89,3,0)*0.475*44/12</f>
        <v>17.26848681914668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59.859987104480339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66.901114739737011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3.4106051316484809E-13</v>
      </c>
      <c r="AJ115" s="13">
        <f>AI115*VLOOKUP('Données projet'!$B$10,Paramètres!$A$1:$I$89,3,0)*VLOOKUP('Données projet'!$B$10,Paramètres!$A$1:$I$89,5,0)</f>
        <v>1.9065282685915009E-13</v>
      </c>
      <c r="AK115" s="13">
        <f t="shared" si="89"/>
        <v>2.6568987209435707E-12</v>
      </c>
      <c r="AL115" s="20">
        <f t="shared" si="58"/>
        <v>4.959485612423072E-12</v>
      </c>
      <c r="AM115" s="59">
        <f t="shared" si="59"/>
        <v>281.97075404570728</v>
      </c>
      <c r="AN115" s="59">
        <f ca="1">AVERAGE(OFFSET($AM$3,0,0,'Données projet'!$E$10+1,1))-AVERAGE(OFFSET($H$3,0,0,'Données projet'!$E$10+1,1))</f>
        <v>363.98181065114898</v>
      </c>
      <c r="AO115" s="59">
        <f t="shared" si="90"/>
        <v>410.85213343666396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85.56346476817852</v>
      </c>
      <c r="AV115" s="21">
        <f>EXP(-LN(2)/25)*AV114+(1-EXP(-LN(2)/25))/(LN(2)/25)*Calculateur!AQ115*Calculateur!AS115*VLOOKUP('Données projet'!$B$10,Paramètres!$A$1:$I$89,3,0)*0.475*44/12</f>
        <v>31.343922946230816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116.90738771440934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66.901114739737011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-9.9316821433603781E-14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433.6995276469014</v>
      </c>
      <c r="BJ115" s="59">
        <f t="shared" si="92"/>
        <v>306.37969720280557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79.390581387673024</v>
      </c>
      <c r="BQ115" s="21">
        <f>EXP(-LN(2)/25)*BQ114+(1-EXP(-LN(2)/25))/(LN(2)/25)*Calculateur!BL115*Calculateur!BN115*VLOOKUP('Données projet'!$B$11,Paramètres!$A$1:$I$89,3,0)*0.475*44/12</f>
        <v>29.721939585092564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109.11252097276559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66.901114739737011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5.4</v>
      </c>
      <c r="BY115" s="12">
        <f>IF('Données projet'!$A$114&gt;35,BY114+BX115-CG114,IF(A115&lt;'Données projet'!$A$114,$BV$205^A115,IF(A115='Données projet'!$A$114,'Données projet'!$B$114,BY114+BX115-CG114)))</f>
        <v>252.80000000000004</v>
      </c>
      <c r="BZ115" s="13">
        <f>BY115*VLOOKUP('Données projet'!$B$12,Paramètres!$A$1:$I$89,3,0)*VLOOKUP('Données projet'!$B$12,Paramètres!$A$1:$I$89,5,0)</f>
        <v>244.50816000000003</v>
      </c>
      <c r="CA115" s="13">
        <f t="shared" si="93"/>
        <v>59.408430026531576</v>
      </c>
      <c r="CB115" s="20">
        <f t="shared" si="64"/>
        <v>529.32139429620918</v>
      </c>
      <c r="CC115" s="59">
        <f t="shared" si="65"/>
        <v>811.29214834191157</v>
      </c>
      <c r="CD115" s="59">
        <f ca="1">AVERAGE(OFFSET($CC$3,0,0,'Données projet'!$E$12+1,1))-AVERAGE(OFFSET($H$3,0,0,'Données projet'!$E$12+1,1))</f>
        <v>455.95436253828132</v>
      </c>
      <c r="CE115" s="59">
        <f t="shared" si="94"/>
        <v>64.829921296688497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32.351877265375087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32.351877265375087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66.901114739737011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5.6843418860808015E-14</v>
      </c>
      <c r="CU115" s="17">
        <f>CT115*VLOOKUP('Données projet'!$B$13,Paramètres!$A$1:$I$89,3,0)*VLOOKUP('Données projet'!$B$13,Paramètres!$A$1:$I$89,5,0)</f>
        <v>4.4337866711430253E-14</v>
      </c>
      <c r="CV115" s="13">
        <f t="shared" si="95"/>
        <v>7.3222115536967035E-13</v>
      </c>
      <c r="CW115" s="20">
        <f t="shared" si="67"/>
        <v>1.3525069634579169E-12</v>
      </c>
      <c r="CX115" s="59">
        <f t="shared" si="68"/>
        <v>281.9707540457037</v>
      </c>
      <c r="CY115" s="59">
        <f ca="1">AVERAGE(OFFSET($CX$3,0,0,'Données projet'!$E$13+1,1))-AVERAGE(OFFSET($H$3,0,0,'Données projet'!$E$13+1,1))</f>
        <v>306.44760579759713</v>
      </c>
      <c r="CZ115" s="59">
        <f t="shared" si="96"/>
        <v>300.30192123221718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37.743226420213162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37.743226420213162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66.901114739737011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66.901114739737011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66.901114739737011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66.901114739737011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66.901114739737011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4.4000000000000004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16.133333333333336</v>
      </c>
      <c r="H116" s="67">
        <f t="shared" si="56"/>
        <v>192.13333333333333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66.954873470933038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1.1368683772161603E-13</v>
      </c>
      <c r="O116" s="13">
        <f>N116*VLOOKUP('Données projet'!$B$9,Paramètres!$A$1:$I$89,3,0)*VLOOKUP('Données projet'!$B$9,Paramètres!$A$1:$I$89,5,0)</f>
        <v>6.7984728957526396E-14</v>
      </c>
      <c r="P116" s="13">
        <f t="shared" si="87"/>
        <v>1.0682447123141398E-12</v>
      </c>
      <c r="Q116" s="20">
        <f t="shared" si="107"/>
        <v>1.978932943548152E-12</v>
      </c>
      <c r="R116" s="59">
        <f t="shared" si="55"/>
        <v>282.16786939342313</v>
      </c>
      <c r="S116" s="59">
        <f ca="1">AVERAGE(OFFSET($R$3,0,0,'Données projet'!$E$9+1,1))-AVERAGE(OFFSET($H$3,0,0,'Données projet'!$E$9+1,1))</f>
        <v>299.45724561493057</v>
      </c>
      <c r="T116" s="59">
        <f t="shared" si="88"/>
        <v>297.63369027443196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41.756306942988303</v>
      </c>
      <c r="AA116" s="21">
        <f>EXP(-LN(2)/25)*AA115+(1-EXP(-LN(2)/25))/(LN(2)/25)*Calculateur!V116*Calculateur!X116*VLOOKUP('Données projet'!$B$9,Paramètres!$A$1:$I$89,3,0)*0.475*44/12</f>
        <v>16.79627913896686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58.552586081955162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66.954873470933038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3.4106051316484809E-13</v>
      </c>
      <c r="AJ116" s="13">
        <f>AI116*VLOOKUP('Données projet'!$B$10,Paramètres!$A$1:$I$89,3,0)*VLOOKUP('Données projet'!$B$10,Paramètres!$A$1:$I$89,5,0)</f>
        <v>1.9065282685915009E-13</v>
      </c>
      <c r="AK116" s="13">
        <f t="shared" si="89"/>
        <v>2.6568987209435707E-12</v>
      </c>
      <c r="AL116" s="20">
        <f t="shared" si="58"/>
        <v>4.959485612423072E-12</v>
      </c>
      <c r="AM116" s="59">
        <f t="shared" si="59"/>
        <v>282.16786939342609</v>
      </c>
      <c r="AN116" s="59">
        <f ca="1">AVERAGE(OFFSET($AM$3,0,0,'Données projet'!$E$10+1,1))-AVERAGE(OFFSET($H$3,0,0,'Données projet'!$E$10+1,1))</f>
        <v>363.98181065114898</v>
      </c>
      <c r="AO116" s="59">
        <f t="shared" si="90"/>
        <v>410.85213343666396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83.885617412634858</v>
      </c>
      <c r="AV116" s="21">
        <f>EXP(-LN(2)/25)*AV115+(1-EXP(-LN(2)/25))/(LN(2)/25)*Calculateur!AQ116*Calculateur!AS116*VLOOKUP('Données projet'!$B$10,Paramètres!$A$1:$I$89,3,0)*0.475*44/12</f>
        <v>30.486821724960862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114.37243913759572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66.954873470933038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-9.9316821433603781E-14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433.6995276469014</v>
      </c>
      <c r="BJ116" s="59">
        <f t="shared" si="92"/>
        <v>306.37969720280557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77.833780510133977</v>
      </c>
      <c r="BQ116" s="21">
        <f>EXP(-LN(2)/25)*BQ115+(1-EXP(-LN(2)/25))/(LN(2)/25)*Calculateur!BL116*Calculateur!BN116*VLOOKUP('Données projet'!$B$11,Paramètres!$A$1:$I$89,3,0)*0.475*44/12</f>
        <v>28.909191584129335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106.74297209426331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66.954873470933038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5.4</v>
      </c>
      <c r="BY116" s="12">
        <f>IF('Données projet'!$A$114&gt;35,BY115+BX116-CG115,IF(A116&lt;'Données projet'!$A$114,$BV$205^A116,IF(A116='Données projet'!$A$114,'Données projet'!$B$114,BY115+BX116-CG115)))</f>
        <v>258.20000000000005</v>
      </c>
      <c r="BZ116" s="13">
        <f>BY116*VLOOKUP('Données projet'!$B$12,Paramètres!$A$1:$I$89,3,0)*VLOOKUP('Données projet'!$B$12,Paramètres!$A$1:$I$89,5,0)</f>
        <v>249.73104000000006</v>
      </c>
      <c r="CA116" s="13">
        <f t="shared" si="93"/>
        <v>60.528343508755668</v>
      </c>
      <c r="CB116" s="20">
        <f t="shared" si="64"/>
        <v>540.36842627774956</v>
      </c>
      <c r="CC116" s="59">
        <f t="shared" si="65"/>
        <v>822.53629567117071</v>
      </c>
      <c r="CD116" s="59">
        <f ca="1">AVERAGE(OFFSET($CC$3,0,0,'Données projet'!$E$12+1,1))-AVERAGE(OFFSET($H$3,0,0,'Données projet'!$E$12+1,1))</f>
        <v>455.95436253828132</v>
      </c>
      <c r="CE116" s="59">
        <f t="shared" si="94"/>
        <v>64.829921296688497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31.717476684897772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31.717476684897772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66.954873470933038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5.6843418860808015E-14</v>
      </c>
      <c r="CU116" s="17">
        <f>CT116*VLOOKUP('Données projet'!$B$13,Paramètres!$A$1:$I$89,3,0)*VLOOKUP('Données projet'!$B$13,Paramètres!$A$1:$I$89,5,0)</f>
        <v>4.4337866711430253E-14</v>
      </c>
      <c r="CV116" s="13">
        <f t="shared" si="95"/>
        <v>7.3222115536967035E-13</v>
      </c>
      <c r="CW116" s="20">
        <f t="shared" si="67"/>
        <v>1.3525069634579169E-12</v>
      </c>
      <c r="CX116" s="59">
        <f t="shared" si="68"/>
        <v>282.16786939342251</v>
      </c>
      <c r="CY116" s="59">
        <f ca="1">AVERAGE(OFFSET($CX$3,0,0,'Données projet'!$E$13+1,1))-AVERAGE(OFFSET($H$3,0,0,'Données projet'!$E$13+1,1))</f>
        <v>306.44760579759713</v>
      </c>
      <c r="CZ116" s="59">
        <f t="shared" si="96"/>
        <v>300.30192123221718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37.003104771207752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37.003104771207752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66.954873470933038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66.954873470933038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66.954873470933038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66.954873470933038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66.954873470933038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4.4000000000000004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16.133333333333336</v>
      </c>
      <c r="H117" s="67">
        <f t="shared" si="56"/>
        <v>192.13333333333333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67.007699608329318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1.1368683772161603E-13</v>
      </c>
      <c r="O117" s="13">
        <f>N117*VLOOKUP('Données projet'!$B$9,Paramètres!$A$1:$I$89,3,0)*VLOOKUP('Données projet'!$B$9,Paramètres!$A$1:$I$89,5,0)</f>
        <v>6.7984728957526396E-14</v>
      </c>
      <c r="P117" s="13">
        <f t="shared" si="87"/>
        <v>1.0682447123141398E-12</v>
      </c>
      <c r="Q117" s="20">
        <f t="shared" si="107"/>
        <v>1.978932943548152E-12</v>
      </c>
      <c r="R117" s="59">
        <f t="shared" si="55"/>
        <v>282.36156523054285</v>
      </c>
      <c r="S117" s="59">
        <f ca="1">AVERAGE(OFFSET($R$3,0,0,'Données projet'!$E$9+1,1))-AVERAGE(OFFSET($H$3,0,0,'Données projet'!$E$9+1,1))</f>
        <v>299.45724561493057</v>
      </c>
      <c r="T117" s="59">
        <f t="shared" si="88"/>
        <v>297.63369027443196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40.937491232668698</v>
      </c>
      <c r="AA117" s="21">
        <f>EXP(-LN(2)/25)*AA116+(1-EXP(-LN(2)/25))/(LN(2)/25)*Calculateur!V117*Calculateur!X117*VLOOKUP('Données projet'!$B$9,Paramètres!$A$1:$I$89,3,0)*0.475*44/12</f>
        <v>16.33698400263388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57.274475235302575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67.007699608329318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3.4106051316484809E-13</v>
      </c>
      <c r="AJ117" s="13">
        <f>AI117*VLOOKUP('Données projet'!$B$10,Paramètres!$A$1:$I$89,3,0)*VLOOKUP('Données projet'!$B$10,Paramètres!$A$1:$I$89,5,0)</f>
        <v>1.9065282685915009E-13</v>
      </c>
      <c r="AK117" s="13">
        <f t="shared" si="89"/>
        <v>2.6568987209435707E-12</v>
      </c>
      <c r="AL117" s="20">
        <f t="shared" si="58"/>
        <v>4.959485612423072E-12</v>
      </c>
      <c r="AM117" s="59">
        <f t="shared" si="59"/>
        <v>282.36156523054581</v>
      </c>
      <c r="AN117" s="59">
        <f ca="1">AVERAGE(OFFSET($AM$3,0,0,'Données projet'!$E$10+1,1))-AVERAGE(OFFSET($H$3,0,0,'Données projet'!$E$10+1,1))</f>
        <v>363.98181065114898</v>
      </c>
      <c r="AO117" s="59">
        <f t="shared" si="90"/>
        <v>410.85213343666396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82.24067162034757</v>
      </c>
      <c r="AV117" s="21">
        <f>EXP(-LN(2)/25)*AV116+(1-EXP(-LN(2)/25))/(LN(2)/25)*Calculateur!AQ117*Calculateur!AS117*VLOOKUP('Données projet'!$B$10,Paramètres!$A$1:$I$89,3,0)*0.475*44/12</f>
        <v>29.653157981659533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111.8938296020071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67.007699608329318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-9.9316821433603781E-14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433.6995276469014</v>
      </c>
      <c r="BJ117" s="59">
        <f t="shared" si="92"/>
        <v>306.37969720280557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76.307507548248694</v>
      </c>
      <c r="BQ117" s="21">
        <f>EXP(-LN(2)/25)*BQ116+(1-EXP(-LN(2)/25))/(LN(2)/25)*Calculateur!BL117*Calculateur!BN117*VLOOKUP('Données projet'!$B$11,Paramètres!$A$1:$I$89,3,0)*0.475*44/12</f>
        <v>28.118668219993005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104.42617576824171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67.007699608329318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5.4</v>
      </c>
      <c r="BY117" s="12">
        <f>IF('Données projet'!$A$114&gt;35,BY116+BX117-CG116,IF(A117&lt;'Données projet'!$A$114,$BV$205^A117,IF(A117='Données projet'!$A$114,'Données projet'!$B$114,BY116+BX117-CG116)))</f>
        <v>263.60000000000002</v>
      </c>
      <c r="BZ117" s="13">
        <f>BY117*VLOOKUP('Données projet'!$B$12,Paramètres!$A$1:$I$89,3,0)*VLOOKUP('Données projet'!$B$12,Paramètres!$A$1:$I$89,5,0)</f>
        <v>254.95392000000004</v>
      </c>
      <c r="CA117" s="13">
        <f t="shared" si="93"/>
        <v>61.645533788540583</v>
      </c>
      <c r="CB117" s="20">
        <f t="shared" si="64"/>
        <v>551.41071534837499</v>
      </c>
      <c r="CC117" s="59">
        <f t="shared" si="65"/>
        <v>833.7722805789158</v>
      </c>
      <c r="CD117" s="59">
        <f ca="1">AVERAGE(OFFSET($CC$3,0,0,'Données projet'!$E$12+1,1))-AVERAGE(OFFSET($H$3,0,0,'Données projet'!$E$12+1,1))</f>
        <v>455.95436253828132</v>
      </c>
      <c r="CE117" s="59">
        <f t="shared" si="94"/>
        <v>64.829921296688497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31.09551631285747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31.09551631285747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67.007699608329318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5.6843418860808015E-14</v>
      </c>
      <c r="CU117" s="17">
        <f>CT117*VLOOKUP('Données projet'!$B$13,Paramètres!$A$1:$I$89,3,0)*VLOOKUP('Données projet'!$B$13,Paramètres!$A$1:$I$89,5,0)</f>
        <v>4.4337866711430253E-14</v>
      </c>
      <c r="CV117" s="13">
        <f t="shared" si="95"/>
        <v>7.3222115536967035E-13</v>
      </c>
      <c r="CW117" s="20">
        <f t="shared" si="67"/>
        <v>1.3525069634579169E-12</v>
      </c>
      <c r="CX117" s="59">
        <f t="shared" si="68"/>
        <v>282.36156523054223</v>
      </c>
      <c r="CY117" s="59">
        <f ca="1">AVERAGE(OFFSET($CX$3,0,0,'Données projet'!$E$13+1,1))-AVERAGE(OFFSET($H$3,0,0,'Données projet'!$E$13+1,1))</f>
        <v>306.44760579759713</v>
      </c>
      <c r="CZ117" s="59">
        <f t="shared" si="96"/>
        <v>300.30192123221718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36.277496456309713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36.277496456309713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67.007699608329318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67.007699608329318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67.007699608329318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67.007699608329318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67.007699608329318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4.4000000000000004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16.133333333333336</v>
      </c>
      <c r="H118" s="67">
        <f t="shared" si="56"/>
        <v>192.13333333333333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67.059609330343335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1.1368683772161603E-13</v>
      </c>
      <c r="O118" s="13">
        <f>N118*VLOOKUP('Données projet'!$B$9,Paramètres!$A$1:$I$89,3,0)*VLOOKUP('Données projet'!$B$9,Paramètres!$A$1:$I$89,5,0)</f>
        <v>6.7984728957526396E-14</v>
      </c>
      <c r="P118" s="13">
        <f t="shared" si="87"/>
        <v>1.0682447123141398E-12</v>
      </c>
      <c r="Q118" s="20">
        <f t="shared" si="107"/>
        <v>1.978932943548152E-12</v>
      </c>
      <c r="R118" s="59">
        <f t="shared" si="55"/>
        <v>282.55190087792755</v>
      </c>
      <c r="S118" s="59">
        <f ca="1">AVERAGE(OFFSET($R$3,0,0,'Données projet'!$E$9+1,1))-AVERAGE(OFFSET($H$3,0,0,'Données projet'!$E$9+1,1))</f>
        <v>299.45724561493057</v>
      </c>
      <c r="T118" s="59">
        <f t="shared" si="88"/>
        <v>297.63369027443196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40.134731999000195</v>
      </c>
      <c r="AA118" s="21">
        <f>EXP(-LN(2)/25)*AA117+(1-EXP(-LN(2)/25))/(LN(2)/25)*Calculateur!V118*Calculateur!X118*VLOOKUP('Données projet'!$B$9,Paramètres!$A$1:$I$89,3,0)*0.475*44/12</f>
        <v>15.890248315957207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56.024980314957403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67.059609330343335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3.4106051316484809E-13</v>
      </c>
      <c r="AJ118" s="13">
        <f>AI118*VLOOKUP('Données projet'!$B$10,Paramètres!$A$1:$I$89,3,0)*VLOOKUP('Données projet'!$B$10,Paramètres!$A$1:$I$89,5,0)</f>
        <v>1.9065282685915009E-13</v>
      </c>
      <c r="AK118" s="13">
        <f t="shared" si="89"/>
        <v>2.6568987209435707E-12</v>
      </c>
      <c r="AL118" s="20">
        <f t="shared" si="58"/>
        <v>4.959485612423072E-12</v>
      </c>
      <c r="AM118" s="59">
        <f t="shared" si="59"/>
        <v>282.55190087793051</v>
      </c>
      <c r="AN118" s="59">
        <f ca="1">AVERAGE(OFFSET($AM$3,0,0,'Données projet'!$E$10+1,1))-AVERAGE(OFFSET($H$3,0,0,'Données projet'!$E$10+1,1))</f>
        <v>363.98181065114898</v>
      </c>
      <c r="AO118" s="59">
        <f t="shared" si="90"/>
        <v>410.85213343666396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80.627982211729176</v>
      </c>
      <c r="AV118" s="21">
        <f>EXP(-LN(2)/25)*AV117+(1-EXP(-LN(2)/25))/(LN(2)/25)*Calculateur!AQ118*Calculateur!AS118*VLOOKUP('Données projet'!$B$10,Paramètres!$A$1:$I$89,3,0)*0.475*44/12</f>
        <v>28.842290817259247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109.47027302898843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67.059609330343335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-9.9316821433603781E-14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433.6995276469014</v>
      </c>
      <c r="BJ118" s="59">
        <f t="shared" si="92"/>
        <v>306.37969720280557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74.811163868211409</v>
      </c>
      <c r="BQ118" s="21">
        <f>EXP(-LN(2)/25)*BQ117+(1-EXP(-LN(2)/25))/(LN(2)/25)*Calculateur!BL118*Calculateur!BN118*VLOOKUP('Données projet'!$B$11,Paramètres!$A$1:$I$89,3,0)*0.475*44/12</f>
        <v>27.349761758820801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102.16092562703221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67.059609330343335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>
        <f>VLOOKUP(A118,'Données projet'!$A$113:$I$133,2,0)</f>
        <v>269</v>
      </c>
      <c r="BW118" s="12">
        <f>VLOOKUP(A118,'Données projet'!$A$113:$I$133,9,0)</f>
        <v>5.4</v>
      </c>
      <c r="BX118" s="12">
        <f t="array" ref="BX118">INDEX(BW:BW,MIN(IF(ISNUMBER(BW118:BW314),ROW(BW118:BW314),"")))</f>
        <v>5.4</v>
      </c>
      <c r="BY118" s="12">
        <f>IF('Données projet'!$A$114&gt;35,BY117+BX118-CG117,IF(A118&lt;'Données projet'!$A$114,$BV$205^A118,IF(A118='Données projet'!$A$114,'Données projet'!$B$114,BY117+BX118-CG117)))</f>
        <v>269</v>
      </c>
      <c r="BZ118" s="13">
        <f>BY118*VLOOKUP('Données projet'!$B$12,Paramètres!$A$1:$I$89,3,0)*VLOOKUP('Données projet'!$B$12,Paramètres!$A$1:$I$89,5,0)</f>
        <v>260.17680000000001</v>
      </c>
      <c r="CA118" s="13">
        <f t="shared" si="93"/>
        <v>62.760063080404699</v>
      </c>
      <c r="CB118" s="20">
        <f t="shared" si="64"/>
        <v>562.44836986503822</v>
      </c>
      <c r="CC118" s="59">
        <f t="shared" si="65"/>
        <v>845.00027074296372</v>
      </c>
      <c r="CD118" s="59">
        <f ca="1">AVERAGE(OFFSET($CC$3,0,0,'Données projet'!$E$12+1,1))-AVERAGE(OFFSET($H$3,0,0,'Données projet'!$E$12+1,1))</f>
        <v>455.95436253828132</v>
      </c>
      <c r="CE118" s="59">
        <f t="shared" si="94"/>
        <v>64.829921296688497</v>
      </c>
      <c r="CF118" s="15">
        <f>IF(ISNA(VLOOKUP(A118,'Données projet'!$A$113:$I$133,3,0)),0,VLOOKUP(A118,'Données projet'!$A$113:$I$133,3,0))</f>
        <v>10</v>
      </c>
      <c r="CG118" s="15">
        <f>IF(ISNA(VLOOKUP(A118,'Données projet'!$A$113:$I$133,4,0)),0,VLOOKUP(A118,'Données projet'!$A$113:$I$133,4,0))</f>
        <v>37</v>
      </c>
      <c r="CH118" s="16">
        <f>IF(ISNA(VLOOKUP(A118,'Données projet'!$A$113:$I$133,5,0)),0%,VLOOKUP(A118,'Données projet'!$A$113:$I$133,5,0)*VLOOKUP('Données projet'!$B$12,Paramètres!$A$1:$I$89,7,0))</f>
        <v>0.25800000000000001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40.692439943404942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40.692439943404942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67.059609330343335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5.6843418860808015E-14</v>
      </c>
      <c r="CU118" s="17">
        <f>CT118*VLOOKUP('Données projet'!$B$13,Paramètres!$A$1:$I$89,3,0)*VLOOKUP('Données projet'!$B$13,Paramètres!$A$1:$I$89,5,0)</f>
        <v>4.4337866711430253E-14</v>
      </c>
      <c r="CV118" s="13">
        <f t="shared" si="95"/>
        <v>7.3222115536967035E-13</v>
      </c>
      <c r="CW118" s="20">
        <f t="shared" si="67"/>
        <v>1.3525069634579169E-12</v>
      </c>
      <c r="CX118" s="59">
        <f t="shared" si="68"/>
        <v>282.55190087792693</v>
      </c>
      <c r="CY118" s="59">
        <f ca="1">AVERAGE(OFFSET($CX$3,0,0,'Données projet'!$E$13+1,1))-AVERAGE(OFFSET($H$3,0,0,'Données projet'!$E$13+1,1))</f>
        <v>306.44760579759713</v>
      </c>
      <c r="CZ118" s="59">
        <f t="shared" si="96"/>
        <v>300.30192123221718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35.566116877889449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35.566116877889449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67.059609330343335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67.059609330343335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67.059609330343335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67.059609330343335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67.059609330343335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4.4000000000000004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16.133333333333336</v>
      </c>
      <c r="H119" s="67">
        <f t="shared" si="56"/>
        <v>192.13333333333333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67.110618534733163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1.1368683772161603E-13</v>
      </c>
      <c r="O119" s="13">
        <f>N119*VLOOKUP('Données projet'!$B$9,Paramètres!$A$1:$I$89,3,0)*VLOOKUP('Données projet'!$B$9,Paramètres!$A$1:$I$89,5,0)</f>
        <v>6.7984728957526396E-14</v>
      </c>
      <c r="P119" s="13">
        <f t="shared" si="87"/>
        <v>1.0682447123141398E-12</v>
      </c>
      <c r="Q119" s="20">
        <f t="shared" si="107"/>
        <v>1.978932943548152E-12</v>
      </c>
      <c r="R119" s="59">
        <f t="shared" si="55"/>
        <v>282.73893462735691</v>
      </c>
      <c r="S119" s="59">
        <f ca="1">AVERAGE(OFFSET($R$3,0,0,'Données projet'!$E$9+1,1))-AVERAGE(OFFSET($H$3,0,0,'Données projet'!$E$9+1,1))</f>
        <v>299.45724561493057</v>
      </c>
      <c r="T119" s="59">
        <f t="shared" si="88"/>
        <v>297.63369027443196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39.347714384269146</v>
      </c>
      <c r="AA119" s="21">
        <f>EXP(-LN(2)/25)*AA118+(1-EXP(-LN(2)/25))/(LN(2)/25)*Calculateur!V119*Calculateur!X119*VLOOKUP('Données projet'!$B$9,Paramètres!$A$1:$I$89,3,0)*0.475*44/12</f>
        <v>15.455728640125516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54.80344302439466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67.110618534733163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3.4106051316484809E-13</v>
      </c>
      <c r="AJ119" s="13">
        <f>AI119*VLOOKUP('Données projet'!$B$10,Paramètres!$A$1:$I$89,3,0)*VLOOKUP('Données projet'!$B$10,Paramètres!$A$1:$I$89,5,0)</f>
        <v>1.9065282685915009E-13</v>
      </c>
      <c r="AK119" s="13">
        <f t="shared" si="89"/>
        <v>2.6568987209435707E-12</v>
      </c>
      <c r="AL119" s="20">
        <f t="shared" si="58"/>
        <v>4.959485612423072E-12</v>
      </c>
      <c r="AM119" s="59">
        <f t="shared" si="59"/>
        <v>282.73893462735987</v>
      </c>
      <c r="AN119" s="59">
        <f ca="1">AVERAGE(OFFSET($AM$3,0,0,'Données projet'!$E$10+1,1))-AVERAGE(OFFSET($H$3,0,0,'Données projet'!$E$10+1,1))</f>
        <v>363.98181065114898</v>
      </c>
      <c r="AO119" s="59">
        <f t="shared" si="90"/>
        <v>410.85213343666396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79.046916658770371</v>
      </c>
      <c r="AV119" s="21">
        <f>EXP(-LN(2)/25)*AV118+(1-EXP(-LN(2)/25))/(LN(2)/25)*Calculateur!AQ119*Calculateur!AS119*VLOOKUP('Données projet'!$B$10,Paramètres!$A$1:$I$89,3,0)*0.475*44/12</f>
        <v>28.053596858111138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107.10051351688151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67.110618534733163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-9.9316821433603781E-14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433.6995276469014</v>
      </c>
      <c r="BJ119" s="59">
        <f t="shared" si="92"/>
        <v>306.37969720280557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73.344162575060125</v>
      </c>
      <c r="BQ119" s="21">
        <f>EXP(-LN(2)/25)*BQ118+(1-EXP(-LN(2)/25))/(LN(2)/25)*Calculateur!BL119*Calculateur!BN119*VLOOKUP('Données projet'!$B$11,Paramètres!$A$1:$I$89,3,0)*0.475*44/12</f>
        <v>26.601881085264385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99.946043660324506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67.110618534733163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5.5</v>
      </c>
      <c r="BY119" s="12">
        <f>IF('Données projet'!$A$114&gt;35,BY118+BX119-CG118,IF(A119&lt;'Données projet'!$A$114,$BV$205^A119,IF(A119='Données projet'!$A$114,'Données projet'!$B$114,BY118+BX119-CG118)))</f>
        <v>237.5</v>
      </c>
      <c r="BZ119" s="13">
        <f>BY119*VLOOKUP('Données projet'!$B$12,Paramètres!$A$1:$I$89,3,0)*VLOOKUP('Données projet'!$B$12,Paramètres!$A$1:$I$89,5,0)</f>
        <v>229.71</v>
      </c>
      <c r="CA119" s="13">
        <f t="shared" si="93"/>
        <v>56.219972147339035</v>
      </c>
      <c r="CB119" s="20">
        <f t="shared" si="64"/>
        <v>497.9947014899488</v>
      </c>
      <c r="CC119" s="59">
        <f t="shared" si="65"/>
        <v>780.73363611730372</v>
      </c>
      <c r="CD119" s="59">
        <f ca="1">AVERAGE(OFFSET($CC$3,0,0,'Données projet'!$E$12+1,1))-AVERAGE(OFFSET($H$3,0,0,'Données projet'!$E$12+1,1))</f>
        <v>455.95436253828132</v>
      </c>
      <c r="CE119" s="59">
        <f t="shared" si="94"/>
        <v>64.829921296688497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39.894486016052369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39.894486016052369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67.110618534733163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5.6843418860808015E-14</v>
      </c>
      <c r="CU119" s="17">
        <f>CT119*VLOOKUP('Données projet'!$B$13,Paramètres!$A$1:$I$89,3,0)*VLOOKUP('Données projet'!$B$13,Paramètres!$A$1:$I$89,5,0)</f>
        <v>4.4337866711430253E-14</v>
      </c>
      <c r="CV119" s="13">
        <f t="shared" si="95"/>
        <v>7.3222115536967035E-13</v>
      </c>
      <c r="CW119" s="20">
        <f t="shared" si="67"/>
        <v>1.3525069634579169E-12</v>
      </c>
      <c r="CX119" s="59">
        <f t="shared" si="68"/>
        <v>282.73893462735629</v>
      </c>
      <c r="CY119" s="59">
        <f ca="1">AVERAGE(OFFSET($CX$3,0,0,'Données projet'!$E$13+1,1))-AVERAGE(OFFSET($H$3,0,0,'Données projet'!$E$13+1,1))</f>
        <v>306.44760579759713</v>
      </c>
      <c r="CZ119" s="59">
        <f t="shared" si="96"/>
        <v>300.30192123221718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34.868687019103305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34.868687019103305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67.110618534733163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67.110618534733163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67.110618534733163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67.110618534733163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67.110618534733163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4.4000000000000004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16.133333333333336</v>
      </c>
      <c r="H120" s="67">
        <f t="shared" si="56"/>
        <v>192.13333333333333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67.160742843466309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1.1368683772161603E-13</v>
      </c>
      <c r="O120" s="13">
        <f>N120*VLOOKUP('Données projet'!$B$9,Paramètres!$A$1:$I$89,3,0)*VLOOKUP('Données projet'!$B$9,Paramètres!$A$1:$I$89,5,0)</f>
        <v>6.7984728957526396E-14</v>
      </c>
      <c r="P120" s="13">
        <f t="shared" si="87"/>
        <v>1.0682447123141398E-12</v>
      </c>
      <c r="Q120" s="20">
        <f t="shared" si="107"/>
        <v>1.978932943548152E-12</v>
      </c>
      <c r="R120" s="59">
        <f t="shared" si="55"/>
        <v>282.92272375937847</v>
      </c>
      <c r="S120" s="59">
        <f ca="1">AVERAGE(OFFSET($R$3,0,0,'Données projet'!$E$9+1,1))-AVERAGE(OFFSET($H$3,0,0,'Données projet'!$E$9+1,1))</f>
        <v>299.45724561493057</v>
      </c>
      <c r="T120" s="59">
        <f t="shared" si="88"/>
        <v>297.63369027443196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38.576129704929627</v>
      </c>
      <c r="AA120" s="21">
        <f>EXP(-LN(2)/25)*AA119+(1-EXP(-LN(2)/25))/(LN(2)/25)*Calculateur!V120*Calculateur!X120*VLOOKUP('Données projet'!$B$9,Paramètres!$A$1:$I$89,3,0)*0.475*44/12</f>
        <v>15.033090927679838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53.609220632609464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67.160742843466309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3.4106051316484809E-13</v>
      </c>
      <c r="AJ120" s="13">
        <f>AI120*VLOOKUP('Données projet'!$B$10,Paramètres!$A$1:$I$89,3,0)*VLOOKUP('Données projet'!$B$10,Paramètres!$A$1:$I$89,5,0)</f>
        <v>1.9065282685915009E-13</v>
      </c>
      <c r="AK120" s="13">
        <f t="shared" si="89"/>
        <v>2.6568987209435707E-12</v>
      </c>
      <c r="AL120" s="20">
        <f t="shared" si="58"/>
        <v>4.959485612423072E-12</v>
      </c>
      <c r="AM120" s="59">
        <f t="shared" si="59"/>
        <v>282.92272375938143</v>
      </c>
      <c r="AN120" s="59">
        <f ca="1">AVERAGE(OFFSET($AM$3,0,0,'Données projet'!$E$10+1,1))-AVERAGE(OFFSET($H$3,0,0,'Données projet'!$E$10+1,1))</f>
        <v>363.98181065114898</v>
      </c>
      <c r="AO120" s="59">
        <f t="shared" si="90"/>
        <v>410.85213343666396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77.49685483695032</v>
      </c>
      <c r="AV120" s="21">
        <f>EXP(-LN(2)/25)*AV119+(1-EXP(-LN(2)/25))/(LN(2)/25)*Calculateur!AQ120*Calculateur!AS120*VLOOKUP('Données projet'!$B$10,Paramètres!$A$1:$I$89,3,0)*0.475*44/12</f>
        <v>27.286469776751549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104.78332461370186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67.160742843466309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-9.9316821433603781E-14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433.6995276469014</v>
      </c>
      <c r="BJ120" s="59">
        <f t="shared" si="92"/>
        <v>306.37969720280557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71.905928282485107</v>
      </c>
      <c r="BQ120" s="21">
        <f>EXP(-LN(2)/25)*BQ119+(1-EXP(-LN(2)/25))/(LN(2)/25)*Calculateur!BL120*Calculateur!BN120*VLOOKUP('Données projet'!$B$11,Paramètres!$A$1:$I$89,3,0)*0.475*44/12</f>
        <v>25.874451248055703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97.780379530540813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67.160742843466309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5.5</v>
      </c>
      <c r="BY120" s="12">
        <f>IF('Données projet'!$A$114&gt;35,BY119+BX120-CG119,IF(A120&lt;'Données projet'!$A$114,$BV$205^A120,IF(A120='Données projet'!$A$114,'Données projet'!$B$114,BY119+BX120-CG119)))</f>
        <v>243</v>
      </c>
      <c r="BZ120" s="13">
        <f>BY120*VLOOKUP('Données projet'!$B$12,Paramètres!$A$1:$I$89,3,0)*VLOOKUP('Données projet'!$B$12,Paramètres!$A$1:$I$89,5,0)</f>
        <v>235.02960000000002</v>
      </c>
      <c r="CA120" s="13">
        <f t="shared" si="93"/>
        <v>57.368825686861157</v>
      </c>
      <c r="CB120" s="20">
        <f t="shared" si="64"/>
        <v>509.26059140461649</v>
      </c>
      <c r="CC120" s="59">
        <f t="shared" si="65"/>
        <v>792.18331516399303</v>
      </c>
      <c r="CD120" s="59">
        <f ca="1">AVERAGE(OFFSET($CC$3,0,0,'Données projet'!$E$12+1,1))-AVERAGE(OFFSET($H$3,0,0,'Données projet'!$E$12+1,1))</f>
        <v>455.95436253828132</v>
      </c>
      <c r="CE120" s="59">
        <f t="shared" si="94"/>
        <v>64.829921296688497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39.112179478511344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39.112179478511344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67.160742843466309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5.6843418860808015E-14</v>
      </c>
      <c r="CU120" s="17">
        <f>CT120*VLOOKUP('Données projet'!$B$13,Paramètres!$A$1:$I$89,3,0)*VLOOKUP('Données projet'!$B$13,Paramètres!$A$1:$I$89,5,0)</f>
        <v>4.4337866711430253E-14</v>
      </c>
      <c r="CV120" s="13">
        <f t="shared" si="95"/>
        <v>7.3222115536967035E-13</v>
      </c>
      <c r="CW120" s="20">
        <f t="shared" si="67"/>
        <v>1.3525069634579169E-12</v>
      </c>
      <c r="CX120" s="59">
        <f t="shared" si="68"/>
        <v>282.92272375937785</v>
      </c>
      <c r="CY120" s="59">
        <f ca="1">AVERAGE(OFFSET($CX$3,0,0,'Données projet'!$E$13+1,1))-AVERAGE(OFFSET($H$3,0,0,'Données projet'!$E$13+1,1))</f>
        <v>306.44760579759713</v>
      </c>
      <c r="CZ120" s="59">
        <f t="shared" si="96"/>
        <v>300.30192123221718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34.184933334457753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34.184933334457753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67.160742843466309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67.160742843466309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67.160742843466309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67.160742843466309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67.160742843466309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4.4000000000000004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16.133333333333336</v>
      </c>
      <c r="H121" s="67">
        <f t="shared" si="56"/>
        <v>192.13333333333333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67.209997607504107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1.1368683772161603E-13</v>
      </c>
      <c r="O121" s="13">
        <f>N121*VLOOKUP('Données projet'!$B$9,Paramètres!$A$1:$I$89,3,0)*VLOOKUP('Données projet'!$B$9,Paramètres!$A$1:$I$89,5,0)</f>
        <v>6.7984728957526396E-14</v>
      </c>
      <c r="P121" s="13">
        <f t="shared" si="87"/>
        <v>1.0682447123141398E-12</v>
      </c>
      <c r="Q121" s="20">
        <f t="shared" si="107"/>
        <v>1.978932943548152E-12</v>
      </c>
      <c r="R121" s="59">
        <f t="shared" si="55"/>
        <v>283.10332456085041</v>
      </c>
      <c r="S121" s="59">
        <f ca="1">AVERAGE(OFFSET($R$3,0,0,'Données projet'!$E$9+1,1))-AVERAGE(OFFSET($H$3,0,0,'Données projet'!$E$9+1,1))</f>
        <v>299.45724561493057</v>
      </c>
      <c r="T121" s="59">
        <f t="shared" si="88"/>
        <v>297.63369027443196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37.819675330531773</v>
      </c>
      <c r="AA121" s="21">
        <f>EXP(-LN(2)/25)*AA120+(1-EXP(-LN(2)/25))/(LN(2)/25)*Calculateur!V121*Calculateur!X121*VLOOKUP('Données projet'!$B$9,Paramètres!$A$1:$I$89,3,0)*0.475*44/12</f>
        <v>14.622010265706541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52.441685596238315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67.209997607504107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3.4106051316484809E-13</v>
      </c>
      <c r="AJ121" s="13">
        <f>AI121*VLOOKUP('Données projet'!$B$10,Paramètres!$A$1:$I$89,3,0)*VLOOKUP('Données projet'!$B$10,Paramètres!$A$1:$I$89,5,0)</f>
        <v>1.9065282685915009E-13</v>
      </c>
      <c r="AK121" s="13">
        <f t="shared" si="89"/>
        <v>2.6568987209435707E-12</v>
      </c>
      <c r="AL121" s="20">
        <f t="shared" si="58"/>
        <v>4.959485612423072E-12</v>
      </c>
      <c r="AM121" s="59">
        <f t="shared" si="59"/>
        <v>283.10332456085337</v>
      </c>
      <c r="AN121" s="59">
        <f ca="1">AVERAGE(OFFSET($AM$3,0,0,'Données projet'!$E$10+1,1))-AVERAGE(OFFSET($H$3,0,0,'Données projet'!$E$10+1,1))</f>
        <v>363.98181065114898</v>
      </c>
      <c r="AO121" s="59">
        <f t="shared" si="90"/>
        <v>410.85213343666396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75.977188782011808</v>
      </c>
      <c r="AV121" s="21">
        <f>EXP(-LN(2)/25)*AV120+(1-EXP(-LN(2)/25))/(LN(2)/25)*Calculateur!AQ121*Calculateur!AS121*VLOOKUP('Données projet'!$B$10,Paramètres!$A$1:$I$89,3,0)*0.475*44/12</f>
        <v>26.540319825773196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102.517508607785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67.209997607504107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-9.9316821433603781E-14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433.6995276469014</v>
      </c>
      <c r="BJ121" s="59">
        <f t="shared" si="92"/>
        <v>306.37969720280557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70.495896887151176</v>
      </c>
      <c r="BQ121" s="21">
        <f>EXP(-LN(2)/25)*BQ120+(1-EXP(-LN(2)/25))/(LN(2)/25)*Calculateur!BL121*Calculateur!BN121*VLOOKUP('Données projet'!$B$11,Paramètres!$A$1:$I$89,3,0)*0.475*44/12</f>
        <v>25.166913017999367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95.662809905150539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67.209997607504107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5.5</v>
      </c>
      <c r="BY121" s="12">
        <f>IF('Données projet'!$A$114&gt;35,BY120+BX121-CG120,IF(A121&lt;'Données projet'!$A$114,$BV$205^A121,IF(A121='Données projet'!$A$114,'Données projet'!$B$114,BY120+BX121-CG120)))</f>
        <v>248.5</v>
      </c>
      <c r="BZ121" s="13">
        <f>BY121*VLOOKUP('Données projet'!$B$12,Paramètres!$A$1:$I$89,3,0)*VLOOKUP('Données projet'!$B$12,Paramètres!$A$1:$I$89,5,0)</f>
        <v>240.3492</v>
      </c>
      <c r="CA121" s="13">
        <f t="shared" si="93"/>
        <v>58.514656204487103</v>
      </c>
      <c r="CB121" s="20">
        <f t="shared" si="64"/>
        <v>520.52121622281493</v>
      </c>
      <c r="CC121" s="59">
        <f t="shared" si="65"/>
        <v>803.62454078366341</v>
      </c>
      <c r="CD121" s="59">
        <f ca="1">AVERAGE(OFFSET($CC$3,0,0,'Données projet'!$E$12+1,1))-AVERAGE(OFFSET($H$3,0,0,'Données projet'!$E$12+1,1))</f>
        <v>455.95436253828132</v>
      </c>
      <c r="CE121" s="59">
        <f t="shared" si="94"/>
        <v>64.829921296688497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38.345213495011627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38.345213495011627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67.209997607504107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5.6843418860808015E-14</v>
      </c>
      <c r="CU121" s="17">
        <f>CT121*VLOOKUP('Données projet'!$B$13,Paramètres!$A$1:$I$89,3,0)*VLOOKUP('Données projet'!$B$13,Paramètres!$A$1:$I$89,5,0)</f>
        <v>4.4337866711430253E-14</v>
      </c>
      <c r="CV121" s="13">
        <f t="shared" si="95"/>
        <v>7.3222115536967035E-13</v>
      </c>
      <c r="CW121" s="20">
        <f t="shared" si="67"/>
        <v>1.3525069634579169E-12</v>
      </c>
      <c r="CX121" s="59">
        <f t="shared" si="68"/>
        <v>283.10332456084979</v>
      </c>
      <c r="CY121" s="59">
        <f ca="1">AVERAGE(OFFSET($CX$3,0,0,'Données projet'!$E$13+1,1))-AVERAGE(OFFSET($H$3,0,0,'Données projet'!$E$13+1,1))</f>
        <v>306.44760579759713</v>
      </c>
      <c r="CZ121" s="59">
        <f t="shared" si="96"/>
        <v>300.30192123221718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33.51458764251953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33.51458764251953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67.209997607504107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67.209997607504107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67.209997607504107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67.209997607504107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67.209997607504107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4.4000000000000004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16.133333333333336</v>
      </c>
      <c r="H122" s="67">
        <f t="shared" si="56"/>
        <v>192.13333333333333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67.25839791150301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1.1368683772161603E-13</v>
      </c>
      <c r="O122" s="13">
        <f>N122*VLOOKUP('Données projet'!$B$9,Paramètres!$A$1:$I$89,3,0)*VLOOKUP('Données projet'!$B$9,Paramètres!$A$1:$I$89,5,0)</f>
        <v>6.7984728957526396E-14</v>
      </c>
      <c r="P122" s="13">
        <f t="shared" si="87"/>
        <v>1.0682447123141398E-12</v>
      </c>
      <c r="Q122" s="20">
        <f t="shared" si="107"/>
        <v>1.978932943548152E-12</v>
      </c>
      <c r="R122" s="59">
        <f t="shared" si="55"/>
        <v>283.28079234217967</v>
      </c>
      <c r="S122" s="59">
        <f ca="1">AVERAGE(OFFSET($R$3,0,0,'Données projet'!$E$9+1,1))-AVERAGE(OFFSET($H$3,0,0,'Données projet'!$E$9+1,1))</f>
        <v>299.45724561493057</v>
      </c>
      <c r="T122" s="59">
        <f t="shared" si="88"/>
        <v>297.63369027443196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37.078054565024246</v>
      </c>
      <c r="AA122" s="21">
        <f>EXP(-LN(2)/25)*AA121+(1-EXP(-LN(2)/25))/(LN(2)/25)*Calculateur!V122*Calculateur!X122*VLOOKUP('Données projet'!$B$9,Paramètres!$A$1:$I$89,3,0)*0.475*44/12</f>
        <v>14.222170626052694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51.30022519107694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67.25839791150301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3.4106051316484809E-13</v>
      </c>
      <c r="AJ122" s="13">
        <f>AI122*VLOOKUP('Données projet'!$B$10,Paramètres!$A$1:$I$89,3,0)*VLOOKUP('Données projet'!$B$10,Paramètres!$A$1:$I$89,5,0)</f>
        <v>1.9065282685915009E-13</v>
      </c>
      <c r="AK122" s="13">
        <f t="shared" si="89"/>
        <v>2.6568987209435707E-12</v>
      </c>
      <c r="AL122" s="20">
        <f t="shared" si="58"/>
        <v>4.959485612423072E-12</v>
      </c>
      <c r="AM122" s="59">
        <f t="shared" si="59"/>
        <v>283.28079234218262</v>
      </c>
      <c r="AN122" s="59">
        <f ca="1">AVERAGE(OFFSET($AM$3,0,0,'Données projet'!$E$10+1,1))-AVERAGE(OFFSET($H$3,0,0,'Données projet'!$E$10+1,1))</f>
        <v>363.98181065114898</v>
      </c>
      <c r="AO122" s="59">
        <f t="shared" si="90"/>
        <v>410.85213343666396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74.487322451505875</v>
      </c>
      <c r="AV122" s="21">
        <f>EXP(-LN(2)/25)*AV121+(1-EXP(-LN(2)/25))/(LN(2)/25)*Calculateur!AQ122*Calculateur!AS122*VLOOKUP('Données projet'!$B$10,Paramètres!$A$1:$I$89,3,0)*0.475*44/12</f>
        <v>25.814573384442667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100.30189583594854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67.25839791150301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-9.9316821433603781E-14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433.6995276469014</v>
      </c>
      <c r="BJ122" s="59">
        <f t="shared" si="92"/>
        <v>306.37969720280557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69.113515347445514</v>
      </c>
      <c r="BQ122" s="21">
        <f>EXP(-LN(2)/25)*BQ121+(1-EXP(-LN(2)/25))/(LN(2)/25)*Calculateur!BL122*Calculateur!BN122*VLOOKUP('Données projet'!$B$11,Paramètres!$A$1:$I$89,3,0)*0.475*44/12</f>
        <v>24.478722458051738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93.592237805497248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67.25839791150301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5.5</v>
      </c>
      <c r="BY122" s="12">
        <f>IF('Données projet'!$A$114&gt;35,BY121+BX122-CG121,IF(A122&lt;'Données projet'!$A$114,$BV$205^A122,IF(A122='Données projet'!$A$114,'Données projet'!$B$114,BY121+BX122-CG121)))</f>
        <v>254</v>
      </c>
      <c r="BZ122" s="13">
        <f>BY122*VLOOKUP('Données projet'!$B$12,Paramètres!$A$1:$I$89,3,0)*VLOOKUP('Données projet'!$B$12,Paramètres!$A$1:$I$89,5,0)</f>
        <v>245.6688</v>
      </c>
      <c r="CA122" s="13">
        <f t="shared" si="93"/>
        <v>59.657538312400263</v>
      </c>
      <c r="CB122" s="20">
        <f t="shared" si="64"/>
        <v>531.77670589409706</v>
      </c>
      <c r="CC122" s="59">
        <f t="shared" si="65"/>
        <v>815.0574982362748</v>
      </c>
      <c r="CD122" s="59">
        <f ca="1">AVERAGE(OFFSET($CC$3,0,0,'Données projet'!$E$12+1,1))-AVERAGE(OFFSET($H$3,0,0,'Données projet'!$E$12+1,1))</f>
        <v>455.95436253828132</v>
      </c>
      <c r="CE122" s="59">
        <f t="shared" si="94"/>
        <v>64.829921296688497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37.593287246645282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37.593287246645282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67.25839791150301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5.6843418860808015E-14</v>
      </c>
      <c r="CU122" s="17">
        <f>CT122*VLOOKUP('Données projet'!$B$13,Paramètres!$A$1:$I$89,3,0)*VLOOKUP('Données projet'!$B$13,Paramètres!$A$1:$I$89,5,0)</f>
        <v>4.4337866711430253E-14</v>
      </c>
      <c r="CV122" s="13">
        <f t="shared" si="95"/>
        <v>7.3222115536967035E-13</v>
      </c>
      <c r="CW122" s="20">
        <f t="shared" si="67"/>
        <v>1.3525069634579169E-12</v>
      </c>
      <c r="CX122" s="59">
        <f t="shared" si="68"/>
        <v>283.28079234217904</v>
      </c>
      <c r="CY122" s="59">
        <f ca="1">AVERAGE(OFFSET($CX$3,0,0,'Données projet'!$E$13+1,1))-AVERAGE(OFFSET($H$3,0,0,'Données projet'!$E$13+1,1))</f>
        <v>306.44760579759713</v>
      </c>
      <c r="CZ122" s="59">
        <f t="shared" si="96"/>
        <v>300.30192123221718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32.857387020729718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32.857387020729718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67.25839791150301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67.25839791150301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67.25839791150301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67.25839791150301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67.25839791150301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4.4000000000000004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16.133333333333336</v>
      </c>
      <c r="H123" s="67">
        <f t="shared" si="56"/>
        <v>192.13333333333333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67.305958578434399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1.1368683772161603E-13</v>
      </c>
      <c r="O123" s="13">
        <f>N123*VLOOKUP('Données projet'!$B$9,Paramètres!$A$1:$I$89,3,0)*VLOOKUP('Données projet'!$B$9,Paramètres!$A$1:$I$89,5,0)</f>
        <v>6.7984728957526396E-14</v>
      </c>
      <c r="P123" s="13">
        <f t="shared" si="87"/>
        <v>1.0682447123141398E-12</v>
      </c>
      <c r="Q123" s="20">
        <f t="shared" si="107"/>
        <v>1.978932943548152E-12</v>
      </c>
      <c r="R123" s="59">
        <f t="shared" si="55"/>
        <v>283.45518145426144</v>
      </c>
      <c r="S123" s="59">
        <f ca="1">AVERAGE(OFFSET($R$3,0,0,'Données projet'!$E$9+1,1))-AVERAGE(OFFSET($H$3,0,0,'Données projet'!$E$9+1,1))</f>
        <v>299.45724561493057</v>
      </c>
      <c r="T123" s="59">
        <f t="shared" si="88"/>
        <v>297.63369027443196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36.350976530384322</v>
      </c>
      <c r="AA123" s="21">
        <f>EXP(-LN(2)/25)*AA122+(1-EXP(-LN(2)/25))/(LN(2)/25)*Calculateur!V123*Calculateur!X123*VLOOKUP('Données projet'!$B$9,Paramètres!$A$1:$I$89,3,0)*0.475*44/12</f>
        <v>13.833264622371836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50.184241152756158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67.305958578434399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3.4106051316484809E-13</v>
      </c>
      <c r="AJ123" s="13">
        <f>AI123*VLOOKUP('Données projet'!$B$10,Paramètres!$A$1:$I$89,3,0)*VLOOKUP('Données projet'!$B$10,Paramètres!$A$1:$I$89,5,0)</f>
        <v>1.9065282685915009E-13</v>
      </c>
      <c r="AK123" s="13">
        <f t="shared" si="89"/>
        <v>2.6568987209435707E-12</v>
      </c>
      <c r="AL123" s="20">
        <f t="shared" si="58"/>
        <v>4.959485612423072E-12</v>
      </c>
      <c r="AM123" s="59">
        <f t="shared" si="59"/>
        <v>283.45518145426439</v>
      </c>
      <c r="AN123" s="59">
        <f ca="1">AVERAGE(OFFSET($AM$3,0,0,'Données projet'!$E$10+1,1))-AVERAGE(OFFSET($H$3,0,0,'Données projet'!$E$10+1,1))</f>
        <v>363.98181065114898</v>
      </c>
      <c r="AO123" s="59">
        <f t="shared" si="90"/>
        <v>410.85213343666396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73.026671491012422</v>
      </c>
      <c r="AV123" s="21">
        <f>EXP(-LN(2)/25)*AV122+(1-EXP(-LN(2)/25))/(LN(2)/25)*Calculateur!AQ123*Calculateur!AS123*VLOOKUP('Données projet'!$B$10,Paramètres!$A$1:$I$89,3,0)*0.475*44/12</f>
        <v>25.108672517715668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98.135344008728083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67.305958578434399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-9.9316821433603781E-14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433.6995276469014</v>
      </c>
      <c r="BJ123" s="59">
        <f t="shared" si="92"/>
        <v>306.37969720280557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67.758241466564002</v>
      </c>
      <c r="BQ123" s="21">
        <f>EXP(-LN(2)/25)*BQ122+(1-EXP(-LN(2)/25))/(LN(2)/25)*Calculateur!BL123*Calculateur!BN123*VLOOKUP('Données projet'!$B$11,Paramètres!$A$1:$I$89,3,0)*0.475*44/12</f>
        <v>23.809350505156246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91.567591971720248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67.305958578434399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5.5</v>
      </c>
      <c r="BY123" s="12">
        <f>IF('Données projet'!$A$114&gt;35,BY122+BX123-CG122,IF(A123&lt;'Données projet'!$A$114,$BV$205^A123,IF(A123='Données projet'!$A$114,'Données projet'!$B$114,BY122+BX123-CG122)))</f>
        <v>259.5</v>
      </c>
      <c r="BZ123" s="13">
        <f>BY123*VLOOKUP('Données projet'!$B$12,Paramètres!$A$1:$I$89,3,0)*VLOOKUP('Données projet'!$B$12,Paramètres!$A$1:$I$89,5,0)</f>
        <v>250.98839999999998</v>
      </c>
      <c r="CA123" s="13">
        <f t="shared" si="93"/>
        <v>60.797543206993325</v>
      </c>
      <c r="CB123" s="20">
        <f t="shared" si="64"/>
        <v>543.02718441884656</v>
      </c>
      <c r="CC123" s="59">
        <f t="shared" si="65"/>
        <v>826.482365873106</v>
      </c>
      <c r="CD123" s="59">
        <f ca="1">AVERAGE(OFFSET($CC$3,0,0,'Données projet'!$E$12+1,1))-AVERAGE(OFFSET($H$3,0,0,'Données projet'!$E$12+1,1))</f>
        <v>455.95436253828132</v>
      </c>
      <c r="CE123" s="59">
        <f t="shared" si="94"/>
        <v>64.829921296688497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36.856105813379678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36.856105813379678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67.305958578434399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5.6843418860808015E-14</v>
      </c>
      <c r="CU123" s="17">
        <f>CT123*VLOOKUP('Données projet'!$B$13,Paramètres!$A$1:$I$89,3,0)*VLOOKUP('Données projet'!$B$13,Paramètres!$A$1:$I$89,5,0)</f>
        <v>4.4337866711430253E-14</v>
      </c>
      <c r="CV123" s="13">
        <f t="shared" si="95"/>
        <v>7.3222115536967035E-13</v>
      </c>
      <c r="CW123" s="20">
        <f t="shared" si="67"/>
        <v>1.3525069634579169E-12</v>
      </c>
      <c r="CX123" s="59">
        <f t="shared" si="68"/>
        <v>283.45518145426081</v>
      </c>
      <c r="CY123" s="59">
        <f ca="1">AVERAGE(OFFSET($CX$3,0,0,'Données projet'!$E$13+1,1))-AVERAGE(OFFSET($H$3,0,0,'Données projet'!$E$13+1,1))</f>
        <v>306.44760579759713</v>
      </c>
      <c r="CZ123" s="59">
        <f t="shared" si="96"/>
        <v>300.30192123221718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32.213073702280404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32.213073702280404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67.305958578434399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67.305958578434399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67.305958578434399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67.305958578434399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67.305958578434399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4.4000000000000004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16.133333333333336</v>
      </c>
      <c r="H124" s="67">
        <f t="shared" si="56"/>
        <v>192.13333333333333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67.352694174124252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1.1368683772161603E-13</v>
      </c>
      <c r="O124" s="13">
        <f>N124*VLOOKUP('Données projet'!$B$9,Paramètres!$A$1:$I$89,3,0)*VLOOKUP('Données projet'!$B$9,Paramètres!$A$1:$I$89,5,0)</f>
        <v>6.7984728957526396E-14</v>
      </c>
      <c r="P124" s="13">
        <f t="shared" si="87"/>
        <v>1.0682447123141398E-12</v>
      </c>
      <c r="Q124" s="20">
        <f t="shared" si="107"/>
        <v>1.978932943548152E-12</v>
      </c>
      <c r="R124" s="59">
        <f t="shared" si="55"/>
        <v>283.62654530512424</v>
      </c>
      <c r="S124" s="59">
        <f ca="1">AVERAGE(OFFSET($R$3,0,0,'Données projet'!$E$9+1,1))-AVERAGE(OFFSET($H$3,0,0,'Données projet'!$E$9+1,1))</f>
        <v>299.45724561493057</v>
      </c>
      <c r="T124" s="59">
        <f t="shared" si="88"/>
        <v>297.63369027443196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35.638156052529872</v>
      </c>
      <c r="AA124" s="21">
        <f>EXP(-LN(2)/25)*AA123+(1-EXP(-LN(2)/25))/(LN(2)/25)*Calculateur!V124*Calculateur!X124*VLOOKUP('Données projet'!$B$9,Paramètres!$A$1:$I$89,3,0)*0.475*44/12</f>
        <v>13.454993273813308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49.09314932634318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67.352694174124252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3.4106051316484809E-13</v>
      </c>
      <c r="AJ124" s="13">
        <f>AI124*VLOOKUP('Données projet'!$B$10,Paramètres!$A$1:$I$89,3,0)*VLOOKUP('Données projet'!$B$10,Paramètres!$A$1:$I$89,5,0)</f>
        <v>1.9065282685915009E-13</v>
      </c>
      <c r="AK124" s="13">
        <f t="shared" si="89"/>
        <v>2.6568987209435707E-12</v>
      </c>
      <c r="AL124" s="20">
        <f t="shared" si="58"/>
        <v>4.959485612423072E-12</v>
      </c>
      <c r="AM124" s="59">
        <f t="shared" si="59"/>
        <v>283.62654530512719</v>
      </c>
      <c r="AN124" s="59">
        <f ca="1">AVERAGE(OFFSET($AM$3,0,0,'Données projet'!$E$10+1,1))-AVERAGE(OFFSET($H$3,0,0,'Données projet'!$E$10+1,1))</f>
        <v>363.98181065114898</v>
      </c>
      <c r="AO124" s="59">
        <f t="shared" si="90"/>
        <v>410.85213343666396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71.594663004945133</v>
      </c>
      <c r="AV124" s="21">
        <f>EXP(-LN(2)/25)*AV123+(1-EXP(-LN(2)/25))/(LN(2)/25)*Calculateur!AQ124*Calculateur!AS124*VLOOKUP('Données projet'!$B$10,Paramètres!$A$1:$I$89,3,0)*0.475*44/12</f>
        <v>24.422074547311031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96.01673755225616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67.352694174124252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-9.9316821433603781E-14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433.6995276469014</v>
      </c>
      <c r="BJ124" s="59">
        <f t="shared" si="92"/>
        <v>306.37969720280557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66.429543679851136</v>
      </c>
      <c r="BQ124" s="21">
        <f>EXP(-LN(2)/25)*BQ123+(1-EXP(-LN(2)/25))/(LN(2)/25)*Calculateur!BL124*Calculateur!BN124*VLOOKUP('Données projet'!$B$11,Paramètres!$A$1:$I$89,3,0)*0.475*44/12</f>
        <v>23.158282563513421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89.58782624336456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67.352694174124252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5.5</v>
      </c>
      <c r="BY124" s="12">
        <f>IF('Données projet'!$A$114&gt;35,BY123+BX124-CG123,IF(A124&lt;'Données projet'!$A$114,$BV$205^A124,IF(A124='Données projet'!$A$114,'Données projet'!$B$114,BY123+BX124-CG123)))</f>
        <v>265</v>
      </c>
      <c r="BZ124" s="13">
        <f>BY124*VLOOKUP('Données projet'!$B$12,Paramètres!$A$1:$I$89,3,0)*VLOOKUP('Données projet'!$B$12,Paramètres!$A$1:$I$89,5,0)</f>
        <v>256.30800000000005</v>
      </c>
      <c r="CA124" s="13">
        <f t="shared" si="93"/>
        <v>61.934738894273906</v>
      </c>
      <c r="CB124" s="20">
        <f t="shared" si="64"/>
        <v>554.27277024086038</v>
      </c>
      <c r="CC124" s="59">
        <f t="shared" si="65"/>
        <v>837.89931554598263</v>
      </c>
      <c r="CD124" s="59">
        <f ca="1">AVERAGE(OFFSET($CC$3,0,0,'Données projet'!$E$12+1,1))-AVERAGE(OFFSET($H$3,0,0,'Données projet'!$E$12+1,1))</f>
        <v>455.95436253828132</v>
      </c>
      <c r="CE124" s="59">
        <f t="shared" si="94"/>
        <v>64.829921296688497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36.133380058384134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36.133380058384134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67.352694174124252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5.6843418860808015E-14</v>
      </c>
      <c r="CU124" s="17">
        <f>CT124*VLOOKUP('Données projet'!$B$13,Paramètres!$A$1:$I$89,3,0)*VLOOKUP('Données projet'!$B$13,Paramètres!$A$1:$I$89,5,0)</f>
        <v>4.4337866711430253E-14</v>
      </c>
      <c r="CV124" s="13">
        <f t="shared" si="95"/>
        <v>7.3222115536967035E-13</v>
      </c>
      <c r="CW124" s="20">
        <f t="shared" si="67"/>
        <v>1.3525069634579169E-12</v>
      </c>
      <c r="CX124" s="59">
        <f t="shared" si="68"/>
        <v>283.62654530512361</v>
      </c>
      <c r="CY124" s="59">
        <f ca="1">AVERAGE(OFFSET($CX$3,0,0,'Données projet'!$E$13+1,1))-AVERAGE(OFFSET($H$3,0,0,'Données projet'!$E$13+1,1))</f>
        <v>306.44760579759713</v>
      </c>
      <c r="CZ124" s="59">
        <f t="shared" si="96"/>
        <v>300.30192123221718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31.581394975013563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31.581394975013563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67.352694174124252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67.352694174124252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67.352694174124252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67.352694174124252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67.352694174124252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4.4000000000000004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16.133333333333336</v>
      </c>
      <c r="H125" s="67">
        <f t="shared" si="56"/>
        <v>192.13333333333333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67.398619011714032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1.1368683772161603E-13</v>
      </c>
      <c r="O125" s="13">
        <f>N125*VLOOKUP('Données projet'!$B$9,Paramètres!$A$1:$I$89,3,0)*VLOOKUP('Données projet'!$B$9,Paramètres!$A$1:$I$89,5,0)</f>
        <v>6.7984728957526396E-14</v>
      </c>
      <c r="P125" s="13">
        <f t="shared" si="87"/>
        <v>1.0682447123141398E-12</v>
      </c>
      <c r="Q125" s="20">
        <f t="shared" si="107"/>
        <v>1.978932943548152E-12</v>
      </c>
      <c r="R125" s="59">
        <f t="shared" si="55"/>
        <v>283.79493637628678</v>
      </c>
      <c r="S125" s="59">
        <f ca="1">AVERAGE(OFFSET($R$3,0,0,'Données projet'!$E$9+1,1))-AVERAGE(OFFSET($H$3,0,0,'Données projet'!$E$9+1,1))</f>
        <v>299.45724561493057</v>
      </c>
      <c r="T125" s="59">
        <f t="shared" si="88"/>
        <v>297.63369027443196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34.939313549468594</v>
      </c>
      <c r="AA125" s="21">
        <f>EXP(-LN(2)/25)*AA124+(1-EXP(-LN(2)/25))/(LN(2)/25)*Calculateur!V125*Calculateur!X125*VLOOKUP('Données projet'!$B$9,Paramètres!$A$1:$I$89,3,0)*0.475*44/12</f>
        <v>13.087065775173539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48.026379324642136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67.398619011714032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3.4106051316484809E-13</v>
      </c>
      <c r="AJ125" s="13">
        <f>AI125*VLOOKUP('Données projet'!$B$10,Paramètres!$A$1:$I$89,3,0)*VLOOKUP('Données projet'!$B$10,Paramètres!$A$1:$I$89,5,0)</f>
        <v>1.9065282685915009E-13</v>
      </c>
      <c r="AK125" s="13">
        <f t="shared" si="89"/>
        <v>2.6568987209435707E-12</v>
      </c>
      <c r="AL125" s="20">
        <f t="shared" si="58"/>
        <v>4.959485612423072E-12</v>
      </c>
      <c r="AM125" s="59">
        <f t="shared" si="59"/>
        <v>283.79493637628974</v>
      </c>
      <c r="AN125" s="59">
        <f ca="1">AVERAGE(OFFSET($AM$3,0,0,'Données projet'!$E$10+1,1))-AVERAGE(OFFSET($H$3,0,0,'Données projet'!$E$10+1,1))</f>
        <v>363.98181065114898</v>
      </c>
      <c r="AO125" s="59">
        <f t="shared" si="90"/>
        <v>410.85213343666396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70.190735331850689</v>
      </c>
      <c r="AV125" s="21">
        <f>EXP(-LN(2)/25)*AV124+(1-EXP(-LN(2)/25))/(LN(2)/25)*Calculateur!AQ125*Calculateur!AS125*VLOOKUP('Données projet'!$B$10,Paramètres!$A$1:$I$89,3,0)*0.475*44/12</f>
        <v>23.754251634513729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93.944986966364411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67.398619011714032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-9.9316821433603781E-14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433.6995276469014</v>
      </c>
      <c r="BJ125" s="59">
        <f t="shared" si="92"/>
        <v>306.37969720280557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65.126900846310079</v>
      </c>
      <c r="BQ125" s="21">
        <f>EXP(-LN(2)/25)*BQ124+(1-EXP(-LN(2)/25))/(LN(2)/25)*Calculateur!BL125*Calculateur!BN125*VLOOKUP('Données projet'!$B$11,Paramètres!$A$1:$I$89,3,0)*0.475*44/12</f>
        <v>22.525018108972994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87.651918955283065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67.398619011714032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5.5</v>
      </c>
      <c r="BY125" s="12">
        <f>IF('Données projet'!$A$114&gt;35,BY124+BX125-CG124,IF(A125&lt;'Données projet'!$A$114,$BV$205^A125,IF(A125='Données projet'!$A$114,'Données projet'!$B$114,BY124+BX125-CG124)))</f>
        <v>270.5</v>
      </c>
      <c r="BZ125" s="13">
        <f>BY125*VLOOKUP('Données projet'!$B$12,Paramètres!$A$1:$I$89,3,0)*VLOOKUP('Données projet'!$B$12,Paramètres!$A$1:$I$89,5,0)</f>
        <v>261.62760000000003</v>
      </c>
      <c r="CA125" s="13">
        <f t="shared" si="93"/>
        <v>63.06919039602851</v>
      </c>
      <c r="CB125" s="20">
        <f t="shared" si="64"/>
        <v>565.51357660641634</v>
      </c>
      <c r="CC125" s="59">
        <f t="shared" si="65"/>
        <v>849.30851298270113</v>
      </c>
      <c r="CD125" s="59">
        <f ca="1">AVERAGE(OFFSET($CC$3,0,0,'Données projet'!$E$12+1,1))-AVERAGE(OFFSET($H$3,0,0,'Données projet'!$E$12+1,1))</f>
        <v>455.95436253828132</v>
      </c>
      <c r="CE125" s="59">
        <f t="shared" si="94"/>
        <v>64.829921296688497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35.424826514624868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35.424826514624868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67.398619011714032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5.6843418860808015E-14</v>
      </c>
      <c r="CU125" s="17">
        <f>CT125*VLOOKUP('Données projet'!$B$13,Paramètres!$A$1:$I$89,3,0)*VLOOKUP('Données projet'!$B$13,Paramètres!$A$1:$I$89,5,0)</f>
        <v>4.4337866711430253E-14</v>
      </c>
      <c r="CV125" s="13">
        <f t="shared" si="95"/>
        <v>7.3222115536967035E-13</v>
      </c>
      <c r="CW125" s="20">
        <f t="shared" si="67"/>
        <v>1.3525069634579169E-12</v>
      </c>
      <c r="CX125" s="59">
        <f t="shared" si="68"/>
        <v>283.79493637628616</v>
      </c>
      <c r="CY125" s="59">
        <f ca="1">AVERAGE(OFFSET($CX$3,0,0,'Données projet'!$E$13+1,1))-AVERAGE(OFFSET($H$3,0,0,'Données projet'!$E$13+1,1))</f>
        <v>306.44760579759713</v>
      </c>
      <c r="CZ125" s="59">
        <f t="shared" si="96"/>
        <v>300.30192123221718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30.962103082302445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30.962103082302445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67.398619011714032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67.398619011714032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67.398619011714032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67.398619011714032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67.398619011714032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4.4000000000000004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16.133333333333336</v>
      </c>
      <c r="H126" s="67">
        <f t="shared" si="56"/>
        <v>192.13333333333333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67.443747156044168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1.1368683772161603E-13</v>
      </c>
      <c r="O126" s="13">
        <f>N126*VLOOKUP('Données projet'!$B$9,Paramètres!$A$1:$I$89,3,0)*VLOOKUP('Données projet'!$B$9,Paramètres!$A$1:$I$89,5,0)</f>
        <v>6.7984728957526396E-14</v>
      </c>
      <c r="P126" s="13">
        <f t="shared" si="87"/>
        <v>1.0682447123141398E-12</v>
      </c>
      <c r="Q126" s="20">
        <f t="shared" si="107"/>
        <v>1.978932943548152E-12</v>
      </c>
      <c r="R126" s="59">
        <f t="shared" si="55"/>
        <v>283.96040623883061</v>
      </c>
      <c r="S126" s="59">
        <f ca="1">AVERAGE(OFFSET($R$3,0,0,'Données projet'!$E$9+1,1))-AVERAGE(OFFSET($H$3,0,0,'Données projet'!$E$9+1,1))</f>
        <v>299.45724561493057</v>
      </c>
      <c r="T126" s="59">
        <f t="shared" si="88"/>
        <v>297.63369027443196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34.254174921640505</v>
      </c>
      <c r="AA126" s="21">
        <f>EXP(-LN(2)/25)*AA125+(1-EXP(-LN(2)/25))/(LN(2)/25)*Calculateur!V126*Calculateur!X126*VLOOKUP('Données projet'!$B$9,Paramètres!$A$1:$I$89,3,0)*0.475*44/12</f>
        <v>12.72919927333254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46.983374194973045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67.443747156044168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3.4106051316484809E-13</v>
      </c>
      <c r="AJ126" s="13">
        <f>AI126*VLOOKUP('Données projet'!$B$10,Paramètres!$A$1:$I$89,3,0)*VLOOKUP('Données projet'!$B$10,Paramètres!$A$1:$I$89,5,0)</f>
        <v>1.9065282685915009E-13</v>
      </c>
      <c r="AK126" s="13">
        <f t="shared" si="89"/>
        <v>2.6568987209435707E-12</v>
      </c>
      <c r="AL126" s="20">
        <f t="shared" si="58"/>
        <v>4.959485612423072E-12</v>
      </c>
      <c r="AM126" s="59">
        <f t="shared" si="59"/>
        <v>283.96040623883357</v>
      </c>
      <c r="AN126" s="59">
        <f ca="1">AVERAGE(OFFSET($AM$3,0,0,'Données projet'!$E$10+1,1))-AVERAGE(OFFSET($H$3,0,0,'Données projet'!$E$10+1,1))</f>
        <v>363.98181065114898</v>
      </c>
      <c r="AO126" s="59">
        <f t="shared" si="90"/>
        <v>410.85213343666396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68.814337824114304</v>
      </c>
      <c r="AV126" s="21">
        <f>EXP(-LN(2)/25)*AV125+(1-EXP(-LN(2)/25))/(LN(2)/25)*Calculateur!AQ126*Calculateur!AS126*VLOOKUP('Données projet'!$B$10,Paramètres!$A$1:$I$89,3,0)*0.475*44/12</f>
        <v>23.104690374386148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91.919028198500456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67.443747156044168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-9.9316821433603781E-14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433.6995276469014</v>
      </c>
      <c r="BJ126" s="59">
        <f t="shared" si="92"/>
        <v>306.37969720280557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63.849802044201084</v>
      </c>
      <c r="BQ126" s="21">
        <f>EXP(-LN(2)/25)*BQ125+(1-EXP(-LN(2)/25))/(LN(2)/25)*Calculateur!BL126*Calculateur!BN126*VLOOKUP('Données projet'!$B$11,Paramètres!$A$1:$I$89,3,0)*0.475*44/12</f>
        <v>21.909070304243905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85.758872348444982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67.443747156044168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5.5</v>
      </c>
      <c r="BY126" s="12">
        <f>IF('Données projet'!$A$114&gt;35,BY125+BX126-CG125,IF(A126&lt;'Données projet'!$A$114,$BV$205^A126,IF(A126='Données projet'!$A$114,'Données projet'!$B$114,BY125+BX126-CG125)))</f>
        <v>276</v>
      </c>
      <c r="BZ126" s="13">
        <f>BY126*VLOOKUP('Données projet'!$B$12,Paramètres!$A$1:$I$89,3,0)*VLOOKUP('Données projet'!$B$12,Paramètres!$A$1:$I$89,5,0)</f>
        <v>266.94720000000001</v>
      </c>
      <c r="CA126" s="13">
        <f t="shared" si="93"/>
        <v>64.200959938746379</v>
      </c>
      <c r="CB126" s="20">
        <f t="shared" si="64"/>
        <v>576.74971189331666</v>
      </c>
      <c r="CC126" s="59">
        <f t="shared" si="65"/>
        <v>860.71011813214523</v>
      </c>
      <c r="CD126" s="59">
        <f ca="1">AVERAGE(OFFSET($CC$3,0,0,'Données projet'!$E$12+1,1))-AVERAGE(OFFSET($H$3,0,0,'Données projet'!$E$12+1,1))</f>
        <v>455.95436253828132</v>
      </c>
      <c r="CE126" s="59">
        <f t="shared" si="94"/>
        <v>64.829921296688497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34.730167273683733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34.730167273683733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67.443747156044168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5.6843418860808015E-14</v>
      </c>
      <c r="CU126" s="17">
        <f>CT126*VLOOKUP('Données projet'!$B$13,Paramètres!$A$1:$I$89,3,0)*VLOOKUP('Données projet'!$B$13,Paramètres!$A$1:$I$89,5,0)</f>
        <v>4.4337866711430253E-14</v>
      </c>
      <c r="CV126" s="13">
        <f t="shared" si="95"/>
        <v>7.3222115536967035E-13</v>
      </c>
      <c r="CW126" s="20">
        <f t="shared" si="67"/>
        <v>1.3525069634579169E-12</v>
      </c>
      <c r="CX126" s="59">
        <f t="shared" si="68"/>
        <v>283.96040623882999</v>
      </c>
      <c r="CY126" s="59">
        <f ca="1">AVERAGE(OFFSET($CX$3,0,0,'Données projet'!$E$13+1,1))-AVERAGE(OFFSET($H$3,0,0,'Données projet'!$E$13+1,1))</f>
        <v>306.44760579759713</v>
      </c>
      <c r="CZ126" s="59">
        <f t="shared" si="96"/>
        <v>300.30192123221718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30.354955125876632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30.354955125876632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67.443747156044168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67.443747156044168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67.443747156044168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67.443747156044168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67.443747156044168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4.4000000000000004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16.133333333333336</v>
      </c>
      <c r="H127" s="67">
        <f t="shared" si="56"/>
        <v>192.13333333333333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67.488092427961604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1.1368683772161603E-13</v>
      </c>
      <c r="O127" s="13">
        <f>N127*VLOOKUP('Données projet'!$B$9,Paramètres!$A$1:$I$89,3,0)*VLOOKUP('Données projet'!$B$9,Paramètres!$A$1:$I$89,5,0)</f>
        <v>6.7984728957526396E-14</v>
      </c>
      <c r="P127" s="13">
        <f t="shared" si="87"/>
        <v>1.0682447123141398E-12</v>
      </c>
      <c r="Q127" s="20">
        <f t="shared" si="107"/>
        <v>1.978932943548152E-12</v>
      </c>
      <c r="R127" s="59">
        <f t="shared" si="55"/>
        <v>284.12300556919456</v>
      </c>
      <c r="S127" s="59">
        <f ca="1">AVERAGE(OFFSET($R$3,0,0,'Données projet'!$E$9+1,1))-AVERAGE(OFFSET($H$3,0,0,'Données projet'!$E$9+1,1))</f>
        <v>299.45724561493057</v>
      </c>
      <c r="T127" s="59">
        <f t="shared" si="88"/>
        <v>297.63369027443196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33.582471444410828</v>
      </c>
      <c r="AA127" s="21">
        <f>EXP(-LN(2)/25)*AA126+(1-EXP(-LN(2)/25))/(LN(2)/25)*Calculateur!V127*Calculateur!X127*VLOOKUP('Données projet'!$B$9,Paramètres!$A$1:$I$89,3,0)*0.475*44/12</f>
        <v>12.381118649803765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45.963590094214595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67.488092427961604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3.4106051316484809E-13</v>
      </c>
      <c r="AJ127" s="13">
        <f>AI127*VLOOKUP('Données projet'!$B$10,Paramètres!$A$1:$I$89,3,0)*VLOOKUP('Données projet'!$B$10,Paramètres!$A$1:$I$89,5,0)</f>
        <v>1.9065282685915009E-13</v>
      </c>
      <c r="AK127" s="13">
        <f t="shared" si="89"/>
        <v>2.6568987209435707E-12</v>
      </c>
      <c r="AL127" s="20">
        <f t="shared" si="58"/>
        <v>4.959485612423072E-12</v>
      </c>
      <c r="AM127" s="59">
        <f t="shared" si="59"/>
        <v>284.12300556919752</v>
      </c>
      <c r="AN127" s="59">
        <f ca="1">AVERAGE(OFFSET($AM$3,0,0,'Données projet'!$E$10+1,1))-AVERAGE(OFFSET($H$3,0,0,'Données projet'!$E$10+1,1))</f>
        <v>363.98181065114898</v>
      </c>
      <c r="AO127" s="59">
        <f t="shared" si="90"/>
        <v>410.85213343666396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67.464930631985041</v>
      </c>
      <c r="AV127" s="21">
        <f>EXP(-LN(2)/25)*AV126+(1-EXP(-LN(2)/25))/(LN(2)/25)*Calculateur!AQ127*Calculateur!AS127*VLOOKUP('Données projet'!$B$10,Paramètres!$A$1:$I$89,3,0)*0.475*44/12</f>
        <v>22.472891401075699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89.937822033060741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67.488092427961604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-9.9316821433603781E-14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433.6995276469014</v>
      </c>
      <c r="BJ127" s="59">
        <f t="shared" si="92"/>
        <v>306.37969720280557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62.597746370648096</v>
      </c>
      <c r="BQ127" s="21">
        <f>EXP(-LN(2)/25)*BQ126+(1-EXP(-LN(2)/25))/(LN(2)/25)*Calculateur!BL127*Calculateur!BN127*VLOOKUP('Données projet'!$B$11,Paramètres!$A$1:$I$89,3,0)*0.475*44/12</f>
        <v>21.309965624626422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83.907711995274525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67.488092427961604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5.5</v>
      </c>
      <c r="BY127" s="12">
        <f>IF('Données projet'!$A$114&gt;35,BY126+BX127-CG126,IF(A127&lt;'Données projet'!$A$114,$BV$205^A127,IF(A127='Données projet'!$A$114,'Données projet'!$B$114,BY126+BX127-CG126)))</f>
        <v>281.5</v>
      </c>
      <c r="BZ127" s="13">
        <f>BY127*VLOOKUP('Données projet'!$B$12,Paramètres!$A$1:$I$89,3,0)*VLOOKUP('Données projet'!$B$12,Paramètres!$A$1:$I$89,5,0)</f>
        <v>272.26679999999999</v>
      </c>
      <c r="CA127" s="13">
        <f t="shared" si="93"/>
        <v>65.330107127057843</v>
      </c>
      <c r="CB127" s="20">
        <f t="shared" si="64"/>
        <v>587.98127991295894</v>
      </c>
      <c r="CC127" s="59">
        <f t="shared" si="65"/>
        <v>872.10428548215145</v>
      </c>
      <c r="CD127" s="59">
        <f ca="1">AVERAGE(OFFSET($CC$3,0,0,'Données projet'!$E$12+1,1))-AVERAGE(OFFSET($H$3,0,0,'Données projet'!$E$12+1,1))</f>
        <v>455.95436253828132</v>
      </c>
      <c r="CE127" s="59">
        <f t="shared" si="94"/>
        <v>64.829921296688497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34.049129876757156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34.049129876757156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67.488092427961604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5.6843418860808015E-14</v>
      </c>
      <c r="CU127" s="17">
        <f>CT127*VLOOKUP('Données projet'!$B$13,Paramètres!$A$1:$I$89,3,0)*VLOOKUP('Données projet'!$B$13,Paramètres!$A$1:$I$89,5,0)</f>
        <v>4.4337866711430253E-14</v>
      </c>
      <c r="CV127" s="13">
        <f t="shared" si="95"/>
        <v>7.3222115536967035E-13</v>
      </c>
      <c r="CW127" s="20">
        <f t="shared" si="67"/>
        <v>1.3525069634579169E-12</v>
      </c>
      <c r="CX127" s="59">
        <f t="shared" si="68"/>
        <v>284.12300556919394</v>
      </c>
      <c r="CY127" s="59">
        <f ca="1">AVERAGE(OFFSET($CX$3,0,0,'Données projet'!$E$13+1,1))-AVERAGE(OFFSET($H$3,0,0,'Données projet'!$E$13+1,1))</f>
        <v>306.44760579759713</v>
      </c>
      <c r="CZ127" s="59">
        <f t="shared" si="96"/>
        <v>300.30192123221718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29.759712970552645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29.759712970552645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67.488092427961604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67.488092427961604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67.488092427961604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67.488092427961604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67.488092427961604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4.4000000000000004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16.133333333333336</v>
      </c>
      <c r="H128" s="67">
        <f t="shared" si="56"/>
        <v>192.13333333333333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67.531668408552434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1.1368683772161603E-13</v>
      </c>
      <c r="O128" s="13">
        <f>N128*VLOOKUP('Données projet'!$B$9,Paramètres!$A$1:$I$89,3,0)*VLOOKUP('Données projet'!$B$9,Paramètres!$A$1:$I$89,5,0)</f>
        <v>6.7984728957526396E-14</v>
      </c>
      <c r="P128" s="13">
        <f t="shared" si="87"/>
        <v>1.0682447123141398E-12</v>
      </c>
      <c r="Q128" s="20">
        <f t="shared" si="107"/>
        <v>1.978932943548152E-12</v>
      </c>
      <c r="R128" s="59">
        <f t="shared" si="55"/>
        <v>284.28278416469425</v>
      </c>
      <c r="S128" s="59">
        <f ca="1">AVERAGE(OFFSET($R$3,0,0,'Données projet'!$E$9+1,1))-AVERAGE(OFFSET($H$3,0,0,'Données projet'!$E$9+1,1))</f>
        <v>299.45724561493057</v>
      </c>
      <c r="T128" s="59">
        <f t="shared" si="88"/>
        <v>297.63369027443196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32.923939662670954</v>
      </c>
      <c r="AA128" s="21">
        <f>EXP(-LN(2)/25)*AA127+(1-EXP(-LN(2)/25))/(LN(2)/25)*Calculateur!V128*Calculateur!X128*VLOOKUP('Données projet'!$B$9,Paramètres!$A$1:$I$89,3,0)*0.475*44/12</f>
        <v>12.042556309230148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44.966495971901104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67.531668408552434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3.4106051316484809E-13</v>
      </c>
      <c r="AJ128" s="13">
        <f>AI128*VLOOKUP('Données projet'!$B$10,Paramètres!$A$1:$I$89,3,0)*VLOOKUP('Données projet'!$B$10,Paramètres!$A$1:$I$89,5,0)</f>
        <v>1.9065282685915009E-13</v>
      </c>
      <c r="AK128" s="13">
        <f t="shared" si="89"/>
        <v>2.6568987209435707E-12</v>
      </c>
      <c r="AL128" s="20">
        <f t="shared" si="58"/>
        <v>4.959485612423072E-12</v>
      </c>
      <c r="AM128" s="59">
        <f t="shared" si="59"/>
        <v>284.2827841646972</v>
      </c>
      <c r="AN128" s="59">
        <f ca="1">AVERAGE(OFFSET($AM$3,0,0,'Données projet'!$E$10+1,1))-AVERAGE(OFFSET($H$3,0,0,'Données projet'!$E$10+1,1))</f>
        <v>363.98181065114898</v>
      </c>
      <c r="AO128" s="59">
        <f t="shared" si="90"/>
        <v>410.85213343666396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66.141984491836325</v>
      </c>
      <c r="AV128" s="21">
        <f>EXP(-LN(2)/25)*AV127+(1-EXP(-LN(2)/25))/(LN(2)/25)*Calculateur!AQ128*Calculateur!AS128*VLOOKUP('Données projet'!$B$10,Paramètres!$A$1:$I$89,3,0)*0.475*44/12</f>
        <v>21.858369003915289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88.000353495751611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67.531668408552434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-9.9316821433603781E-14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433.6995276469014</v>
      </c>
      <c r="BJ128" s="59">
        <f t="shared" si="92"/>
        <v>306.37969720280557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61.370242745174927</v>
      </c>
      <c r="BQ128" s="21">
        <f>EXP(-LN(2)/25)*BQ127+(1-EXP(-LN(2)/25))/(LN(2)/25)*Calculateur!BL128*Calculateur!BN128*VLOOKUP('Données projet'!$B$11,Paramètres!$A$1:$I$89,3,0)*0.475*44/12</f>
        <v>20.727243493978623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82.097486239153554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67.531668408552434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>
        <f>VLOOKUP(A128,'Données projet'!$A$113:$I$133,2,0)</f>
        <v>287</v>
      </c>
      <c r="BW128" s="12">
        <f>VLOOKUP(A128,'Données projet'!$A$113:$I$133,9,0)</f>
        <v>5.5</v>
      </c>
      <c r="BX128" s="12">
        <f t="array" ref="BX128">INDEX(BW:BW,MIN(IF(ISNUMBER(BW128:BW324),ROW(BW128:BW324),"")))</f>
        <v>5.5</v>
      </c>
      <c r="BY128" s="12">
        <f>IF('Données projet'!$A$114&gt;35,BY127+BX128-CG127,IF(A128&lt;'Données projet'!$A$114,$BV$205^A128,IF(A128='Données projet'!$A$114,'Données projet'!$B$114,BY127+BX128-CG127)))</f>
        <v>287</v>
      </c>
      <c r="BZ128" s="13">
        <f>BY128*VLOOKUP('Données projet'!$B$12,Paramètres!$A$1:$I$89,3,0)*VLOOKUP('Données projet'!$B$12,Paramètres!$A$1:$I$89,5,0)</f>
        <v>277.58640000000003</v>
      </c>
      <c r="CA128" s="13">
        <f t="shared" si="93"/>
        <v>66.456689103235576</v>
      </c>
      <c r="CB128" s="20">
        <f t="shared" si="64"/>
        <v>599.20838018813527</v>
      </c>
      <c r="CC128" s="59">
        <f t="shared" si="65"/>
        <v>883.49116435282758</v>
      </c>
      <c r="CD128" s="59">
        <f ca="1">AVERAGE(OFFSET($CC$3,0,0,'Données projet'!$E$12+1,1))-AVERAGE(OFFSET($H$3,0,0,'Données projet'!$E$12+1,1))</f>
        <v>455.95436253828132</v>
      </c>
      <c r="CE128" s="59">
        <f t="shared" si="94"/>
        <v>64.829921296688497</v>
      </c>
      <c r="CF128" s="15">
        <f>IF(ISNA(VLOOKUP(A128,'Données projet'!$A$113:$I$133,3,0)),0,VLOOKUP(A128,'Données projet'!$A$113:$I$133,3,0))</f>
        <v>11</v>
      </c>
      <c r="CG128" s="15">
        <f>IF(ISNA(VLOOKUP(A128,'Données projet'!$A$113:$I$133,4,0)),0,VLOOKUP(A128,'Données projet'!$A$113:$I$133,4,0))</f>
        <v>38</v>
      </c>
      <c r="CH128" s="16">
        <f>IF(ISNA(VLOOKUP(A128,'Données projet'!$A$113:$I$133,5,0)),0%,VLOOKUP(A128,'Données projet'!$A$113:$I$133,5,0)*VLOOKUP('Données projet'!$B$12,Paramètres!$A$1:$I$89,7,0))</f>
        <v>0.25800000000000001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43.863991372222685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43.863991372222685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67.531668408552434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5.6843418860808015E-14</v>
      </c>
      <c r="CU128" s="17">
        <f>CT128*VLOOKUP('Données projet'!$B$13,Paramètres!$A$1:$I$89,3,0)*VLOOKUP('Données projet'!$B$13,Paramètres!$A$1:$I$89,5,0)</f>
        <v>4.4337866711430253E-14</v>
      </c>
      <c r="CV128" s="13">
        <f t="shared" si="95"/>
        <v>7.3222115536967035E-13</v>
      </c>
      <c r="CW128" s="20">
        <f t="shared" si="67"/>
        <v>1.3525069634579169E-12</v>
      </c>
      <c r="CX128" s="59">
        <f t="shared" si="68"/>
        <v>284.28278416469362</v>
      </c>
      <c r="CY128" s="59">
        <f ca="1">AVERAGE(OFFSET($CX$3,0,0,'Données projet'!$E$13+1,1))-AVERAGE(OFFSET($H$3,0,0,'Données projet'!$E$13+1,1))</f>
        <v>306.44760579759713</v>
      </c>
      <c r="CZ128" s="59">
        <f t="shared" si="96"/>
        <v>300.30192123221718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29.176143150832694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29.176143150832694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67.531668408552434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67.531668408552434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67.531668408552434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67.531668408552434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67.531668408552434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4.4000000000000004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16.133333333333336</v>
      </c>
      <c r="H129" s="67">
        <f t="shared" si="56"/>
        <v>192.13333333333333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67.57448844330132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1.1368683772161603E-13</v>
      </c>
      <c r="O129" s="13">
        <f>N129*VLOOKUP('Données projet'!$B$9,Paramètres!$A$1:$I$89,3,0)*VLOOKUP('Données projet'!$B$9,Paramètres!$A$1:$I$89,5,0)</f>
        <v>6.7984728957526396E-14</v>
      </c>
      <c r="P129" s="13">
        <f t="shared" si="87"/>
        <v>1.0682447123141398E-12</v>
      </c>
      <c r="Q129" s="20">
        <f t="shared" si="107"/>
        <v>1.978932943548152E-12</v>
      </c>
      <c r="R129" s="59">
        <f t="shared" si="55"/>
        <v>284.43979095877353</v>
      </c>
      <c r="S129" s="59">
        <f ca="1">AVERAGE(OFFSET($R$3,0,0,'Données projet'!$E$9+1,1))-AVERAGE(OFFSET($H$3,0,0,'Données projet'!$E$9+1,1))</f>
        <v>299.45724561493057</v>
      </c>
      <c r="T129" s="59">
        <f t="shared" si="88"/>
        <v>297.63369027443196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32.278321287506273</v>
      </c>
      <c r="AA129" s="21">
        <f>EXP(-LN(2)/25)*AA128+(1-EXP(-LN(2)/25))/(LN(2)/25)*Calculateur!V129*Calculateur!X129*VLOOKUP('Données projet'!$B$9,Paramètres!$A$1:$I$89,3,0)*0.475*44/12</f>
        <v>11.713251973663738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43.991573261170011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67.57448844330132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3.4106051316484809E-13</v>
      </c>
      <c r="AJ129" s="13">
        <f>AI129*VLOOKUP('Données projet'!$B$10,Paramètres!$A$1:$I$89,3,0)*VLOOKUP('Données projet'!$B$10,Paramètres!$A$1:$I$89,5,0)</f>
        <v>1.9065282685915009E-13</v>
      </c>
      <c r="AK129" s="13">
        <f t="shared" si="89"/>
        <v>2.6568987209435707E-12</v>
      </c>
      <c r="AL129" s="20">
        <f t="shared" si="58"/>
        <v>4.959485612423072E-12</v>
      </c>
      <c r="AM129" s="59">
        <f t="shared" si="59"/>
        <v>284.43979095877648</v>
      </c>
      <c r="AN129" s="59">
        <f ca="1">AVERAGE(OFFSET($AM$3,0,0,'Données projet'!$E$10+1,1))-AVERAGE(OFFSET($H$3,0,0,'Données projet'!$E$10+1,1))</f>
        <v>363.98181065114898</v>
      </c>
      <c r="AO129" s="59">
        <f t="shared" si="90"/>
        <v>410.85213343666396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64.844980518578453</v>
      </c>
      <c r="AV129" s="21">
        <f>EXP(-LN(2)/25)*AV128+(1-EXP(-LN(2)/25))/(LN(2)/25)*Calculateur!AQ129*Calculateur!AS129*VLOOKUP('Données projet'!$B$10,Paramètres!$A$1:$I$89,3,0)*0.475*44/12</f>
        <v>21.260650754021558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86.105631272600007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67.57448844330132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-9.9316821433603781E-14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433.6995276469014</v>
      </c>
      <c r="BJ129" s="59">
        <f t="shared" si="92"/>
        <v>306.37969720280557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60.166809717094004</v>
      </c>
      <c r="BQ129" s="21">
        <f>EXP(-LN(2)/25)*BQ128+(1-EXP(-LN(2)/25))/(LN(2)/25)*Calculateur!BL129*Calculateur!BN129*VLOOKUP('Données projet'!$B$11,Paramètres!$A$1:$I$89,3,0)*0.475*44/12</f>
        <v>20.160455930637415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80.327265647731423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67.57448844330132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5.5</v>
      </c>
      <c r="BY129" s="12">
        <f>IF('Données projet'!$A$114&gt;35,BY128+BX129-CG128,IF(A129&lt;'Données projet'!$A$114,$BV$205^A129,IF(A129='Données projet'!$A$114,'Données projet'!$B$114,BY128+BX129-CG128)))</f>
        <v>254.5</v>
      </c>
      <c r="BZ129" s="13">
        <f>BY129*VLOOKUP('Données projet'!$B$12,Paramètres!$A$1:$I$89,3,0)*VLOOKUP('Données projet'!$B$12,Paramètres!$A$1:$I$89,5,0)</f>
        <v>246.1524</v>
      </c>
      <c r="CA129" s="13">
        <f t="shared" si="93"/>
        <v>59.761292969998216</v>
      </c>
      <c r="CB129" s="20">
        <f t="shared" si="64"/>
        <v>532.79968192274691</v>
      </c>
      <c r="CC129" s="59">
        <f t="shared" si="65"/>
        <v>817.2394728815184</v>
      </c>
      <c r="CD129" s="59">
        <f ca="1">AVERAGE(OFFSET($CC$3,0,0,'Données projet'!$E$12+1,1))-AVERAGE(OFFSET($H$3,0,0,'Données projet'!$E$12+1,1))</f>
        <v>455.95436253828132</v>
      </c>
      <c r="CE129" s="59">
        <f t="shared" si="94"/>
        <v>64.829921296688497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43.003845255806361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43.003845255806361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67.57448844330132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5.6843418860808015E-14</v>
      </c>
      <c r="CU129" s="17">
        <f>CT129*VLOOKUP('Données projet'!$B$13,Paramètres!$A$1:$I$89,3,0)*VLOOKUP('Données projet'!$B$13,Paramètres!$A$1:$I$89,5,0)</f>
        <v>4.4337866711430253E-14</v>
      </c>
      <c r="CV129" s="13">
        <f t="shared" si="95"/>
        <v>7.3222115536967035E-13</v>
      </c>
      <c r="CW129" s="20">
        <f t="shared" si="67"/>
        <v>1.3525069634579169E-12</v>
      </c>
      <c r="CX129" s="59">
        <f t="shared" si="68"/>
        <v>284.4397909587729</v>
      </c>
      <c r="CY129" s="59">
        <f ca="1">AVERAGE(OFFSET($CX$3,0,0,'Données projet'!$E$13+1,1))-AVERAGE(OFFSET($H$3,0,0,'Données projet'!$E$13+1,1))</f>
        <v>306.44760579759713</v>
      </c>
      <c r="CZ129" s="59">
        <f t="shared" si="96"/>
        <v>300.30192123221718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28.604016779335009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28.604016779335009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67.57448844330132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67.57448844330132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67.57448844330132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67.57448844330132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67.57448844330132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4.4000000000000004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16.133333333333336</v>
      </c>
      <c r="H130" s="67">
        <f t="shared" si="56"/>
        <v>192.13333333333333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67.616565646178572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1.1368683772161603E-13</v>
      </c>
      <c r="O130" s="13">
        <f>N130*VLOOKUP('Données projet'!$B$9,Paramètres!$A$1:$I$89,3,0)*VLOOKUP('Données projet'!$B$9,Paramètres!$A$1:$I$89,5,0)</f>
        <v>6.7984728957526396E-14</v>
      </c>
      <c r="P130" s="13">
        <f t="shared" si="87"/>
        <v>1.0682447123141398E-12</v>
      </c>
      <c r="Q130" s="20">
        <f t="shared" si="107"/>
        <v>1.978932943548152E-12</v>
      </c>
      <c r="R130" s="59">
        <f t="shared" si="55"/>
        <v>284.5940740359901</v>
      </c>
      <c r="S130" s="59">
        <f ca="1">AVERAGE(OFFSET($R$3,0,0,'Données projet'!$E$9+1,1))-AVERAGE(OFFSET($H$3,0,0,'Données projet'!$E$9+1,1))</f>
        <v>299.45724561493057</v>
      </c>
      <c r="T130" s="59">
        <f t="shared" si="88"/>
        <v>297.63369027443196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31.64536309489025</v>
      </c>
      <c r="AA130" s="21">
        <f>EXP(-LN(2)/25)*AA129+(1-EXP(-LN(2)/25))/(LN(2)/25)*Calculateur!V130*Calculateur!X130*VLOOKUP('Données projet'!$B$9,Paramètres!$A$1:$I$89,3,0)*0.475*44/12</f>
        <v>11.392952482470752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43.038315577361004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67.616565646178572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3.4106051316484809E-13</v>
      </c>
      <c r="AJ130" s="13">
        <f>AI130*VLOOKUP('Données projet'!$B$10,Paramètres!$A$1:$I$89,3,0)*VLOOKUP('Données projet'!$B$10,Paramètres!$A$1:$I$89,5,0)</f>
        <v>1.9065282685915009E-13</v>
      </c>
      <c r="AK130" s="13">
        <f t="shared" si="89"/>
        <v>2.6568987209435707E-12</v>
      </c>
      <c r="AL130" s="20">
        <f t="shared" si="58"/>
        <v>4.959485612423072E-12</v>
      </c>
      <c r="AM130" s="59">
        <f t="shared" si="59"/>
        <v>284.59407403599306</v>
      </c>
      <c r="AN130" s="59">
        <f ca="1">AVERAGE(OFFSET($AM$3,0,0,'Données projet'!$E$10+1,1))-AVERAGE(OFFSET($H$3,0,0,'Données projet'!$E$10+1,1))</f>
        <v>363.98181065114898</v>
      </c>
      <c r="AO130" s="59">
        <f t="shared" si="90"/>
        <v>410.85213343666396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63.573410002141856</v>
      </c>
      <c r="AV130" s="21">
        <f>EXP(-LN(2)/25)*AV129+(1-EXP(-LN(2)/25))/(LN(2)/25)*Calculateur!AQ130*Calculateur!AS130*VLOOKUP('Données projet'!$B$10,Paramètres!$A$1:$I$89,3,0)*0.475*44/12</f>
        <v>20.679277141103807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84.252687143245666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67.616565646178572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-9.9316821433603781E-14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433.6995276469014</v>
      </c>
      <c r="BJ130" s="59">
        <f t="shared" si="92"/>
        <v>306.37969720280557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58.986975276672077</v>
      </c>
      <c r="BQ130" s="21">
        <f>EXP(-LN(2)/25)*BQ129+(1-EXP(-LN(2)/25))/(LN(2)/25)*Calculateur!BL130*Calculateur!BN130*VLOOKUP('Données projet'!$B$11,Paramètres!$A$1:$I$89,3,0)*0.475*44/12</f>
        <v>19.609167203021833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78.59614247969391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67.616565646178572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5.5</v>
      </c>
      <c r="BY130" s="12">
        <f>IF('Données projet'!$A$114&gt;35,BY129+BX130-CG129,IF(A130&lt;'Données projet'!$A$114,$BV$205^A130,IF(A130='Données projet'!$A$114,'Données projet'!$B$114,BY129+BX130-CG129)))</f>
        <v>260</v>
      </c>
      <c r="BZ130" s="13">
        <f>BY130*VLOOKUP('Données projet'!$B$12,Paramètres!$A$1:$I$89,3,0)*VLOOKUP('Données projet'!$B$12,Paramètres!$A$1:$I$89,5,0)</f>
        <v>251.47199999999998</v>
      </c>
      <c r="CA130" s="13">
        <f t="shared" si="93"/>
        <v>60.901039718208651</v>
      </c>
      <c r="CB130" s="20">
        <f t="shared" si="64"/>
        <v>544.04971084254669</v>
      </c>
      <c r="CC130" s="59">
        <f t="shared" si="65"/>
        <v>828.6437848785348</v>
      </c>
      <c r="CD130" s="59">
        <f ca="1">AVERAGE(OFFSET($CC$3,0,0,'Données projet'!$E$12+1,1))-AVERAGE(OFFSET($H$3,0,0,'Données projet'!$E$12+1,1))</f>
        <v>455.95436253828132</v>
      </c>
      <c r="CE130" s="59">
        <f t="shared" si="94"/>
        <v>64.829921296688497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42.160566080095634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42.160566080095634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67.616565646178572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5.6843418860808015E-14</v>
      </c>
      <c r="CU130" s="17">
        <f>CT130*VLOOKUP('Données projet'!$B$13,Paramètres!$A$1:$I$89,3,0)*VLOOKUP('Données projet'!$B$13,Paramètres!$A$1:$I$89,5,0)</f>
        <v>4.4337866711430253E-14</v>
      </c>
      <c r="CV130" s="13">
        <f t="shared" si="95"/>
        <v>7.3222115536967035E-13</v>
      </c>
      <c r="CW130" s="20">
        <f t="shared" si="67"/>
        <v>1.3525069634579169E-12</v>
      </c>
      <c r="CX130" s="59">
        <f t="shared" si="68"/>
        <v>284.59407403598948</v>
      </c>
      <c r="CY130" s="59">
        <f ca="1">AVERAGE(OFFSET($CX$3,0,0,'Données projet'!$E$13+1,1))-AVERAGE(OFFSET($H$3,0,0,'Données projet'!$E$13+1,1))</f>
        <v>306.44760579759713</v>
      </c>
      <c r="CZ130" s="59">
        <f t="shared" si="96"/>
        <v>300.30192123221718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28.043109457019764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28.043109457019764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67.616565646178572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67.616565646178572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67.616565646178572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67.616565646178572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67.616565646178572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4.4000000000000004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16.133333333333336</v>
      </c>
      <c r="H131" s="67">
        <f t="shared" si="56"/>
        <v>192.13333333333333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67.657912903656438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1.1368683772161603E-13</v>
      </c>
      <c r="O131" s="13">
        <f>N131*VLOOKUP('Données projet'!$B$9,Paramètres!$A$1:$I$89,3,0)*VLOOKUP('Données projet'!$B$9,Paramètres!$A$1:$I$89,5,0)</f>
        <v>6.7984728957526396E-14</v>
      </c>
      <c r="P131" s="13">
        <f t="shared" si="87"/>
        <v>1.0682447123141398E-12</v>
      </c>
      <c r="Q131" s="20">
        <f t="shared" ref="Q131:Q153" si="108">(O131+P131)*0.475*44/12</f>
        <v>1.978932943548152E-12</v>
      </c>
      <c r="R131" s="59">
        <f t="shared" ref="R131:R194" si="109">Q131+(I131+J131)*44/12</f>
        <v>284.74568064674224</v>
      </c>
      <c r="S131" s="59">
        <f ca="1">AVERAGE(OFFSET($R$3,0,0,'Données projet'!$E$9+1,1))-AVERAGE(OFFSET($H$3,0,0,'Données projet'!$E$9+1,1))</f>
        <v>299.45724561493057</v>
      </c>
      <c r="T131" s="59">
        <f t="shared" si="88"/>
        <v>297.63369027443196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31.024816826365051</v>
      </c>
      <c r="AA131" s="21">
        <f>EXP(-LN(2)/25)*AA130+(1-EXP(-LN(2)/25))/(LN(2)/25)*Calculateur!V131*Calculateur!X131*VLOOKUP('Données projet'!$B$9,Paramètres!$A$1:$I$89,3,0)*0.475*44/12</f>
        <v>11.081411597708257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42.106228424073308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67.657912903656438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3.4106051316484809E-13</v>
      </c>
      <c r="AJ131" s="13">
        <f>AI131*VLOOKUP('Données projet'!$B$10,Paramètres!$A$1:$I$89,3,0)*VLOOKUP('Données projet'!$B$10,Paramètres!$A$1:$I$89,5,0)</f>
        <v>1.9065282685915009E-13</v>
      </c>
      <c r="AK131" s="13">
        <f t="shared" si="89"/>
        <v>2.6568987209435707E-12</v>
      </c>
      <c r="AL131" s="20">
        <f t="shared" si="58"/>
        <v>4.959485612423072E-12</v>
      </c>
      <c r="AM131" s="59">
        <f t="shared" si="59"/>
        <v>284.7456806467452</v>
      </c>
      <c r="AN131" s="59">
        <f ca="1">AVERAGE(OFFSET($AM$3,0,0,'Données projet'!$E$10+1,1))-AVERAGE(OFFSET($H$3,0,0,'Données projet'!$E$10+1,1))</f>
        <v>363.98181065114898</v>
      </c>
      <c r="AO131" s="59">
        <f t="shared" si="90"/>
        <v>410.85213343666396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62.326774207951146</v>
      </c>
      <c r="AV131" s="21">
        <f>EXP(-LN(2)/25)*AV130+(1-EXP(-LN(2)/25))/(LN(2)/25)*Calculateur!AQ131*Calculateur!AS131*VLOOKUP('Données projet'!$B$10,Paramètres!$A$1:$I$89,3,0)*0.475*44/12</f>
        <v>20.113801220204401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82.44057542815554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67.657912903656438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-9.9316821433603781E-14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433.6995276469014</v>
      </c>
      <c r="BJ131" s="59">
        <f t="shared" si="92"/>
        <v>306.37969720280557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57.830276669998874</v>
      </c>
      <c r="BQ131" s="21">
        <f>EXP(-LN(2)/25)*BQ130+(1-EXP(-LN(2)/25))/(LN(2)/25)*Calculateur!BL131*Calculateur!BN131*VLOOKUP('Données projet'!$B$11,Paramètres!$A$1:$I$89,3,0)*0.475*44/12</f>
        <v>19.072953494653916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76.903230164652797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67.657912903656438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5.5</v>
      </c>
      <c r="BY131" s="12">
        <f>IF('Données projet'!$A$114&gt;35,BY130+BX131-CG130,IF(A131&lt;'Données projet'!$A$114,$BV$205^A131,IF(A131='Données projet'!$A$114,'Données projet'!$B$114,BY130+BX131-CG130)))</f>
        <v>265.5</v>
      </c>
      <c r="BZ131" s="13">
        <f>BY131*VLOOKUP('Données projet'!$B$12,Paramètres!$A$1:$I$89,3,0)*VLOOKUP('Données projet'!$B$12,Paramètres!$A$1:$I$89,5,0)</f>
        <v>256.79159999999996</v>
      </c>
      <c r="CA131" s="13">
        <f t="shared" si="93"/>
        <v>62.037983290536062</v>
      </c>
      <c r="CB131" s="20">
        <f t="shared" si="64"/>
        <v>555.2948575643502</v>
      </c>
      <c r="CC131" s="59">
        <f t="shared" si="65"/>
        <v>840.04053821109051</v>
      </c>
      <c r="CD131" s="59">
        <f ca="1">AVERAGE(OFFSET($CC$3,0,0,'Données projet'!$E$12+1,1))-AVERAGE(OFFSET($H$3,0,0,'Données projet'!$E$12+1,1))</f>
        <v>455.95436253828132</v>
      </c>
      <c r="CE131" s="59">
        <f t="shared" si="94"/>
        <v>64.829921296688497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41.333823094671082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41.333823094671082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67.657912903656438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5.6843418860808015E-14</v>
      </c>
      <c r="CU131" s="17">
        <f>CT131*VLOOKUP('Données projet'!$B$13,Paramètres!$A$1:$I$89,3,0)*VLOOKUP('Données projet'!$B$13,Paramètres!$A$1:$I$89,5,0)</f>
        <v>4.4337866711430253E-14</v>
      </c>
      <c r="CV131" s="13">
        <f t="shared" si="95"/>
        <v>7.3222115536967035E-13</v>
      </c>
      <c r="CW131" s="20">
        <f t="shared" si="67"/>
        <v>1.3525069634579169E-12</v>
      </c>
      <c r="CX131" s="59">
        <f t="shared" si="68"/>
        <v>284.74568064674162</v>
      </c>
      <c r="CY131" s="59">
        <f ca="1">AVERAGE(OFFSET($CX$3,0,0,'Données projet'!$E$13+1,1))-AVERAGE(OFFSET($H$3,0,0,'Données projet'!$E$13+1,1))</f>
        <v>306.44760579759713</v>
      </c>
      <c r="CZ131" s="59">
        <f t="shared" si="96"/>
        <v>300.30192123221718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27.493201185175437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27.493201185175437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67.657912903656438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67.657912903656438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67.657912903656438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67.657912903656438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67.657912903656438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4.4000000000000004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16.133333333333336</v>
      </c>
      <c r="H132" s="67">
        <f t="shared" ref="H132:H195" si="110">(B132+E132+F132)*44/12+(C132+D132)*0.475*44/12</f>
        <v>192.13333333333333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67.698542878655687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1.1368683772161603E-13</v>
      </c>
      <c r="O132" s="13">
        <f>N132*VLOOKUP('Données projet'!$B$9,Paramètres!$A$1:$I$89,3,0)*VLOOKUP('Données projet'!$B$9,Paramètres!$A$1:$I$89,5,0)</f>
        <v>6.7984728957526396E-14</v>
      </c>
      <c r="P132" s="13">
        <f t="shared" si="87"/>
        <v>1.0682447123141398E-12</v>
      </c>
      <c r="Q132" s="20">
        <f t="shared" si="108"/>
        <v>1.978932943548152E-12</v>
      </c>
      <c r="R132" s="59">
        <f t="shared" si="109"/>
        <v>284.89465722173952</v>
      </c>
      <c r="S132" s="59">
        <f ca="1">AVERAGE(OFFSET($R$3,0,0,'Données projet'!$E$9+1,1))-AVERAGE(OFFSET($H$3,0,0,'Données projet'!$E$9+1,1))</f>
        <v>299.45724561493057</v>
      </c>
      <c r="T132" s="59">
        <f t="shared" si="88"/>
        <v>297.63369027443196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30.41643909166978</v>
      </c>
      <c r="AA132" s="21">
        <f>EXP(-LN(2)/25)*AA131+(1-EXP(-LN(2)/25))/(LN(2)/25)*Calculateur!V132*Calculateur!X132*VLOOKUP('Données projet'!$B$9,Paramètres!$A$1:$I$89,3,0)*0.475*44/12</f>
        <v>10.778389814822816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41.194828906492596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67.698542878655687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3.4106051316484809E-13</v>
      </c>
      <c r="AJ132" s="13">
        <f>AI132*VLOOKUP('Données projet'!$B$10,Paramètres!$A$1:$I$89,3,0)*VLOOKUP('Données projet'!$B$10,Paramètres!$A$1:$I$89,5,0)</f>
        <v>1.9065282685915009E-13</v>
      </c>
      <c r="AK132" s="13">
        <f t="shared" si="89"/>
        <v>2.6568987209435707E-12</v>
      </c>
      <c r="AL132" s="20">
        <f t="shared" ref="AL132:AL153" si="112">(AJ132+AK132)*0.475*44/12</f>
        <v>4.959485612423072E-12</v>
      </c>
      <c r="AM132" s="59">
        <f t="shared" ref="AM132:AM195" si="113">AL132+(AD132+AE132)*44/12</f>
        <v>284.89465722174248</v>
      </c>
      <c r="AN132" s="59">
        <f ca="1">AVERAGE(OFFSET($AM$3,0,0,'Données projet'!$E$10+1,1))-AVERAGE(OFFSET($H$3,0,0,'Données projet'!$E$10+1,1))</f>
        <v>363.98181065114898</v>
      </c>
      <c r="AO132" s="59">
        <f t="shared" si="90"/>
        <v>410.85213343666396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61.104584181311765</v>
      </c>
      <c r="AV132" s="21">
        <f>EXP(-LN(2)/25)*AV131+(1-EXP(-LN(2)/25))/(LN(2)/25)*Calculateur!AQ132*Calculateur!AS132*VLOOKUP('Données projet'!$B$10,Paramètres!$A$1:$I$89,3,0)*0.475*44/12</f>
        <v>19.563788268099078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80.668372449410839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67.698542878655687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-9.9316821433603781E-14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433.6995276469014</v>
      </c>
      <c r="BJ132" s="59">
        <f t="shared" si="92"/>
        <v>306.37969720280557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56.696260217486049</v>
      </c>
      <c r="BQ132" s="21">
        <f>EXP(-LN(2)/25)*BQ131+(1-EXP(-LN(2)/25))/(LN(2)/25)*Calculateur!BL132*Calculateur!BN132*VLOOKUP('Données projet'!$B$11,Paramètres!$A$1:$I$89,3,0)*0.475*44/12</f>
        <v>18.551402578339573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75.247662795825619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67.698542878655687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5.5</v>
      </c>
      <c r="BY132" s="12">
        <f>IF('Données projet'!$A$114&gt;35,BY131+BX132-CG131,IF(A132&lt;'Données projet'!$A$114,$BV$205^A132,IF(A132='Données projet'!$A$114,'Données projet'!$B$114,BY131+BX132-CG131)))</f>
        <v>271</v>
      </c>
      <c r="BZ132" s="13">
        <f>BY132*VLOOKUP('Données projet'!$B$12,Paramètres!$A$1:$I$89,3,0)*VLOOKUP('Données projet'!$B$12,Paramètres!$A$1:$I$89,5,0)</f>
        <v>262.1112</v>
      </c>
      <c r="CA132" s="13">
        <f t="shared" si="93"/>
        <v>63.172188447087038</v>
      </c>
      <c r="CB132" s="20">
        <f t="shared" ref="CB132:CB153" si="118">(BZ132+CA132)*0.475*44/12</f>
        <v>566.53523487867653</v>
      </c>
      <c r="CC132" s="59">
        <f t="shared" ref="CC132:CC195" si="119">CB132+(BT132+BU132)*44/12</f>
        <v>851.42989210041401</v>
      </c>
      <c r="CD132" s="59">
        <f ca="1">AVERAGE(OFFSET($CC$3,0,0,'Données projet'!$E$12+1,1))-AVERAGE(OFFSET($H$3,0,0,'Données projet'!$E$12+1,1))</f>
        <v>455.95436253828132</v>
      </c>
      <c r="CE132" s="59">
        <f t="shared" si="94"/>
        <v>64.829921296688497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40.523292034927273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40.523292034927273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67.698542878655687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5.6843418860808015E-14</v>
      </c>
      <c r="CU132" s="17">
        <f>CT132*VLOOKUP('Données projet'!$B$13,Paramètres!$A$1:$I$89,3,0)*VLOOKUP('Données projet'!$B$13,Paramètres!$A$1:$I$89,5,0)</f>
        <v>4.4337866711430253E-14</v>
      </c>
      <c r="CV132" s="13">
        <f t="shared" si="95"/>
        <v>7.3222115536967035E-13</v>
      </c>
      <c r="CW132" s="20">
        <f t="shared" ref="CW132:CW153" si="121">(CU132+CV132)*0.475*44/12</f>
        <v>1.3525069634579169E-12</v>
      </c>
      <c r="CX132" s="59">
        <f t="shared" ref="CX132:CX195" si="122">CW132+(CO132+CP132)*44/12</f>
        <v>284.8946572217389</v>
      </c>
      <c r="CY132" s="59">
        <f ca="1">AVERAGE(OFFSET($CX$3,0,0,'Données projet'!$E$13+1,1))-AVERAGE(OFFSET($H$3,0,0,'Données projet'!$E$13+1,1))</f>
        <v>306.44760579759713</v>
      </c>
      <c r="CZ132" s="59">
        <f t="shared" si="96"/>
        <v>300.30192123221718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26.954076279131048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26.954076279131048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67.698542878655687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67.698542878655687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67.698542878655687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67.698542878655687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67.698542878655687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4.4000000000000004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16.133333333333336</v>
      </c>
      <c r="H133" s="67">
        <f t="shared" si="110"/>
        <v>192.13333333333333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67.738468014423702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1.1368683772161603E-13</v>
      </c>
      <c r="O133" s="13">
        <f>N133*VLOOKUP('Données projet'!$B$9,Paramètres!$A$1:$I$89,3,0)*VLOOKUP('Données projet'!$B$9,Paramètres!$A$1:$I$89,5,0)</f>
        <v>6.7984728957526396E-14</v>
      </c>
      <c r="P133" s="13">
        <f t="shared" ref="P133:P196" si="141">EXP(-1.0587+0.8836*LN(O133)+0.284)</f>
        <v>1.0682447123141398E-12</v>
      </c>
      <c r="Q133" s="20">
        <f t="shared" si="108"/>
        <v>1.978932943548152E-12</v>
      </c>
      <c r="R133" s="59">
        <f t="shared" si="109"/>
        <v>285.0410493862222</v>
      </c>
      <c r="S133" s="59">
        <f ca="1">AVERAGE(OFFSET($R$3,0,0,'Données projet'!$E$9+1,1))-AVERAGE(OFFSET($H$3,0,0,'Données projet'!$E$9+1,1))</f>
        <v>299.45724561493057</v>
      </c>
      <c r="T133" s="59">
        <f t="shared" ref="T133:T196" si="142">$T$3</f>
        <v>297.63369027443196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29.819991273278106</v>
      </c>
      <c r="AA133" s="21">
        <f>EXP(-LN(2)/25)*AA132+(1-EXP(-LN(2)/25))/(LN(2)/25)*Calculateur!V133*Calculateur!X133*VLOOKUP('Données projet'!$B$9,Paramètres!$A$1:$I$89,3,0)*0.475*44/12</f>
        <v>10.483654178525601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40.303645451803703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67.738468014423702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3.4106051316484809E-13</v>
      </c>
      <c r="AJ133" s="13">
        <f>AI133*VLOOKUP('Données projet'!$B$10,Paramètres!$A$1:$I$89,3,0)*VLOOKUP('Données projet'!$B$10,Paramètres!$A$1:$I$89,5,0)</f>
        <v>1.9065282685915009E-13</v>
      </c>
      <c r="AK133" s="13">
        <f t="shared" ref="AK133:AK153" si="143">EXP(-1.0587+0.8836*LN(AJ133)+0.284)</f>
        <v>2.6568987209435707E-12</v>
      </c>
      <c r="AL133" s="20">
        <f t="shared" si="112"/>
        <v>4.959485612423072E-12</v>
      </c>
      <c r="AM133" s="59">
        <f t="shared" si="113"/>
        <v>285.04104938622515</v>
      </c>
      <c r="AN133" s="59">
        <f ca="1">AVERAGE(OFFSET($AM$3,0,0,'Données projet'!$E$10+1,1))-AVERAGE(OFFSET($H$3,0,0,'Données projet'!$E$10+1,1))</f>
        <v>363.98181065114898</v>
      </c>
      <c r="AO133" s="59">
        <f t="shared" ref="AO133:AO196" si="144">$AO$3</f>
        <v>410.85213343666396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59.906360555632475</v>
      </c>
      <c r="AV133" s="21">
        <f>EXP(-LN(2)/25)*AV132+(1-EXP(-LN(2)/25))/(LN(2)/25)*Calculateur!AQ133*Calculateur!AS133*VLOOKUP('Données projet'!$B$10,Paramètres!$A$1:$I$89,3,0)*0.475*44/12</f>
        <v>19.028815449092995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78.935176004725463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67.738468014423702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-9.9316821433603781E-14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433.6995276469014</v>
      </c>
      <c r="BJ133" s="59">
        <f t="shared" ref="BJ133:BJ196" si="146">$BJ$3</f>
        <v>306.37969720280557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55.584481135925259</v>
      </c>
      <c r="BQ133" s="21">
        <f>EXP(-LN(2)/25)*BQ132+(1-EXP(-LN(2)/25))/(LN(2)/25)*Calculateur!BL133*Calculateur!BN133*VLOOKUP('Données projet'!$B$11,Paramètres!$A$1:$I$89,3,0)*0.475*44/12</f>
        <v>18.044113499259016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73.628594635184271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67.738468014423702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5.5</v>
      </c>
      <c r="BY133" s="12">
        <f>IF('Données projet'!$A$114&gt;35,BY132+BX133-CG132,IF(A133&lt;'Données projet'!$A$114,$BV$205^A133,IF(A133='Données projet'!$A$114,'Données projet'!$B$114,BY132+BX133-CG132)))</f>
        <v>276.5</v>
      </c>
      <c r="BZ133" s="13">
        <f>BY133*VLOOKUP('Données projet'!$B$12,Paramètres!$A$1:$I$89,3,0)*VLOOKUP('Données projet'!$B$12,Paramètres!$A$1:$I$89,5,0)</f>
        <v>267.43080000000003</v>
      </c>
      <c r="CA133" s="13">
        <f t="shared" ref="CA133:CA153" si="147">EXP(-1.0587+0.8836*LN(BZ133)+0.284)</f>
        <v>64.303717169052959</v>
      </c>
      <c r="CB133" s="20">
        <f t="shared" si="118"/>
        <v>577.77095073610064</v>
      </c>
      <c r="CC133" s="59">
        <f t="shared" si="119"/>
        <v>862.8120001223208</v>
      </c>
      <c r="CD133" s="59">
        <f ca="1">AVERAGE(OFFSET($CC$3,0,0,'Données projet'!$E$12+1,1))-AVERAGE(OFFSET($H$3,0,0,'Données projet'!$E$12+1,1))</f>
        <v>455.95436253828132</v>
      </c>
      <c r="CE133" s="59">
        <f t="shared" ref="CE133:CE196" si="148">$CE$3</f>
        <v>64.829921296688497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39.728654994889915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39.728654994889915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67.738468014423702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5.6843418860808015E-14</v>
      </c>
      <c r="CU133" s="17">
        <f>CT133*VLOOKUP('Données projet'!$B$13,Paramètres!$A$1:$I$89,3,0)*VLOOKUP('Données projet'!$B$13,Paramètres!$A$1:$I$89,5,0)</f>
        <v>4.4337866711430253E-14</v>
      </c>
      <c r="CV133" s="13">
        <f t="shared" ref="CV133:CV153" si="149">EXP(-1.0587+0.8836*LN(CU133)+0.284)</f>
        <v>7.3222115536967035E-13</v>
      </c>
      <c r="CW133" s="20">
        <f t="shared" si="121"/>
        <v>1.3525069634579169E-12</v>
      </c>
      <c r="CX133" s="59">
        <f t="shared" si="122"/>
        <v>285.04104938622157</v>
      </c>
      <c r="CY133" s="59">
        <f ca="1">AVERAGE(OFFSET($CX$3,0,0,'Données projet'!$E$13+1,1))-AVERAGE(OFFSET($H$3,0,0,'Données projet'!$E$13+1,1))</f>
        <v>306.44760579759713</v>
      </c>
      <c r="CZ133" s="59">
        <f t="shared" ref="CZ133:CZ196" si="150">$CZ$3</f>
        <v>300.30192123221718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26.425523283660468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26.425523283660468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67.738468014423702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67.738468014423702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67.738468014423702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67.738468014423702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67.738468014423702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4.4000000000000004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16.133333333333336</v>
      </c>
      <c r="H134" s="67">
        <f t="shared" si="110"/>
        <v>192.13333333333333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67.777700538345385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1.1368683772161603E-13</v>
      </c>
      <c r="O134" s="13">
        <f>N134*VLOOKUP('Données projet'!$B$9,Paramètres!$A$1:$I$89,3,0)*VLOOKUP('Données projet'!$B$9,Paramètres!$A$1:$I$89,5,0)</f>
        <v>6.7984728957526396E-14</v>
      </c>
      <c r="P134" s="13">
        <f t="shared" si="141"/>
        <v>1.0682447123141398E-12</v>
      </c>
      <c r="Q134" s="20">
        <f t="shared" si="108"/>
        <v>1.978932943548152E-12</v>
      </c>
      <c r="R134" s="59">
        <f t="shared" si="109"/>
        <v>285.1849019739351</v>
      </c>
      <c r="S134" s="59">
        <f ca="1">AVERAGE(OFFSET($R$3,0,0,'Données projet'!$E$9+1,1))-AVERAGE(OFFSET($H$3,0,0,'Données projet'!$E$9+1,1))</f>
        <v>299.45724561493057</v>
      </c>
      <c r="T134" s="59">
        <f t="shared" si="142"/>
        <v>297.63369027443196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29.235239432807845</v>
      </c>
      <c r="AA134" s="21">
        <f>EXP(-LN(2)/25)*AA133+(1-EXP(-LN(2)/25))/(LN(2)/25)*Calculateur!V134*Calculateur!X134*VLOOKUP('Données projet'!$B$9,Paramètres!$A$1:$I$89,3,0)*0.475*44/12</f>
        <v>10.196978103702406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39.432217536510251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67.777700538345385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3.4106051316484809E-13</v>
      </c>
      <c r="AJ134" s="13">
        <f>AI134*VLOOKUP('Données projet'!$B$10,Paramètres!$A$1:$I$89,3,0)*VLOOKUP('Données projet'!$B$10,Paramètres!$A$1:$I$89,5,0)</f>
        <v>1.9065282685915009E-13</v>
      </c>
      <c r="AK134" s="13">
        <f t="shared" si="143"/>
        <v>2.6568987209435707E-12</v>
      </c>
      <c r="AL134" s="20">
        <f t="shared" si="112"/>
        <v>4.959485612423072E-12</v>
      </c>
      <c r="AM134" s="59">
        <f t="shared" si="113"/>
        <v>285.18490197393805</v>
      </c>
      <c r="AN134" s="59">
        <f ca="1">AVERAGE(OFFSET($AM$3,0,0,'Données projet'!$E$10+1,1))-AVERAGE(OFFSET($H$3,0,0,'Données projet'!$E$10+1,1))</f>
        <v>363.98181065114898</v>
      </c>
      <c r="AO134" s="59">
        <f t="shared" si="144"/>
        <v>410.85213343666396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58.731633364408509</v>
      </c>
      <c r="AV134" s="21">
        <f>EXP(-LN(2)/25)*AV133+(1-EXP(-LN(2)/25))/(LN(2)/25)*Calculateur!AQ134*Calculateur!AS134*VLOOKUP('Données projet'!$B$10,Paramètres!$A$1:$I$89,3,0)*0.475*44/12</f>
        <v>18.508471489955635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77.240104854364148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67.777700538345385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-9.9316821433603781E-14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433.6995276469014</v>
      </c>
      <c r="BJ134" s="59">
        <f t="shared" si="146"/>
        <v>306.37969720280557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54.494503364035594</v>
      </c>
      <c r="BQ134" s="21">
        <f>EXP(-LN(2)/25)*BQ133+(1-EXP(-LN(2)/25))/(LN(2)/25)*Calculateur!BL134*Calculateur!BN134*VLOOKUP('Données projet'!$B$11,Paramètres!$A$1:$I$89,3,0)*0.475*44/12</f>
        <v>17.55069626672309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72.045199630758688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67.777700538345385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5.5</v>
      </c>
      <c r="BY134" s="12">
        <f>IF('Données projet'!$A$114&gt;35,BY133+BX134-CG133,IF(A134&lt;'Données projet'!$A$114,$BV$205^A134,IF(A134='Données projet'!$A$114,'Données projet'!$B$114,BY133+BX134-CG133)))</f>
        <v>282</v>
      </c>
      <c r="BZ134" s="13">
        <f>BY134*VLOOKUP('Données projet'!$B$12,Paramètres!$A$1:$I$89,3,0)*VLOOKUP('Données projet'!$B$12,Paramètres!$A$1:$I$89,5,0)</f>
        <v>272.75040000000001</v>
      </c>
      <c r="CA134" s="13">
        <f t="shared" si="147"/>
        <v>65.43262883082069</v>
      </c>
      <c r="CB134" s="20">
        <f t="shared" si="118"/>
        <v>589.00210854701277</v>
      </c>
      <c r="CC134" s="59">
        <f t="shared" si="119"/>
        <v>874.18701052094593</v>
      </c>
      <c r="CD134" s="59">
        <f ca="1">AVERAGE(OFFSET($CC$3,0,0,'Données projet'!$E$12+1,1))-AVERAGE(OFFSET($H$3,0,0,'Données projet'!$E$12+1,1))</f>
        <v>455.95436253828132</v>
      </c>
      <c r="CE134" s="59">
        <f t="shared" si="148"/>
        <v>64.829921296688497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38.949600302526953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38.949600302526953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67.777700538345385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5.6843418860808015E-14</v>
      </c>
      <c r="CU134" s="17">
        <f>CT134*VLOOKUP('Données projet'!$B$13,Paramètres!$A$1:$I$89,3,0)*VLOOKUP('Données projet'!$B$13,Paramètres!$A$1:$I$89,5,0)</f>
        <v>4.4337866711430253E-14</v>
      </c>
      <c r="CV134" s="13">
        <f t="shared" si="149"/>
        <v>7.3222115536967035E-13</v>
      </c>
      <c r="CW134" s="20">
        <f t="shared" si="121"/>
        <v>1.3525069634579169E-12</v>
      </c>
      <c r="CX134" s="59">
        <f t="shared" si="122"/>
        <v>285.18490197393447</v>
      </c>
      <c r="CY134" s="59">
        <f ca="1">AVERAGE(OFFSET($CX$3,0,0,'Données projet'!$E$13+1,1))-AVERAGE(OFFSET($H$3,0,0,'Données projet'!$E$13+1,1))</f>
        <v>306.44760579759713</v>
      </c>
      <c r="CZ134" s="59">
        <f t="shared" si="150"/>
        <v>300.30192123221718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25.907334890045572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25.907334890045572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67.777700538345385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67.777700538345385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67.777700538345385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67.777700538345385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67.777700538345385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4.4000000000000004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16.133333333333336</v>
      </c>
      <c r="H135" s="67">
        <f t="shared" si="110"/>
        <v>192.13333333333333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67.816252465687796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1.1368683772161603E-13</v>
      </c>
      <c r="O135" s="13">
        <f>N135*VLOOKUP('Données projet'!$B$9,Paramètres!$A$1:$I$89,3,0)*VLOOKUP('Données projet'!$B$9,Paramètres!$A$1:$I$89,5,0)</f>
        <v>6.7984728957526396E-14</v>
      </c>
      <c r="P135" s="13">
        <f t="shared" si="141"/>
        <v>1.0682447123141398E-12</v>
      </c>
      <c r="Q135" s="20">
        <f t="shared" si="108"/>
        <v>1.978932943548152E-12</v>
      </c>
      <c r="R135" s="59">
        <f t="shared" si="109"/>
        <v>285.32625904085728</v>
      </c>
      <c r="S135" s="59">
        <f ca="1">AVERAGE(OFFSET($R$3,0,0,'Données projet'!$E$9+1,1))-AVERAGE(OFFSET($H$3,0,0,'Données projet'!$E$9+1,1))</f>
        <v>299.45724561493057</v>
      </c>
      <c r="T135" s="59">
        <f t="shared" si="142"/>
        <v>297.63369027443196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28.661954219265798</v>
      </c>
      <c r="AA135" s="21">
        <f>EXP(-LN(2)/25)*AA134+(1-EXP(-LN(2)/25))/(LN(2)/25)*Calculateur!V135*Calculateur!X135*VLOOKUP('Données projet'!$B$9,Paramètres!$A$1:$I$89,3,0)*0.475*44/12</f>
        <v>9.9181412012208909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38.580095420486685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67.816252465687796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3.4106051316484809E-13</v>
      </c>
      <c r="AJ135" s="13">
        <f>AI135*VLOOKUP('Données projet'!$B$10,Paramètres!$A$1:$I$89,3,0)*VLOOKUP('Données projet'!$B$10,Paramètres!$A$1:$I$89,5,0)</f>
        <v>1.9065282685915009E-13</v>
      </c>
      <c r="AK135" s="13">
        <f t="shared" si="143"/>
        <v>2.6568987209435707E-12</v>
      </c>
      <c r="AL135" s="20">
        <f t="shared" si="112"/>
        <v>4.959485612423072E-12</v>
      </c>
      <c r="AM135" s="59">
        <f t="shared" si="113"/>
        <v>285.32625904086024</v>
      </c>
      <c r="AN135" s="59">
        <f ca="1">AVERAGE(OFFSET($AM$3,0,0,'Données projet'!$E$10+1,1))-AVERAGE(OFFSET($H$3,0,0,'Données projet'!$E$10+1,1))</f>
        <v>363.98181065114898</v>
      </c>
      <c r="AO135" s="59">
        <f t="shared" si="144"/>
        <v>410.85213343666396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57.579941856891608</v>
      </c>
      <c r="AV135" s="21">
        <f>EXP(-LN(2)/25)*AV134+(1-EXP(-LN(2)/25))/(LN(2)/25)*Calculateur!AQ135*Calculateur!AS135*VLOOKUP('Données projet'!$B$10,Paramètres!$A$1:$I$89,3,0)*0.475*44/12</f>
        <v>18.002356363744585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75.58229822063619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67.816252465687796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-9.9316821433603781E-14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433.6995276469014</v>
      </c>
      <c r="BJ135" s="59">
        <f t="shared" si="146"/>
        <v>306.37969720280557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53.425899391431891</v>
      </c>
      <c r="BQ135" s="21">
        <f>EXP(-LN(2)/25)*BQ134+(1-EXP(-LN(2)/25))/(LN(2)/25)*Calculateur!BL135*Calculateur!BN135*VLOOKUP('Données projet'!$B$11,Paramètres!$A$1:$I$89,3,0)*0.475*44/12</f>
        <v>17.070771554358544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70.496670945790441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67.816252465687796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5.5</v>
      </c>
      <c r="BY135" s="12">
        <f>IF('Données projet'!$A$114&gt;35,BY134+BX135-CG134,IF(A135&lt;'Données projet'!$A$114,$BV$205^A135,IF(A135='Données projet'!$A$114,'Données projet'!$B$114,BY134+BX135-CG134)))</f>
        <v>287.5</v>
      </c>
      <c r="BZ135" s="13">
        <f>BY135*VLOOKUP('Données projet'!$B$12,Paramètres!$A$1:$I$89,3,0)*VLOOKUP('Données projet'!$B$12,Paramètres!$A$1:$I$89,5,0)</f>
        <v>278.07</v>
      </c>
      <c r="CA135" s="13">
        <f t="shared" si="147"/>
        <v>66.558980358276997</v>
      </c>
      <c r="CB135" s="20">
        <f t="shared" si="118"/>
        <v>600.22880745733244</v>
      </c>
      <c r="CC135" s="59">
        <f t="shared" si="119"/>
        <v>885.55506649818767</v>
      </c>
      <c r="CD135" s="59">
        <f ca="1">AVERAGE(OFFSET($CC$3,0,0,'Données projet'!$E$12+1,1))-AVERAGE(OFFSET($H$3,0,0,'Données projet'!$E$12+1,1))</f>
        <v>455.95436253828132</v>
      </c>
      <c r="CE135" s="59">
        <f t="shared" si="148"/>
        <v>64.829921296688497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38.185822397504786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38.185822397504786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67.816252465687796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5.6843418860808015E-14</v>
      </c>
      <c r="CU135" s="17">
        <f>CT135*VLOOKUP('Données projet'!$B$13,Paramètres!$A$1:$I$89,3,0)*VLOOKUP('Données projet'!$B$13,Paramètres!$A$1:$I$89,5,0)</f>
        <v>4.4337866711430253E-14</v>
      </c>
      <c r="CV135" s="13">
        <f t="shared" si="149"/>
        <v>7.3222115536967035E-13</v>
      </c>
      <c r="CW135" s="20">
        <f t="shared" si="121"/>
        <v>1.3525069634579169E-12</v>
      </c>
      <c r="CX135" s="59">
        <f t="shared" si="122"/>
        <v>285.32625904085666</v>
      </c>
      <c r="CY135" s="59">
        <f ca="1">AVERAGE(OFFSET($CX$3,0,0,'Données projet'!$E$13+1,1))-AVERAGE(OFFSET($H$3,0,0,'Données projet'!$E$13+1,1))</f>
        <v>306.44760579759713</v>
      </c>
      <c r="CZ135" s="59">
        <f t="shared" si="150"/>
        <v>300.30192123221718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25.399307854765752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25.399307854765752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67.816252465687796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67.816252465687796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67.816252465687796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67.816252465687796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67.816252465687796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4.4000000000000004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16.133333333333336</v>
      </c>
      <c r="H136" s="67">
        <f t="shared" si="110"/>
        <v>192.13333333333333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67.854135603280028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1.1368683772161603E-13</v>
      </c>
      <c r="O136" s="13">
        <f>N136*VLOOKUP('Données projet'!$B$9,Paramètres!$A$1:$I$89,3,0)*VLOOKUP('Données projet'!$B$9,Paramètres!$A$1:$I$89,5,0)</f>
        <v>6.7984728957526396E-14</v>
      </c>
      <c r="P136" s="13">
        <f t="shared" si="141"/>
        <v>1.0682447123141398E-12</v>
      </c>
      <c r="Q136" s="20">
        <f t="shared" si="108"/>
        <v>1.978932943548152E-12</v>
      </c>
      <c r="R136" s="59">
        <f t="shared" si="109"/>
        <v>285.46516387869542</v>
      </c>
      <c r="S136" s="59">
        <f ca="1">AVERAGE(OFFSET($R$3,0,0,'Données projet'!$E$9+1,1))-AVERAGE(OFFSET($H$3,0,0,'Données projet'!$E$9+1,1))</f>
        <v>299.45724561493057</v>
      </c>
      <c r="T136" s="59">
        <f t="shared" si="142"/>
        <v>297.63369027443196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28.099910779091857</v>
      </c>
      <c r="AA136" s="21">
        <f>EXP(-LN(2)/25)*AA135+(1-EXP(-LN(2)/25))/(LN(2)/25)*Calculateur!V136*Calculateur!X136*VLOOKUP('Données projet'!$B$9,Paramètres!$A$1:$I$89,3,0)*0.475*44/12</f>
        <v>9.6469291085011282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37.746839887592984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67.854135603280028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3.4106051316484809E-13</v>
      </c>
      <c r="AJ136" s="13">
        <f>AI136*VLOOKUP('Données projet'!$B$10,Paramètres!$A$1:$I$89,3,0)*VLOOKUP('Données projet'!$B$10,Paramètres!$A$1:$I$89,5,0)</f>
        <v>1.9065282685915009E-13</v>
      </c>
      <c r="AK136" s="13">
        <f t="shared" si="143"/>
        <v>2.6568987209435707E-12</v>
      </c>
      <c r="AL136" s="20">
        <f t="shared" si="112"/>
        <v>4.959485612423072E-12</v>
      </c>
      <c r="AM136" s="59">
        <f t="shared" si="113"/>
        <v>285.46516387869838</v>
      </c>
      <c r="AN136" s="59">
        <f ca="1">AVERAGE(OFFSET($AM$3,0,0,'Données projet'!$E$10+1,1))-AVERAGE(OFFSET($H$3,0,0,'Données projet'!$E$10+1,1))</f>
        <v>363.98181065114898</v>
      </c>
      <c r="AO136" s="59">
        <f t="shared" si="144"/>
        <v>410.85213343666396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56.450834317374657</v>
      </c>
      <c r="AV136" s="21">
        <f>EXP(-LN(2)/25)*AV135+(1-EXP(-LN(2)/25))/(LN(2)/25)*Calculateur!AQ136*Calculateur!AS136*VLOOKUP('Données projet'!$B$10,Paramètres!$A$1:$I$89,3,0)*0.475*44/12</f>
        <v>17.510080982275213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73.960915299649869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67.854135603280028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-9.9316821433603781E-14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433.6995276469014</v>
      </c>
      <c r="BJ136" s="59">
        <f t="shared" si="146"/>
        <v>306.37969720280557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52.378250090946885</v>
      </c>
      <c r="BQ136" s="21">
        <f>EXP(-LN(2)/25)*BQ135+(1-EXP(-LN(2)/25))/(LN(2)/25)*Calculateur!BL136*Calculateur!BN136*VLOOKUP('Données projet'!$B$11,Paramètres!$A$1:$I$89,3,0)*0.475*44/12</f>
        <v>16.603970408491747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68.982220499438625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67.854135603280028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5.5</v>
      </c>
      <c r="BY136" s="12">
        <f>IF('Données projet'!$A$114&gt;35,BY135+BX136-CG135,IF(A136&lt;'Données projet'!$A$114,$BV$205^A136,IF(A136='Données projet'!$A$114,'Données projet'!$B$114,BY135+BX136-CG135)))</f>
        <v>293</v>
      </c>
      <c r="BZ136" s="13">
        <f>BY136*VLOOKUP('Données projet'!$B$12,Paramètres!$A$1:$I$89,3,0)*VLOOKUP('Données projet'!$B$12,Paramètres!$A$1:$I$89,5,0)</f>
        <v>283.38960000000003</v>
      </c>
      <c r="CA136" s="13">
        <f t="shared" si="147"/>
        <v>67.682826374656429</v>
      </c>
      <c r="CB136" s="20">
        <f t="shared" si="118"/>
        <v>611.4511426025266</v>
      </c>
      <c r="CC136" s="59">
        <f t="shared" si="119"/>
        <v>896.91630648122009</v>
      </c>
      <c r="CD136" s="59">
        <f ca="1">AVERAGE(OFFSET($CC$3,0,0,'Données projet'!$E$12+1,1))-AVERAGE(OFFSET($H$3,0,0,'Données projet'!$E$12+1,1))</f>
        <v>455.95436253828132</v>
      </c>
      <c r="CE136" s="59">
        <f t="shared" si="148"/>
        <v>64.829921296688497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37.437021711341579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37.437021711341579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67.854135603280028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5.6843418860808015E-14</v>
      </c>
      <c r="CU136" s="17">
        <f>CT136*VLOOKUP('Données projet'!$B$13,Paramètres!$A$1:$I$89,3,0)*VLOOKUP('Données projet'!$B$13,Paramètres!$A$1:$I$89,5,0)</f>
        <v>4.4337866711430253E-14</v>
      </c>
      <c r="CV136" s="13">
        <f t="shared" si="149"/>
        <v>7.3222115536967035E-13</v>
      </c>
      <c r="CW136" s="20">
        <f t="shared" si="121"/>
        <v>1.3525069634579169E-12</v>
      </c>
      <c r="CX136" s="59">
        <f t="shared" si="122"/>
        <v>285.4651638786948</v>
      </c>
      <c r="CY136" s="59">
        <f ca="1">AVERAGE(OFFSET($CX$3,0,0,'Données projet'!$E$13+1,1))-AVERAGE(OFFSET($H$3,0,0,'Données projet'!$E$13+1,1))</f>
        <v>306.44760579759713</v>
      </c>
      <c r="CZ136" s="59">
        <f t="shared" si="150"/>
        <v>300.30192123221718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24.901242919781875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24.901242919781875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67.854135603280028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67.854135603280028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67.854135603280028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67.854135603280028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67.854135603280028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4.4000000000000004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16.133333333333336</v>
      </c>
      <c r="H137" s="67">
        <f t="shared" si="110"/>
        <v>192.13333333333333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67.89136155312903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1.1368683772161603E-13</v>
      </c>
      <c r="O137" s="13">
        <f>N137*VLOOKUP('Données projet'!$B$9,Paramètres!$A$1:$I$89,3,0)*VLOOKUP('Données projet'!$B$9,Paramètres!$A$1:$I$89,5,0)</f>
        <v>6.7984728957526396E-14</v>
      </c>
      <c r="P137" s="13">
        <f t="shared" si="141"/>
        <v>1.0682447123141398E-12</v>
      </c>
      <c r="Q137" s="20">
        <f t="shared" si="108"/>
        <v>1.978932943548152E-12</v>
      </c>
      <c r="R137" s="59">
        <f t="shared" si="109"/>
        <v>285.60165902814174</v>
      </c>
      <c r="S137" s="59">
        <f ca="1">AVERAGE(OFFSET($R$3,0,0,'Données projet'!$E$9+1,1))-AVERAGE(OFFSET($H$3,0,0,'Données projet'!$E$9+1,1))</f>
        <v>299.45724561493057</v>
      </c>
      <c r="T137" s="59">
        <f t="shared" si="142"/>
        <v>297.63369027443196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27.548888667967081</v>
      </c>
      <c r="AA137" s="21">
        <f>EXP(-LN(2)/25)*AA136+(1-EXP(-LN(2)/25))/(LN(2)/25)*Calculateur!V137*Calculateur!X137*VLOOKUP('Données projet'!$B$9,Paramètres!$A$1:$I$89,3,0)*0.475*44/12</f>
        <v>9.3831333247192106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36.932021992686288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67.89136155312903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3.4106051316484809E-13</v>
      </c>
      <c r="AJ137" s="13">
        <f>AI137*VLOOKUP('Données projet'!$B$10,Paramètres!$A$1:$I$89,3,0)*VLOOKUP('Données projet'!$B$10,Paramètres!$A$1:$I$89,5,0)</f>
        <v>1.9065282685915009E-13</v>
      </c>
      <c r="AK137" s="13">
        <f t="shared" si="143"/>
        <v>2.6568987209435707E-12</v>
      </c>
      <c r="AL137" s="20">
        <f t="shared" si="112"/>
        <v>4.959485612423072E-12</v>
      </c>
      <c r="AM137" s="59">
        <f t="shared" si="113"/>
        <v>285.6016590281447</v>
      </c>
      <c r="AN137" s="59">
        <f ca="1">AVERAGE(OFFSET($AM$3,0,0,'Données projet'!$E$10+1,1))-AVERAGE(OFFSET($H$3,0,0,'Données projet'!$E$10+1,1))</f>
        <v>363.98181065114898</v>
      </c>
      <c r="AO137" s="59">
        <f t="shared" si="144"/>
        <v>410.85213343666396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55.343867888020036</v>
      </c>
      <c r="AV137" s="21">
        <f>EXP(-LN(2)/25)*AV136+(1-EXP(-LN(2)/25))/(LN(2)/25)*Calculateur!AQ137*Calculateur!AS137*VLOOKUP('Données projet'!$B$10,Paramètres!$A$1:$I$89,3,0)*0.475*44/12</f>
        <v>17.031266896999757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72.375134785019796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67.89136155312903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-9.9316821433603781E-14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433.6995276469014</v>
      </c>
      <c r="BJ137" s="59">
        <f t="shared" si="146"/>
        <v>306.37969720280557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51.351144554241408</v>
      </c>
      <c r="BQ137" s="21">
        <f>EXP(-LN(2)/25)*BQ136+(1-EXP(-LN(2)/25))/(LN(2)/25)*Calculateur!BL137*Calculateur!BN137*VLOOKUP('Données projet'!$B$11,Paramètres!$A$1:$I$89,3,0)*0.475*44/12</f>
        <v>16.149933964506687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67.501078518748102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67.89136155312903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5.5</v>
      </c>
      <c r="BY137" s="12">
        <f>IF('Données projet'!$A$114&gt;35,BY136+BX137-CG136,IF(A137&lt;'Données projet'!$A$114,$BV$205^A137,IF(A137='Données projet'!$A$114,'Données projet'!$B$114,BY136+BX137-CG136)))</f>
        <v>298.5</v>
      </c>
      <c r="BZ137" s="13">
        <f>BY137*VLOOKUP('Données projet'!$B$12,Paramètres!$A$1:$I$89,3,0)*VLOOKUP('Données projet'!$B$12,Paramètres!$A$1:$I$89,5,0)</f>
        <v>288.70920000000001</v>
      </c>
      <c r="CA137" s="13">
        <f t="shared" si="147"/>
        <v>68.804219335128607</v>
      </c>
      <c r="CB137" s="20">
        <f t="shared" si="118"/>
        <v>622.66920534201563</v>
      </c>
      <c r="CC137" s="59">
        <f t="shared" si="119"/>
        <v>908.27086437015532</v>
      </c>
      <c r="CD137" s="59">
        <f ca="1">AVERAGE(OFFSET($CC$3,0,0,'Données projet'!$E$12+1,1))-AVERAGE(OFFSET($H$3,0,0,'Données projet'!$E$12+1,1))</f>
        <v>455.95436253828132</v>
      </c>
      <c r="CE137" s="59">
        <f t="shared" si="148"/>
        <v>64.829921296688497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36.702904549910713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36.702904549910713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67.89136155312903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5.6843418860808015E-14</v>
      </c>
      <c r="CU137" s="17">
        <f>CT137*VLOOKUP('Données projet'!$B$13,Paramètres!$A$1:$I$89,3,0)*VLOOKUP('Données projet'!$B$13,Paramètres!$A$1:$I$89,5,0)</f>
        <v>4.4337866711430253E-14</v>
      </c>
      <c r="CV137" s="13">
        <f t="shared" si="149"/>
        <v>7.3222115536967035E-13</v>
      </c>
      <c r="CW137" s="20">
        <f t="shared" si="121"/>
        <v>1.3525069634579169E-12</v>
      </c>
      <c r="CX137" s="59">
        <f t="shared" si="122"/>
        <v>285.60165902814111</v>
      </c>
      <c r="CY137" s="59">
        <f ca="1">AVERAGE(OFFSET($CX$3,0,0,'Données projet'!$E$13+1,1))-AVERAGE(OFFSET($H$3,0,0,'Données projet'!$E$13+1,1))</f>
        <v>306.44760579759713</v>
      </c>
      <c r="CZ137" s="59">
        <f t="shared" si="150"/>
        <v>300.30192123221718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24.412944734383419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24.412944734383419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67.89136155312903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67.89136155312903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67.89136155312903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67.89136155312903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67.89136155312903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4.4000000000000004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16.133333333333336</v>
      </c>
      <c r="H138" s="67">
        <f t="shared" si="110"/>
        <v>192.13333333333333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67.927941715972906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1.1368683772161603E-13</v>
      </c>
      <c r="O138" s="13">
        <f>N138*VLOOKUP('Données projet'!$B$9,Paramètres!$A$1:$I$89,3,0)*VLOOKUP('Données projet'!$B$9,Paramètres!$A$1:$I$89,5,0)</f>
        <v>6.7984728957526396E-14</v>
      </c>
      <c r="P138" s="13">
        <f t="shared" si="141"/>
        <v>1.0682447123141398E-12</v>
      </c>
      <c r="Q138" s="20">
        <f t="shared" si="108"/>
        <v>1.978932943548152E-12</v>
      </c>
      <c r="R138" s="59">
        <f t="shared" si="109"/>
        <v>285.73578629190263</v>
      </c>
      <c r="S138" s="59">
        <f ca="1">AVERAGE(OFFSET($R$3,0,0,'Données projet'!$E$9+1,1))-AVERAGE(OFFSET($H$3,0,0,'Données projet'!$E$9+1,1))</f>
        <v>299.45724561493057</v>
      </c>
      <c r="T138" s="59">
        <f t="shared" si="142"/>
        <v>297.63369027443196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27.00867176435116</v>
      </c>
      <c r="AA138" s="21">
        <f>EXP(-LN(2)/25)*AA137+(1-EXP(-LN(2)/25))/(LN(2)/25)*Calculateur!V138*Calculateur!X138*VLOOKUP('Données projet'!$B$9,Paramètres!$A$1:$I$89,3,0)*0.475*44/12</f>
        <v>9.1265510505172269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36.135222814868385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67.927941715972906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3.4106051316484809E-13</v>
      </c>
      <c r="AJ138" s="13">
        <f>AI138*VLOOKUP('Données projet'!$B$10,Paramètres!$A$1:$I$89,3,0)*VLOOKUP('Données projet'!$B$10,Paramètres!$A$1:$I$89,5,0)</f>
        <v>1.9065282685915009E-13</v>
      </c>
      <c r="AK138" s="13">
        <f t="shared" si="143"/>
        <v>2.6568987209435707E-12</v>
      </c>
      <c r="AL138" s="20">
        <f t="shared" si="112"/>
        <v>4.959485612423072E-12</v>
      </c>
      <c r="AM138" s="59">
        <f t="shared" si="113"/>
        <v>285.73578629190558</v>
      </c>
      <c r="AN138" s="59">
        <f ca="1">AVERAGE(OFFSET($AM$3,0,0,'Données projet'!$E$10+1,1))-AVERAGE(OFFSET($H$3,0,0,'Données projet'!$E$10+1,1))</f>
        <v>363.98181065114898</v>
      </c>
      <c r="AO138" s="59">
        <f t="shared" si="144"/>
        <v>410.85213343666396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54.258608395162206</v>
      </c>
      <c r="AV138" s="21">
        <f>EXP(-LN(2)/25)*AV137+(1-EXP(-LN(2)/25))/(LN(2)/25)*Calculateur!AQ138*Calculateur!AS138*VLOOKUP('Données projet'!$B$10,Paramètres!$A$1:$I$89,3,0)*0.475*44/12</f>
        <v>16.565546008065898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70.824154403228107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67.927941715972906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-9.9316821433603781E-14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433.6995276469014</v>
      </c>
      <c r="BJ138" s="59">
        <f t="shared" si="146"/>
        <v>306.37969720280557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50.344179930638212</v>
      </c>
      <c r="BQ138" s="21">
        <f>EXP(-LN(2)/25)*BQ137+(1-EXP(-LN(2)/25))/(LN(2)/25)*Calculateur!BL138*Calculateur!BN138*VLOOKUP('Données projet'!$B$11,Paramètres!$A$1:$I$89,3,0)*0.475*44/12</f>
        <v>15.708313170959135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66.052493101597349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67.927941715972906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>
        <f>VLOOKUP(A138,'Données projet'!$A$113:$I$133,2,0)</f>
        <v>304</v>
      </c>
      <c r="BW138" s="12">
        <f>VLOOKUP(A138,'Données projet'!$A$113:$I$133,9,0)</f>
        <v>5.5</v>
      </c>
      <c r="BX138" s="12">
        <f t="array" ref="BX138">INDEX(BW:BW,MIN(IF(ISNUMBER(BW138:BW334),ROW(BW138:BW334),"")))</f>
        <v>5.5</v>
      </c>
      <c r="BY138" s="12">
        <f>IF('Données projet'!$A$114&gt;35,BY137+BX138-CG137,IF(A138&lt;'Données projet'!$A$114,$BV$205^A138,IF(A138='Données projet'!$A$114,'Données projet'!$B$114,BY137+BX138-CG137)))</f>
        <v>304</v>
      </c>
      <c r="BZ138" s="13">
        <f>BY138*VLOOKUP('Données projet'!$B$12,Paramètres!$A$1:$I$89,3,0)*VLOOKUP('Données projet'!$B$12,Paramètres!$A$1:$I$89,5,0)</f>
        <v>294.02879999999999</v>
      </c>
      <c r="CA138" s="13">
        <f t="shared" si="147"/>
        <v>69.923209651185729</v>
      </c>
      <c r="CB138" s="20">
        <f t="shared" si="118"/>
        <v>633.88308347581506</v>
      </c>
      <c r="CC138" s="59">
        <f t="shared" si="119"/>
        <v>919.61886976771575</v>
      </c>
      <c r="CD138" s="59">
        <f ca="1">AVERAGE(OFFSET($CC$3,0,0,'Données projet'!$E$12+1,1))-AVERAGE(OFFSET($H$3,0,0,'Données projet'!$E$12+1,1))</f>
        <v>455.95436253828132</v>
      </c>
      <c r="CE138" s="59">
        <f t="shared" si="148"/>
        <v>64.829921296688497</v>
      </c>
      <c r="CF138" s="15">
        <f>IF(ISNA(VLOOKUP(A138,'Données projet'!$A$113:$I$133,3,0)),0,VLOOKUP(A138,'Données projet'!$A$113:$I$133,3,0))</f>
        <v>12</v>
      </c>
      <c r="CG138" s="15">
        <f>IF(ISNA(VLOOKUP(A138,'Données projet'!$A$113:$I$133,4,0)),0,VLOOKUP(A138,'Données projet'!$A$113:$I$133,4,0))</f>
        <v>39</v>
      </c>
      <c r="CH138" s="16">
        <f>IF(ISNA(VLOOKUP(A138,'Données projet'!$A$113:$I$133,5,0)),0%,VLOOKUP(A138,'Données projet'!$A$113:$I$133,5,0)*VLOOKUP('Données projet'!$B$12,Paramètres!$A$1:$I$89,7,0))</f>
        <v>0.25800000000000001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46.741583568058175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46.741583568058175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67.927941715972906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5.6843418860808015E-14</v>
      </c>
      <c r="CU138" s="17">
        <f>CT138*VLOOKUP('Données projet'!$B$13,Paramètres!$A$1:$I$89,3,0)*VLOOKUP('Données projet'!$B$13,Paramètres!$A$1:$I$89,5,0)</f>
        <v>4.4337866711430253E-14</v>
      </c>
      <c r="CV138" s="13">
        <f t="shared" si="149"/>
        <v>7.3222115536967035E-13</v>
      </c>
      <c r="CW138" s="20">
        <f t="shared" si="121"/>
        <v>1.3525069634579169E-12</v>
      </c>
      <c r="CX138" s="59">
        <f t="shared" si="122"/>
        <v>285.735786291902</v>
      </c>
      <c r="CY138" s="59">
        <f ca="1">AVERAGE(OFFSET($CX$3,0,0,'Données projet'!$E$13+1,1))-AVERAGE(OFFSET($H$3,0,0,'Données projet'!$E$13+1,1))</f>
        <v>306.44760579759713</v>
      </c>
      <c r="CZ138" s="59">
        <f t="shared" si="150"/>
        <v>300.30192123221718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23.934221778568141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23.934221778568141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67.927941715972906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67.927941715972906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67.927941715972906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67.927941715972906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67.927941715972906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4.4000000000000004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16.133333333333336</v>
      </c>
      <c r="H139" s="67">
        <f t="shared" si="110"/>
        <v>192.13333333333333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67.963887294772448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1.1368683772161603E-13</v>
      </c>
      <c r="O139" s="13">
        <f>N139*VLOOKUP('Données projet'!$B$9,Paramètres!$A$1:$I$89,3,0)*VLOOKUP('Données projet'!$B$9,Paramètres!$A$1:$I$89,5,0)</f>
        <v>6.7984728957526396E-14</v>
      </c>
      <c r="P139" s="13">
        <f t="shared" si="141"/>
        <v>1.0682447123141398E-12</v>
      </c>
      <c r="Q139" s="20">
        <f t="shared" si="108"/>
        <v>1.978932943548152E-12</v>
      </c>
      <c r="R139" s="59">
        <f t="shared" si="109"/>
        <v>285.86758674750098</v>
      </c>
      <c r="S139" s="59">
        <f ca="1">AVERAGE(OFFSET($R$3,0,0,'Données projet'!$E$9+1,1))-AVERAGE(OFFSET($H$3,0,0,'Données projet'!$E$9+1,1))</f>
        <v>299.45724561493057</v>
      </c>
      <c r="T139" s="59">
        <f t="shared" si="142"/>
        <v>297.63369027443196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26.479048184715371</v>
      </c>
      <c r="AA139" s="21">
        <f>EXP(-LN(2)/25)*AA138+(1-EXP(-LN(2)/25))/(LN(2)/25)*Calculateur!V139*Calculateur!X139*VLOOKUP('Données projet'!$B$9,Paramètres!$A$1:$I$89,3,0)*0.475*44/12</f>
        <v>8.876985032096373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35.356033216811745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67.963887294772448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3.4106051316484809E-13</v>
      </c>
      <c r="AJ139" s="13">
        <f>AI139*VLOOKUP('Données projet'!$B$10,Paramètres!$A$1:$I$89,3,0)*VLOOKUP('Données projet'!$B$10,Paramètres!$A$1:$I$89,5,0)</f>
        <v>1.9065282685915009E-13</v>
      </c>
      <c r="AK139" s="13">
        <f t="shared" si="143"/>
        <v>2.6568987209435707E-12</v>
      </c>
      <c r="AL139" s="20">
        <f t="shared" si="112"/>
        <v>4.959485612423072E-12</v>
      </c>
      <c r="AM139" s="59">
        <f t="shared" si="113"/>
        <v>285.86758674750394</v>
      </c>
      <c r="AN139" s="59">
        <f ca="1">AVERAGE(OFFSET($AM$3,0,0,'Données projet'!$E$10+1,1))-AVERAGE(OFFSET($H$3,0,0,'Données projet'!$E$10+1,1))</f>
        <v>363.98181065114898</v>
      </c>
      <c r="AO139" s="59">
        <f t="shared" si="144"/>
        <v>410.85213343666396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53.194630179016386</v>
      </c>
      <c r="AV139" s="21">
        <f>EXP(-LN(2)/25)*AV138+(1-EXP(-LN(2)/25))/(LN(2)/25)*Calculateur!AQ139*Calculateur!AS139*VLOOKUP('Données projet'!$B$10,Paramètres!$A$1:$I$89,3,0)*0.475*44/12</f>
        <v>16.112560281331131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69.307190460347513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67.963887294772448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-9.9316821433603781E-14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433.6995276469014</v>
      </c>
      <c r="BJ139" s="59">
        <f t="shared" si="146"/>
        <v>306.37969720280557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49.356961269116098</v>
      </c>
      <c r="BQ139" s="21">
        <f>EXP(-LN(2)/25)*BQ138+(1-EXP(-LN(2)/25))/(LN(2)/25)*Calculateur!BL139*Calculateur!BN139*VLOOKUP('Données projet'!$B$11,Paramètres!$A$1:$I$89,3,0)*0.475*44/12</f>
        <v>15.278768521234969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64.635729790351064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67.963887294772448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5.7</v>
      </c>
      <c r="BY139" s="12">
        <f>IF('Données projet'!$A$114&gt;35,BY138+BX139-CG138,IF(A139&lt;'Données projet'!$A$114,$BV$205^A139,IF(A139='Données projet'!$A$114,'Données projet'!$B$114,BY138+BX139-CG138)))</f>
        <v>270.7</v>
      </c>
      <c r="BZ139" s="13">
        <f>BY139*VLOOKUP('Données projet'!$B$12,Paramètres!$A$1:$I$89,3,0)*VLOOKUP('Données projet'!$B$12,Paramètres!$A$1:$I$89,5,0)</f>
        <v>261.82104000000004</v>
      </c>
      <c r="CA139" s="13">
        <f t="shared" si="147"/>
        <v>63.110392273471149</v>
      </c>
      <c r="CB139" s="20">
        <f t="shared" si="118"/>
        <v>565.92224454296229</v>
      </c>
      <c r="CC139" s="59">
        <f t="shared" si="119"/>
        <v>851.78983129046128</v>
      </c>
      <c r="CD139" s="59">
        <f ca="1">AVERAGE(OFFSET($CC$3,0,0,'Données projet'!$E$12+1,1))-AVERAGE(OFFSET($H$3,0,0,'Données projet'!$E$12+1,1))</f>
        <v>455.95436253828132</v>
      </c>
      <c r="CE139" s="59">
        <f t="shared" si="148"/>
        <v>64.829921296688497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45.825009623839449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45.825009623839449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67.963887294772448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5.6843418860808015E-14</v>
      </c>
      <c r="CU139" s="17">
        <f>CT139*VLOOKUP('Données projet'!$B$13,Paramètres!$A$1:$I$89,3,0)*VLOOKUP('Données projet'!$B$13,Paramètres!$A$1:$I$89,5,0)</f>
        <v>4.4337866711430253E-14</v>
      </c>
      <c r="CV139" s="13">
        <f t="shared" si="149"/>
        <v>7.3222115536967035E-13</v>
      </c>
      <c r="CW139" s="20">
        <f t="shared" si="121"/>
        <v>1.3525069634579169E-12</v>
      </c>
      <c r="CX139" s="59">
        <f t="shared" si="122"/>
        <v>285.86758674750035</v>
      </c>
      <c r="CY139" s="59">
        <f ca="1">AVERAGE(OFFSET($CX$3,0,0,'Données projet'!$E$13+1,1))-AVERAGE(OFFSET($H$3,0,0,'Données projet'!$E$13+1,1))</f>
        <v>306.44760579759713</v>
      </c>
      <c r="CZ139" s="59">
        <f t="shared" si="150"/>
        <v>300.30192123221718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23.46488628792423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23.46488628792423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67.963887294772448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67.963887294772448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67.963887294772448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67.963887294772448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67.963887294772448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4.4000000000000004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16.133333333333336</v>
      </c>
      <c r="H140" s="67">
        <f t="shared" si="110"/>
        <v>192.13333333333333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67.999209298142091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1.1368683772161603E-13</v>
      </c>
      <c r="O140" s="13">
        <f>N140*VLOOKUP('Données projet'!$B$9,Paramètres!$A$1:$I$89,3,0)*VLOOKUP('Données projet'!$B$9,Paramètres!$A$1:$I$89,5,0)</f>
        <v>6.7984728957526396E-14</v>
      </c>
      <c r="P140" s="13">
        <f t="shared" si="141"/>
        <v>1.0682447123141398E-12</v>
      </c>
      <c r="Q140" s="20">
        <f t="shared" si="108"/>
        <v>1.978932943548152E-12</v>
      </c>
      <c r="R140" s="59">
        <f t="shared" si="109"/>
        <v>285.99710075985632</v>
      </c>
      <c r="S140" s="59">
        <f ca="1">AVERAGE(OFFSET($R$3,0,0,'Données projet'!$E$9+1,1))-AVERAGE(OFFSET($H$3,0,0,'Données projet'!$E$9+1,1))</f>
        <v>299.45724561493057</v>
      </c>
      <c r="T140" s="59">
        <f t="shared" si="142"/>
        <v>297.63369027443196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25.959810200437754</v>
      </c>
      <c r="AA140" s="21">
        <f>EXP(-LN(2)/25)*AA139+(1-EXP(-LN(2)/25))/(LN(2)/25)*Calculateur!V140*Calculateur!X140*VLOOKUP('Données projet'!$B$9,Paramètres!$A$1:$I$89,3,0)*0.475*44/12</f>
        <v>8.6342434095733438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34.594053610011102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67.999209298142091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3.4106051316484809E-13</v>
      </c>
      <c r="AJ140" s="13">
        <f>AI140*VLOOKUP('Données projet'!$B$10,Paramètres!$A$1:$I$89,3,0)*VLOOKUP('Données projet'!$B$10,Paramètres!$A$1:$I$89,5,0)</f>
        <v>1.9065282685915009E-13</v>
      </c>
      <c r="AK140" s="13">
        <f t="shared" si="143"/>
        <v>2.6568987209435707E-12</v>
      </c>
      <c r="AL140" s="20">
        <f t="shared" si="112"/>
        <v>4.959485612423072E-12</v>
      </c>
      <c r="AM140" s="59">
        <f t="shared" si="113"/>
        <v>285.99710075985928</v>
      </c>
      <c r="AN140" s="59">
        <f ca="1">AVERAGE(OFFSET($AM$3,0,0,'Données projet'!$E$10+1,1))-AVERAGE(OFFSET($H$3,0,0,'Données projet'!$E$10+1,1))</f>
        <v>363.98181065114898</v>
      </c>
      <c r="AO140" s="59">
        <f t="shared" si="144"/>
        <v>410.85213343666396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52.151515926726553</v>
      </c>
      <c r="AV140" s="21">
        <f>EXP(-LN(2)/25)*AV139+(1-EXP(-LN(2)/25))/(LN(2)/25)*Calculateur!AQ140*Calculateur!AS140*VLOOKUP('Données projet'!$B$10,Paramètres!$A$1:$I$89,3,0)*0.475*44/12</f>
        <v>15.671961473115411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67.823477399841963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67.999209298142091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-9.9316821433603781E-14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433.6995276469014</v>
      </c>
      <c r="BJ140" s="59">
        <f t="shared" si="146"/>
        <v>306.37969720280557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48.389101363402503</v>
      </c>
      <c r="BQ140" s="21">
        <f>EXP(-LN(2)/25)*BQ139+(1-EXP(-LN(2)/25))/(LN(2)/25)*Calculateur!BL140*Calculateur!BN140*VLOOKUP('Données projet'!$B$11,Paramètres!$A$1:$I$89,3,0)*0.475*44/12</f>
        <v>14.860969792546282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63.250071155948788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67.999209298142091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5.7</v>
      </c>
      <c r="BY140" s="12">
        <f>IF('Données projet'!$A$114&gt;35,BY139+BX140-CG139,IF(A140&lt;'Données projet'!$A$114,$BV$205^A140,IF(A140='Données projet'!$A$114,'Données projet'!$B$114,BY139+BX140-CG139)))</f>
        <v>276.39999999999998</v>
      </c>
      <c r="BZ140" s="13">
        <f>BY140*VLOOKUP('Données projet'!$B$12,Paramètres!$A$1:$I$89,3,0)*VLOOKUP('Données projet'!$B$12,Paramètres!$A$1:$I$89,5,0)</f>
        <v>267.33408000000003</v>
      </c>
      <c r="CA140" s="13">
        <f t="shared" si="147"/>
        <v>64.283167454543104</v>
      </c>
      <c r="CB140" s="20">
        <f t="shared" si="118"/>
        <v>577.56670598332937</v>
      </c>
      <c r="CC140" s="59">
        <f t="shared" si="119"/>
        <v>863.5638067431837</v>
      </c>
      <c r="CD140" s="59">
        <f ca="1">AVERAGE(OFFSET($CC$3,0,0,'Données projet'!$E$12+1,1))-AVERAGE(OFFSET($H$3,0,0,'Données projet'!$E$12+1,1))</f>
        <v>455.95436253828132</v>
      </c>
      <c r="CE140" s="59">
        <f t="shared" si="148"/>
        <v>64.829921296688497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44.926409135611948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44.926409135611948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67.999209298142091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5.6843418860808015E-14</v>
      </c>
      <c r="CU140" s="17">
        <f>CT140*VLOOKUP('Données projet'!$B$13,Paramètres!$A$1:$I$89,3,0)*VLOOKUP('Données projet'!$B$13,Paramètres!$A$1:$I$89,5,0)</f>
        <v>4.4337866711430253E-14</v>
      </c>
      <c r="CV140" s="13">
        <f t="shared" si="149"/>
        <v>7.3222115536967035E-13</v>
      </c>
      <c r="CW140" s="20">
        <f t="shared" si="121"/>
        <v>1.3525069634579169E-12</v>
      </c>
      <c r="CX140" s="59">
        <f t="shared" si="122"/>
        <v>285.9971007598557</v>
      </c>
      <c r="CY140" s="59">
        <f ca="1">AVERAGE(OFFSET($CX$3,0,0,'Données projet'!$E$13+1,1))-AVERAGE(OFFSET($H$3,0,0,'Données projet'!$E$13+1,1))</f>
        <v>306.44760579759713</v>
      </c>
      <c r="CZ140" s="59">
        <f t="shared" si="150"/>
        <v>300.30192123221718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23.004754179985461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23.004754179985461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67.999209298142091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67.999209298142091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67.999209298142091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67.999209298142091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67.999209298142091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4.4000000000000004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16.133333333333336</v>
      </c>
      <c r="H141" s="67">
        <f t="shared" si="110"/>
        <v>192.13333333333333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68.033918543721427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1.1368683772161603E-13</v>
      </c>
      <c r="O141" s="13">
        <f>N141*VLOOKUP('Données projet'!$B$9,Paramètres!$A$1:$I$89,3,0)*VLOOKUP('Données projet'!$B$9,Paramètres!$A$1:$I$89,5,0)</f>
        <v>6.7984728957526396E-14</v>
      </c>
      <c r="P141" s="13">
        <f t="shared" si="141"/>
        <v>1.0682447123141398E-12</v>
      </c>
      <c r="Q141" s="20">
        <f t="shared" si="108"/>
        <v>1.978932943548152E-12</v>
      </c>
      <c r="R141" s="59">
        <f t="shared" si="109"/>
        <v>286.12436799364718</v>
      </c>
      <c r="S141" s="59">
        <f ca="1">AVERAGE(OFFSET($R$3,0,0,'Données projet'!$E$9+1,1))-AVERAGE(OFFSET($H$3,0,0,'Données projet'!$E$9+1,1))</f>
        <v>299.45724561493057</v>
      </c>
      <c r="T141" s="59">
        <f t="shared" si="142"/>
        <v>297.63369027443196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25.450754156327921</v>
      </c>
      <c r="AA141" s="21">
        <f>EXP(-LN(2)/25)*AA140+(1-EXP(-LN(2)/25))/(LN(2)/25)*Calculateur!V141*Calculateur!X141*VLOOKUP('Données projet'!$B$9,Paramètres!$A$1:$I$89,3,0)*0.475*44/12</f>
        <v>8.3981395694834333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33.848893725811351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68.033918543721427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3.4106051316484809E-13</v>
      </c>
      <c r="AJ141" s="13">
        <f>AI141*VLOOKUP('Données projet'!$B$10,Paramètres!$A$1:$I$89,3,0)*VLOOKUP('Données projet'!$B$10,Paramètres!$A$1:$I$89,5,0)</f>
        <v>1.9065282685915009E-13</v>
      </c>
      <c r="AK141" s="13">
        <f t="shared" si="143"/>
        <v>2.6568987209435707E-12</v>
      </c>
      <c r="AL141" s="20">
        <f t="shared" si="112"/>
        <v>4.959485612423072E-12</v>
      </c>
      <c r="AM141" s="59">
        <f t="shared" si="113"/>
        <v>286.12436799365014</v>
      </c>
      <c r="AN141" s="59">
        <f ca="1">AVERAGE(OFFSET($AM$3,0,0,'Données projet'!$E$10+1,1))-AVERAGE(OFFSET($H$3,0,0,'Données projet'!$E$10+1,1))</f>
        <v>363.98181065114898</v>
      </c>
      <c r="AO141" s="59">
        <f t="shared" si="144"/>
        <v>410.85213343666396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51.128856508687257</v>
      </c>
      <c r="AV141" s="21">
        <f>EXP(-LN(2)/25)*AV140+(1-EXP(-LN(2)/25))/(LN(2)/25)*Calculateur!AQ141*Calculateur!AS141*VLOOKUP('Données projet'!$B$10,Paramètres!$A$1:$I$89,3,0)*0.475*44/12</f>
        <v>15.243410862480435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66.372267371167695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68.033918543721427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-9.9316821433603781E-14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433.6995276469014</v>
      </c>
      <c r="BJ141" s="59">
        <f t="shared" si="146"/>
        <v>306.37969720280557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47.4402206001037</v>
      </c>
      <c r="BQ141" s="21">
        <f>EXP(-LN(2)/25)*BQ140+(1-EXP(-LN(2)/25))/(LN(2)/25)*Calculateur!BL141*Calculateur!BN141*VLOOKUP('Données projet'!$B$11,Paramètres!$A$1:$I$89,3,0)*0.475*44/12</f>
        <v>14.454595792064667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61.894816392168366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68.033918543721427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5.7</v>
      </c>
      <c r="BY141" s="12">
        <f>IF('Données projet'!$A$114&gt;35,BY140+BX141-CG140,IF(A141&lt;'Données projet'!$A$114,$BV$205^A141,IF(A141='Données projet'!$A$114,'Données projet'!$B$114,BY140+BX141-CG140)))</f>
        <v>282.09999999999997</v>
      </c>
      <c r="BZ141" s="13">
        <f>BY141*VLOOKUP('Données projet'!$B$12,Paramètres!$A$1:$I$89,3,0)*VLOOKUP('Données projet'!$B$12,Paramètres!$A$1:$I$89,5,0)</f>
        <v>272.84711999999996</v>
      </c>
      <c r="CA141" s="13">
        <f t="shared" si="147"/>
        <v>65.453130631445774</v>
      </c>
      <c r="CB141" s="20">
        <f t="shared" si="118"/>
        <v>589.20626984976798</v>
      </c>
      <c r="CC141" s="59">
        <f t="shared" si="119"/>
        <v>875.33063784341311</v>
      </c>
      <c r="CD141" s="59">
        <f ca="1">AVERAGE(OFFSET($CC$3,0,0,'Données projet'!$E$12+1,1))-AVERAGE(OFFSET($H$3,0,0,'Données projet'!$E$12+1,1))</f>
        <v>455.95436253828132</v>
      </c>
      <c r="CE141" s="59">
        <f t="shared" si="148"/>
        <v>64.829921296688497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44.04542965486641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44.04542965486641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68.033918543721427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5.6843418860808015E-14</v>
      </c>
      <c r="CU141" s="17">
        <f>CT141*VLOOKUP('Données projet'!$B$13,Paramètres!$A$1:$I$89,3,0)*VLOOKUP('Données projet'!$B$13,Paramètres!$A$1:$I$89,5,0)</f>
        <v>4.4337866711430253E-14</v>
      </c>
      <c r="CV141" s="13">
        <f t="shared" si="149"/>
        <v>7.3222115536967035E-13</v>
      </c>
      <c r="CW141" s="20">
        <f t="shared" si="121"/>
        <v>1.3525069634579169E-12</v>
      </c>
      <c r="CX141" s="59">
        <f t="shared" si="122"/>
        <v>286.12436799364656</v>
      </c>
      <c r="CY141" s="59">
        <f ca="1">AVERAGE(OFFSET($CX$3,0,0,'Données projet'!$E$13+1,1))-AVERAGE(OFFSET($H$3,0,0,'Données projet'!$E$13+1,1))</f>
        <v>306.44760579759713</v>
      </c>
      <c r="CZ141" s="59">
        <f t="shared" si="150"/>
        <v>300.30192123221718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22.553644982030498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22.553644982030498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68.033918543721427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68.033918543721427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68.033918543721427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68.033918543721427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68.033918543721427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4.4000000000000004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16.133333333333336</v>
      </c>
      <c r="H142" s="67">
        <f t="shared" si="110"/>
        <v>192.13333333333333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68.068025661488221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1.1368683772161603E-13</v>
      </c>
      <c r="O142" s="13">
        <f>N142*VLOOKUP('Données projet'!$B$9,Paramètres!$A$1:$I$89,3,0)*VLOOKUP('Données projet'!$B$9,Paramètres!$A$1:$I$89,5,0)</f>
        <v>6.7984728957526396E-14</v>
      </c>
      <c r="P142" s="13">
        <f t="shared" si="141"/>
        <v>1.0682447123141398E-12</v>
      </c>
      <c r="Q142" s="20">
        <f t="shared" si="108"/>
        <v>1.978932943548152E-12</v>
      </c>
      <c r="R142" s="59">
        <f t="shared" si="109"/>
        <v>286.2494274254588</v>
      </c>
      <c r="S142" s="59">
        <f ca="1">AVERAGE(OFFSET($R$3,0,0,'Données projet'!$E$9+1,1))-AVERAGE(OFFSET($H$3,0,0,'Données projet'!$E$9+1,1))</f>
        <v>299.45724561493057</v>
      </c>
      <c r="T142" s="59">
        <f t="shared" si="142"/>
        <v>297.63369027443196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24.951680390749555</v>
      </c>
      <c r="AA142" s="21">
        <f>EXP(-LN(2)/25)*AA141+(1-EXP(-LN(2)/25))/(LN(2)/25)*Calculateur!V142*Calculateur!X142*VLOOKUP('Données projet'!$B$9,Paramètres!$A$1:$I$89,3,0)*0.475*44/12</f>
        <v>8.1684920013169435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33.1201723920665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68.068025661488221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3.4106051316484809E-13</v>
      </c>
      <c r="AJ142" s="13">
        <f>AI142*VLOOKUP('Données projet'!$B$10,Paramètres!$A$1:$I$89,3,0)*VLOOKUP('Données projet'!$B$10,Paramètres!$A$1:$I$89,5,0)</f>
        <v>1.9065282685915009E-13</v>
      </c>
      <c r="AK142" s="13">
        <f t="shared" si="143"/>
        <v>2.6568987209435707E-12</v>
      </c>
      <c r="AL142" s="20">
        <f t="shared" si="112"/>
        <v>4.959485612423072E-12</v>
      </c>
      <c r="AM142" s="59">
        <f t="shared" si="113"/>
        <v>286.24942742546176</v>
      </c>
      <c r="AN142" s="59">
        <f ca="1">AVERAGE(OFFSET($AM$3,0,0,'Données projet'!$E$10+1,1))-AVERAGE(OFFSET($H$3,0,0,'Données projet'!$E$10+1,1))</f>
        <v>363.98181065114898</v>
      </c>
      <c r="AO142" s="59">
        <f t="shared" si="144"/>
        <v>410.85213343666396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50.126250818075057</v>
      </c>
      <c r="AV142" s="21">
        <f>EXP(-LN(2)/25)*AV141+(1-EXP(-LN(2)/25))/(LN(2)/25)*Calculateur!AQ142*Calculateur!AS142*VLOOKUP('Données projet'!$B$10,Paramètres!$A$1:$I$89,3,0)*0.475*44/12</f>
        <v>14.82657899082977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64.952829808904823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68.068025661488221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-9.9316821433603781E-14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433.6995276469014</v>
      </c>
      <c r="BJ142" s="59">
        <f t="shared" si="146"/>
        <v>306.37969720280557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46.509946809813073</v>
      </c>
      <c r="BQ142" s="21">
        <f>EXP(-LN(2)/25)*BQ141+(1-EXP(-LN(2)/25))/(LN(2)/25)*Calculateur!BL142*Calculateur!BN142*VLOOKUP('Données projet'!$B$11,Paramètres!$A$1:$I$89,3,0)*0.475*44/12</f>
        <v>14.059334109996502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60.569280919809572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68.068025661488221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5.7</v>
      </c>
      <c r="BY142" s="12">
        <f>IF('Données projet'!$A$114&gt;35,BY141+BX142-CG141,IF(A142&lt;'Données projet'!$A$114,$BV$205^A142,IF(A142='Données projet'!$A$114,'Données projet'!$B$114,BY141+BX142-CG141)))</f>
        <v>287.79999999999995</v>
      </c>
      <c r="BZ142" s="13">
        <f>BY142*VLOOKUP('Données projet'!$B$12,Paramètres!$A$1:$I$89,3,0)*VLOOKUP('Données projet'!$B$12,Paramètres!$A$1:$I$89,5,0)</f>
        <v>278.36015999999995</v>
      </c>
      <c r="CA142" s="13">
        <f t="shared" si="147"/>
        <v>66.620345170223231</v>
      </c>
      <c r="CB142" s="20">
        <f t="shared" si="118"/>
        <v>600.84104650480538</v>
      </c>
      <c r="CC142" s="59">
        <f t="shared" si="119"/>
        <v>887.09047393026219</v>
      </c>
      <c r="CD142" s="59">
        <f ca="1">AVERAGE(OFFSET($CC$3,0,0,'Données projet'!$E$12+1,1))-AVERAGE(OFFSET($H$3,0,0,'Données projet'!$E$12+1,1))</f>
        <v>455.95436253828132</v>
      </c>
      <c r="CE142" s="59">
        <f t="shared" si="148"/>
        <v>64.829921296688497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43.181725644393865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43.181725644393865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68.068025661488221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5.6843418860808015E-14</v>
      </c>
      <c r="CU142" s="17">
        <f>CT142*VLOOKUP('Données projet'!$B$13,Paramètres!$A$1:$I$89,3,0)*VLOOKUP('Données projet'!$B$13,Paramètres!$A$1:$I$89,5,0)</f>
        <v>4.4337866711430253E-14</v>
      </c>
      <c r="CV142" s="13">
        <f t="shared" si="149"/>
        <v>7.3222115536967035E-13</v>
      </c>
      <c r="CW142" s="20">
        <f t="shared" si="121"/>
        <v>1.3525069634579169E-12</v>
      </c>
      <c r="CX142" s="59">
        <f t="shared" si="122"/>
        <v>286.24942742545818</v>
      </c>
      <c r="CY142" s="59">
        <f ca="1">AVERAGE(OFFSET($CX$3,0,0,'Données projet'!$E$13+1,1))-AVERAGE(OFFSET($H$3,0,0,'Données projet'!$E$13+1,1))</f>
        <v>306.44760579759713</v>
      </c>
      <c r="CZ142" s="59">
        <f t="shared" si="150"/>
        <v>300.30192123221718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22.111381760297991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22.111381760297991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68.068025661488221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68.068025661488221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68.068025661488221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68.068025661488221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68.068025661488221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4.4000000000000004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16.133333333333336</v>
      </c>
      <c r="H143" s="67">
        <f t="shared" si="110"/>
        <v>192.13333333333333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68.10154109701385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1.1368683772161603E-13</v>
      </c>
      <c r="O143" s="13">
        <f>N143*VLOOKUP('Données projet'!$B$9,Paramètres!$A$1:$I$89,3,0)*VLOOKUP('Données projet'!$B$9,Paramètres!$A$1:$I$89,5,0)</f>
        <v>6.7984728957526396E-14</v>
      </c>
      <c r="P143" s="13">
        <f t="shared" si="141"/>
        <v>1.0682447123141398E-12</v>
      </c>
      <c r="Q143" s="20">
        <f t="shared" si="108"/>
        <v>1.978932943548152E-12</v>
      </c>
      <c r="R143" s="59">
        <f t="shared" si="109"/>
        <v>286.37231735571947</v>
      </c>
      <c r="S143" s="59">
        <f ca="1">AVERAGE(OFFSET($R$3,0,0,'Données projet'!$E$9+1,1))-AVERAGE(OFFSET($H$3,0,0,'Données projet'!$E$9+1,1))</f>
        <v>299.45724561493057</v>
      </c>
      <c r="T143" s="59">
        <f t="shared" si="142"/>
        <v>297.63369027443196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24.46239315730924</v>
      </c>
      <c r="AA143" s="21">
        <f>EXP(-LN(2)/25)*AA142+(1-EXP(-LN(2)/25))/(LN(2)/25)*Calculateur!V143*Calculateur!X143*VLOOKUP('Données projet'!$B$9,Paramètres!$A$1:$I$89,3,0)*0.475*44/12</f>
        <v>7.9451241579786069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32.407517315287848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68.10154109701385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3.4106051316484809E-13</v>
      </c>
      <c r="AJ143" s="13">
        <f>AI143*VLOOKUP('Données projet'!$B$10,Paramètres!$A$1:$I$89,3,0)*VLOOKUP('Données projet'!$B$10,Paramètres!$A$1:$I$89,5,0)</f>
        <v>1.9065282685915009E-13</v>
      </c>
      <c r="AK143" s="13">
        <f t="shared" si="143"/>
        <v>2.6568987209435707E-12</v>
      </c>
      <c r="AL143" s="20">
        <f t="shared" si="112"/>
        <v>4.959485612423072E-12</v>
      </c>
      <c r="AM143" s="59">
        <f t="shared" si="113"/>
        <v>286.37231735572243</v>
      </c>
      <c r="AN143" s="59">
        <f ca="1">AVERAGE(OFFSET($AM$3,0,0,'Données projet'!$E$10+1,1))-AVERAGE(OFFSET($H$3,0,0,'Données projet'!$E$10+1,1))</f>
        <v>363.98181065114898</v>
      </c>
      <c r="AO143" s="59">
        <f t="shared" si="144"/>
        <v>410.85213343666396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49.143305613526671</v>
      </c>
      <c r="AV143" s="21">
        <f>EXP(-LN(2)/25)*AV142+(1-EXP(-LN(2)/25))/(LN(2)/25)*Calculateur!AQ143*Calculateur!AS143*VLOOKUP('Données projet'!$B$10,Paramètres!$A$1:$I$89,3,0)*0.475*44/12</f>
        <v>14.421145408629627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63.564451022156298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68.10154109701385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-9.9316821433603781E-14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433.6995276469014</v>
      </c>
      <c r="BJ143" s="59">
        <f t="shared" si="146"/>
        <v>306.37969720280557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45.59791512113906</v>
      </c>
      <c r="BQ143" s="21">
        <f>EXP(-LN(2)/25)*BQ142+(1-EXP(-LN(2)/25))/(LN(2)/25)*Calculateur!BL143*Calculateur!BN143*VLOOKUP('Données projet'!$B$11,Paramètres!$A$1:$I$89,3,0)*0.475*44/12</f>
        <v>13.6748808794104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59.272796000549462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68.10154109701385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5.7</v>
      </c>
      <c r="BY143" s="12">
        <f>IF('Données projet'!$A$114&gt;35,BY142+BX143-CG142,IF(A143&lt;'Données projet'!$A$114,$BV$205^A143,IF(A143='Données projet'!$A$114,'Données projet'!$B$114,BY142+BX143-CG142)))</f>
        <v>293.49999999999994</v>
      </c>
      <c r="BZ143" s="13">
        <f>BY143*VLOOKUP('Données projet'!$B$12,Paramètres!$A$1:$I$89,3,0)*VLOOKUP('Données projet'!$B$12,Paramètres!$A$1:$I$89,5,0)</f>
        <v>283.87319999999994</v>
      </c>
      <c r="CA143" s="13">
        <f t="shared" si="147"/>
        <v>67.784871783394976</v>
      </c>
      <c r="CB143" s="20">
        <f t="shared" si="118"/>
        <v>612.47114168941278</v>
      </c>
      <c r="CC143" s="59">
        <f t="shared" si="119"/>
        <v>898.8434590451302</v>
      </c>
      <c r="CD143" s="59">
        <f ca="1">AVERAGE(OFFSET($CC$3,0,0,'Données projet'!$E$12+1,1))-AVERAGE(OFFSET($H$3,0,0,'Données projet'!$E$12+1,1))</f>
        <v>455.95436253828132</v>
      </c>
      <c r="CE143" s="59">
        <f t="shared" si="148"/>
        <v>64.829921296688497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42.334958342759258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42.334958342759258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68.10154109701385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5.6843418860808015E-14</v>
      </c>
      <c r="CU143" s="17">
        <f>CT143*VLOOKUP('Données projet'!$B$13,Paramètres!$A$1:$I$89,3,0)*VLOOKUP('Données projet'!$B$13,Paramètres!$A$1:$I$89,5,0)</f>
        <v>4.4337866711430253E-14</v>
      </c>
      <c r="CV143" s="13">
        <f t="shared" si="149"/>
        <v>7.3222115536967035E-13</v>
      </c>
      <c r="CW143" s="20">
        <f t="shared" si="121"/>
        <v>1.3525069634579169E-12</v>
      </c>
      <c r="CX143" s="59">
        <f t="shared" si="122"/>
        <v>286.37231735571885</v>
      </c>
      <c r="CY143" s="59">
        <f ca="1">AVERAGE(OFFSET($CX$3,0,0,'Données projet'!$E$13+1,1))-AVERAGE(OFFSET($H$3,0,0,'Données projet'!$E$13+1,1))</f>
        <v>306.44760579759713</v>
      </c>
      <c r="CZ143" s="59">
        <f t="shared" si="150"/>
        <v>300.30192123221718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21.677791050589729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21.677791050589729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68.10154109701385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68.10154109701385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68.10154109701385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68.10154109701385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68.10154109701385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4.4000000000000004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16.133333333333336</v>
      </c>
      <c r="H144" s="67">
        <f t="shared" si="110"/>
        <v>192.13333333333333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68.134475114662393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1.1368683772161603E-13</v>
      </c>
      <c r="O144" s="13">
        <f>N144*VLOOKUP('Données projet'!$B$9,Paramètres!$A$1:$I$89,3,0)*VLOOKUP('Données projet'!$B$9,Paramètres!$A$1:$I$89,5,0)</f>
        <v>6.7984728957526396E-14</v>
      </c>
      <c r="P144" s="13">
        <f t="shared" si="141"/>
        <v>1.0682447123141398E-12</v>
      </c>
      <c r="Q144" s="20">
        <f t="shared" si="108"/>
        <v>1.978932943548152E-12</v>
      </c>
      <c r="R144" s="59">
        <f t="shared" si="109"/>
        <v>286.49307542043078</v>
      </c>
      <c r="S144" s="59">
        <f ca="1">AVERAGE(OFFSET($R$3,0,0,'Données projet'!$E$9+1,1))-AVERAGE(OFFSET($H$3,0,0,'Données projet'!$E$9+1,1))</f>
        <v>299.45724561493057</v>
      </c>
      <c r="T144" s="59">
        <f t="shared" si="142"/>
        <v>297.63369027443196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23.982700548080945</v>
      </c>
      <c r="AA144" s="21">
        <f>EXP(-LN(2)/25)*AA143+(1-EXP(-LN(2)/25))/(LN(2)/25)*Calculateur!V144*Calculateur!X144*VLOOKUP('Données projet'!$B$9,Paramètres!$A$1:$I$89,3,0)*0.475*44/12</f>
        <v>7.7278643200627615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31.710564868143706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68.134475114662393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3.4106051316484809E-13</v>
      </c>
      <c r="AJ144" s="13">
        <f>AI144*VLOOKUP('Données projet'!$B$10,Paramètres!$A$1:$I$89,3,0)*VLOOKUP('Données projet'!$B$10,Paramètres!$A$1:$I$89,5,0)</f>
        <v>1.9065282685915009E-13</v>
      </c>
      <c r="AK144" s="13">
        <f t="shared" si="143"/>
        <v>2.6568987209435707E-12</v>
      </c>
      <c r="AL144" s="20">
        <f t="shared" si="112"/>
        <v>4.959485612423072E-12</v>
      </c>
      <c r="AM144" s="59">
        <f t="shared" si="113"/>
        <v>286.49307542043374</v>
      </c>
      <c r="AN144" s="59">
        <f ca="1">AVERAGE(OFFSET($AM$3,0,0,'Données projet'!$E$10+1,1))-AVERAGE(OFFSET($H$3,0,0,'Données projet'!$E$10+1,1))</f>
        <v>363.98181065114898</v>
      </c>
      <c r="AO144" s="59">
        <f t="shared" si="144"/>
        <v>410.85213343666396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48.179635364902104</v>
      </c>
      <c r="AV144" s="21">
        <f>EXP(-LN(2)/25)*AV143+(1-EXP(-LN(2)/25))/(LN(2)/25)*Calculateur!AQ144*Calculateur!AS144*VLOOKUP('Données projet'!$B$10,Paramètres!$A$1:$I$89,3,0)*0.475*44/12</f>
        <v>14.026798429055573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62.206433793957679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68.134475114662393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-9.9316821433603781E-14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433.6995276469014</v>
      </c>
      <c r="BJ144" s="59">
        <f t="shared" si="146"/>
        <v>306.37969720280557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44.703767817595541</v>
      </c>
      <c r="BQ144" s="21">
        <f>EXP(-LN(2)/25)*BQ143+(1-EXP(-LN(2)/25))/(LN(2)/25)*Calculateur!BL144*Calculateur!BN144*VLOOKUP('Données projet'!$B$11,Paramètres!$A$1:$I$89,3,0)*0.475*44/12</f>
        <v>13.300940542632192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58.004708360227731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68.134475114662393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5.7</v>
      </c>
      <c r="BY144" s="12">
        <f>IF('Données projet'!$A$114&gt;35,BY143+BX144-CG143,IF(A144&lt;'Données projet'!$A$114,$BV$205^A144,IF(A144='Données projet'!$A$114,'Données projet'!$B$114,BY143+BX144-CG143)))</f>
        <v>299.19999999999993</v>
      </c>
      <c r="BZ144" s="13">
        <f>BY144*VLOOKUP('Données projet'!$B$12,Paramètres!$A$1:$I$89,3,0)*VLOOKUP('Données projet'!$B$12,Paramètres!$A$1:$I$89,5,0)</f>
        <v>289.38623999999993</v>
      </c>
      <c r="CA144" s="13">
        <f t="shared" si="147"/>
        <v>68.946768690414416</v>
      </c>
      <c r="CB144" s="20">
        <f t="shared" si="118"/>
        <v>624.09665680247156</v>
      </c>
      <c r="CC144" s="59">
        <f t="shared" si="119"/>
        <v>910.58973222290035</v>
      </c>
      <c r="CD144" s="59">
        <f ca="1">AVERAGE(OFFSET($CC$3,0,0,'Données projet'!$E$12+1,1))-AVERAGE(OFFSET($H$3,0,0,'Données projet'!$E$12+1,1))</f>
        <v>455.95436253828132</v>
      </c>
      <c r="CE144" s="59">
        <f t="shared" si="148"/>
        <v>64.829921296688497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41.50479563143265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41.50479563143265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68.134475114662393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5.6843418860808015E-14</v>
      </c>
      <c r="CU144" s="17">
        <f>CT144*VLOOKUP('Données projet'!$B$13,Paramètres!$A$1:$I$89,3,0)*VLOOKUP('Données projet'!$B$13,Paramètres!$A$1:$I$89,5,0)</f>
        <v>4.4337866711430253E-14</v>
      </c>
      <c r="CV144" s="13">
        <f t="shared" si="149"/>
        <v>7.3222115536967035E-13</v>
      </c>
      <c r="CW144" s="20">
        <f t="shared" si="121"/>
        <v>1.3525069634579169E-12</v>
      </c>
      <c r="CX144" s="59">
        <f t="shared" si="122"/>
        <v>286.49307542043016</v>
      </c>
      <c r="CY144" s="59">
        <f ca="1">AVERAGE(OFFSET($CX$3,0,0,'Données projet'!$E$13+1,1))-AVERAGE(OFFSET($H$3,0,0,'Données projet'!$E$13+1,1))</f>
        <v>306.44760579759713</v>
      </c>
      <c r="CZ144" s="59">
        <f t="shared" si="150"/>
        <v>300.30192123221718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21.252702790234625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21.252702790234625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68.134475114662393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68.134475114662393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68.134475114662393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68.134475114662393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68.134475114662393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4.4000000000000004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16.133333333333336</v>
      </c>
      <c r="H145" s="67">
        <f t="shared" si="110"/>
        <v>192.13333333333333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68.166837800734172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1.1368683772161603E-13</v>
      </c>
      <c r="O145" s="13">
        <f>N145*VLOOKUP('Données projet'!$B$9,Paramètres!$A$1:$I$89,3,0)*VLOOKUP('Données projet'!$B$9,Paramètres!$A$1:$I$89,5,0)</f>
        <v>6.7984728957526396E-14</v>
      </c>
      <c r="P145" s="13">
        <f t="shared" si="141"/>
        <v>1.0682447123141398E-12</v>
      </c>
      <c r="Q145" s="20">
        <f t="shared" si="108"/>
        <v>1.978932943548152E-12</v>
      </c>
      <c r="R145" s="59">
        <f t="shared" si="109"/>
        <v>286.61173860269395</v>
      </c>
      <c r="S145" s="59">
        <f ca="1">AVERAGE(OFFSET($R$3,0,0,'Données projet'!$E$9+1,1))-AVERAGE(OFFSET($H$3,0,0,'Données projet'!$E$9+1,1))</f>
        <v>299.45724561493057</v>
      </c>
      <c r="T145" s="59">
        <f t="shared" si="142"/>
        <v>297.63369027443196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23.512414418336018</v>
      </c>
      <c r="AA145" s="21">
        <f>EXP(-LN(2)/25)*AA144+(1-EXP(-LN(2)/25))/(LN(2)/25)*Calculateur!V145*Calculateur!X145*VLOOKUP('Données projet'!$B$9,Paramètres!$A$1:$I$89,3,0)*0.475*44/12</f>
        <v>7.5165454638399227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31.02895988217594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68.166837800734172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3.4106051316484809E-13</v>
      </c>
      <c r="AJ145" s="13">
        <f>AI145*VLOOKUP('Données projet'!$B$10,Paramètres!$A$1:$I$89,3,0)*VLOOKUP('Données projet'!$B$10,Paramètres!$A$1:$I$89,5,0)</f>
        <v>1.9065282685915009E-13</v>
      </c>
      <c r="AK145" s="13">
        <f t="shared" si="143"/>
        <v>2.6568987209435707E-12</v>
      </c>
      <c r="AL145" s="20">
        <f t="shared" si="112"/>
        <v>4.959485612423072E-12</v>
      </c>
      <c r="AM145" s="59">
        <f t="shared" si="113"/>
        <v>286.6117386026969</v>
      </c>
      <c r="AN145" s="59">
        <f ca="1">AVERAGE(OFFSET($AM$3,0,0,'Données projet'!$E$10+1,1))-AVERAGE(OFFSET($H$3,0,0,'Données projet'!$E$10+1,1))</f>
        <v>363.98181065114898</v>
      </c>
      <c r="AO145" s="59">
        <f t="shared" si="144"/>
        <v>410.85213343666396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47.234862102072256</v>
      </c>
      <c r="AV145" s="21">
        <f>EXP(-LN(2)/25)*AV144+(1-EXP(-LN(2)/25))/(LN(2)/25)*Calculateur!AQ145*Calculateur!AS145*VLOOKUP('Données projet'!$B$10,Paramètres!$A$1:$I$89,3,0)*0.475*44/12</f>
        <v>13.643234888375778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60.878096990448036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68.166837800734172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-9.9316821433603781E-14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433.6995276469014</v>
      </c>
      <c r="BJ145" s="59">
        <f t="shared" si="146"/>
        <v>306.37969720280557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43.827154197298505</v>
      </c>
      <c r="BQ145" s="21">
        <f>EXP(-LN(2)/25)*BQ144+(1-EXP(-LN(2)/25))/(LN(2)/25)*Calculateur!BL145*Calculateur!BN145*VLOOKUP('Données projet'!$B$11,Paramètres!$A$1:$I$89,3,0)*0.475*44/12</f>
        <v>12.937225624027851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56.764379821326358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68.166837800734172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5.7</v>
      </c>
      <c r="BY145" s="12">
        <f>IF('Données projet'!$A$114&gt;35,BY144+BX145-CG144,IF(A145&lt;'Données projet'!$A$114,$BV$205^A145,IF(A145='Données projet'!$A$114,'Données projet'!$B$114,BY144+BX145-CG144)))</f>
        <v>304.89999999999992</v>
      </c>
      <c r="BZ145" s="13">
        <f>BY145*VLOOKUP('Données projet'!$B$12,Paramètres!$A$1:$I$89,3,0)*VLOOKUP('Données projet'!$B$12,Paramètres!$A$1:$I$89,5,0)</f>
        <v>294.89927999999992</v>
      </c>
      <c r="CA145" s="13">
        <f t="shared" si="147"/>
        <v>70.106091765553586</v>
      </c>
      <c r="CB145" s="20">
        <f t="shared" si="118"/>
        <v>635.717689158339</v>
      </c>
      <c r="CC145" s="59">
        <f t="shared" si="119"/>
        <v>922.32942776103096</v>
      </c>
      <c r="CD145" s="59">
        <f ca="1">AVERAGE(OFFSET($CC$3,0,0,'Données projet'!$E$12+1,1))-AVERAGE(OFFSET($H$3,0,0,'Données projet'!$E$12+1,1))</f>
        <v>455.95436253828132</v>
      </c>
      <c r="CE145" s="59">
        <f t="shared" si="148"/>
        <v>64.829921296688497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40.690911904525898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40.690911904525898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68.166837800734172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5.6843418860808015E-14</v>
      </c>
      <c r="CU145" s="17">
        <f>CT145*VLOOKUP('Données projet'!$B$13,Paramètres!$A$1:$I$89,3,0)*VLOOKUP('Données projet'!$B$13,Paramètres!$A$1:$I$89,5,0)</f>
        <v>4.4337866711430253E-14</v>
      </c>
      <c r="CV145" s="13">
        <f t="shared" si="149"/>
        <v>7.3222115536967035E-13</v>
      </c>
      <c r="CW145" s="20">
        <f t="shared" si="121"/>
        <v>1.3525069634579169E-12</v>
      </c>
      <c r="CX145" s="59">
        <f t="shared" si="122"/>
        <v>286.61173860269332</v>
      </c>
      <c r="CY145" s="59">
        <f ca="1">AVERAGE(OFFSET($CX$3,0,0,'Données projet'!$E$13+1,1))-AVERAGE(OFFSET($H$3,0,0,'Données projet'!$E$13+1,1))</f>
        <v>306.44760579759713</v>
      </c>
      <c r="CZ145" s="59">
        <f t="shared" si="150"/>
        <v>300.30192123221718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20.835950251386851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20.835950251386851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68.166837800734172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68.166837800734172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68.166837800734172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68.166837800734172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68.166837800734172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4.4000000000000004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16.133333333333336</v>
      </c>
      <c r="H146" s="67">
        <f t="shared" si="110"/>
        <v>192.13333333333333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68.198639066554748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1.1368683772161603E-13</v>
      </c>
      <c r="O146" s="13">
        <f>N146*VLOOKUP('Données projet'!$B$9,Paramètres!$A$1:$I$89,3,0)*VLOOKUP('Données projet'!$B$9,Paramètres!$A$1:$I$89,5,0)</f>
        <v>6.7984728957526396E-14</v>
      </c>
      <c r="P146" s="13">
        <f t="shared" si="141"/>
        <v>1.0682447123141398E-12</v>
      </c>
      <c r="Q146" s="20">
        <f t="shared" si="108"/>
        <v>1.978932943548152E-12</v>
      </c>
      <c r="R146" s="59">
        <f t="shared" si="109"/>
        <v>286.72834324403607</v>
      </c>
      <c r="S146" s="59">
        <f ca="1">AVERAGE(OFFSET($R$3,0,0,'Données projet'!$E$9+1,1))-AVERAGE(OFFSET($H$3,0,0,'Données projet'!$E$9+1,1))</f>
        <v>299.45724561493057</v>
      </c>
      <c r="T146" s="59">
        <f t="shared" si="142"/>
        <v>297.63369027443196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23.051350312749172</v>
      </c>
      <c r="AA146" s="21">
        <f>EXP(-LN(2)/25)*AA145+(1-EXP(-LN(2)/25))/(LN(2)/25)*Calculateur!V146*Calculateur!X146*VLOOKUP('Données projet'!$B$9,Paramètres!$A$1:$I$89,3,0)*0.475*44/12</f>
        <v>7.311005132853273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30.362355445602446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68.198639066554748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3.4106051316484809E-13</v>
      </c>
      <c r="AJ146" s="13">
        <f>AI146*VLOOKUP('Données projet'!$B$10,Paramètres!$A$1:$I$89,3,0)*VLOOKUP('Données projet'!$B$10,Paramètres!$A$1:$I$89,5,0)</f>
        <v>1.9065282685915009E-13</v>
      </c>
      <c r="AK146" s="13">
        <f t="shared" si="143"/>
        <v>2.6568987209435707E-12</v>
      </c>
      <c r="AL146" s="20">
        <f t="shared" si="112"/>
        <v>4.959485612423072E-12</v>
      </c>
      <c r="AM146" s="59">
        <f t="shared" si="113"/>
        <v>286.72834324403902</v>
      </c>
      <c r="AN146" s="59">
        <f ca="1">AVERAGE(OFFSET($AM$3,0,0,'Données projet'!$E$10+1,1))-AVERAGE(OFFSET($H$3,0,0,'Données projet'!$E$10+1,1))</f>
        <v>363.98181065114898</v>
      </c>
      <c r="AO146" s="59">
        <f t="shared" si="144"/>
        <v>410.85213343666396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46.308615266671708</v>
      </c>
      <c r="AV146" s="21">
        <f>EXP(-LN(2)/25)*AV145+(1-EXP(-LN(2)/25))/(LN(2)/25)*Calculateur!AQ146*Calculateur!AS146*VLOOKUP('Données projet'!$B$10,Paramètres!$A$1:$I$89,3,0)*0.475*44/12</f>
        <v>13.270159912886601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59.578775179558306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68.198639066554748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-9.9316821433603781E-14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433.6995276469014</v>
      </c>
      <c r="BJ146" s="59">
        <f t="shared" si="146"/>
        <v>306.37969720280557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42.967730435413984</v>
      </c>
      <c r="BQ146" s="21">
        <f>EXP(-LN(2)/25)*BQ145+(1-EXP(-LN(2)/25))/(LN(2)/25)*Calculateur!BL146*Calculateur!BN146*VLOOKUP('Données projet'!$B$11,Paramètres!$A$1:$I$89,3,0)*0.475*44/12</f>
        <v>12.583456508999683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55.551186944413665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68.198639066554748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5.7</v>
      </c>
      <c r="BY146" s="12">
        <f>IF('Données projet'!$A$114&gt;35,BY145+BX146-CG145,IF(A146&lt;'Données projet'!$A$114,$BV$205^A146,IF(A146='Données projet'!$A$114,'Données projet'!$B$114,BY145+BX146-CG145)))</f>
        <v>310.59999999999991</v>
      </c>
      <c r="BZ146" s="13">
        <f>BY146*VLOOKUP('Données projet'!$B$12,Paramètres!$A$1:$I$89,3,0)*VLOOKUP('Données projet'!$B$12,Paramètres!$A$1:$I$89,5,0)</f>
        <v>300.41231999999991</v>
      </c>
      <c r="CA146" s="13">
        <f t="shared" si="147"/>
        <v>71.262894674416671</v>
      </c>
      <c r="CB146" s="20">
        <f t="shared" si="118"/>
        <v>647.33433222460883</v>
      </c>
      <c r="CC146" s="59">
        <f t="shared" si="119"/>
        <v>934.06267546864296</v>
      </c>
      <c r="CD146" s="59">
        <f ca="1">AVERAGE(OFFSET($CC$3,0,0,'Données projet'!$E$12+1,1))-AVERAGE(OFFSET($H$3,0,0,'Données projet'!$E$12+1,1))</f>
        <v>455.95436253828132</v>
      </c>
      <c r="CE146" s="59">
        <f t="shared" si="148"/>
        <v>64.829921296688497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39.892987941083732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39.892987941083732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68.198639066554748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5.6843418860808015E-14</v>
      </c>
      <c r="CU146" s="17">
        <f>CT146*VLOOKUP('Données projet'!$B$13,Paramètres!$A$1:$I$89,3,0)*VLOOKUP('Données projet'!$B$13,Paramètres!$A$1:$I$89,5,0)</f>
        <v>4.4337866711430253E-14</v>
      </c>
      <c r="CV146" s="13">
        <f t="shared" si="149"/>
        <v>7.3222115536967035E-13</v>
      </c>
      <c r="CW146" s="20">
        <f t="shared" si="121"/>
        <v>1.3525069634579169E-12</v>
      </c>
      <c r="CX146" s="59">
        <f t="shared" si="122"/>
        <v>286.72834324403544</v>
      </c>
      <c r="CY146" s="59">
        <f ca="1">AVERAGE(OFFSET($CX$3,0,0,'Données projet'!$E$13+1,1))-AVERAGE(OFFSET($H$3,0,0,'Données projet'!$E$13+1,1))</f>
        <v>306.44760579759713</v>
      </c>
      <c r="CZ146" s="59">
        <f t="shared" si="150"/>
        <v>300.30192123221718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20.42736997563193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20.42736997563193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68.198639066554748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68.198639066554748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68.198639066554748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68.198639066554748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68.198639066554748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4.4000000000000004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16.133333333333336</v>
      </c>
      <c r="H147" s="67">
        <f t="shared" si="110"/>
        <v>192.13333333333333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68.229888651510294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1.1368683772161603E-13</v>
      </c>
      <c r="O147" s="13">
        <f>N147*VLOOKUP('Données projet'!$B$9,Paramètres!$A$1:$I$89,3,0)*VLOOKUP('Données projet'!$B$9,Paramètres!$A$1:$I$89,5,0)</f>
        <v>6.7984728957526396E-14</v>
      </c>
      <c r="P147" s="13">
        <f t="shared" si="141"/>
        <v>1.0682447123141398E-12</v>
      </c>
      <c r="Q147" s="20">
        <f t="shared" si="108"/>
        <v>1.978932943548152E-12</v>
      </c>
      <c r="R147" s="59">
        <f t="shared" si="109"/>
        <v>286.84292505553975</v>
      </c>
      <c r="S147" s="59">
        <f ca="1">AVERAGE(OFFSET($R$3,0,0,'Données projet'!$E$9+1,1))-AVERAGE(OFFSET($H$3,0,0,'Données projet'!$E$9+1,1))</f>
        <v>299.45724561493057</v>
      </c>
      <c r="T147" s="59">
        <f t="shared" si="142"/>
        <v>297.63369027443196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22.599327393051549</v>
      </c>
      <c r="AA147" s="21">
        <f>EXP(-LN(2)/25)*AA146+(1-EXP(-LN(2)/25))/(LN(2)/25)*Calculateur!V147*Calculateur!X147*VLOOKUP('Données projet'!$B$9,Paramètres!$A$1:$I$89,3,0)*0.475*44/12</f>
        <v>7.1110853130263498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29.7104127060779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68.229888651510294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3.4106051316484809E-13</v>
      </c>
      <c r="AJ147" s="13">
        <f>AI147*VLOOKUP('Données projet'!$B$10,Paramètres!$A$1:$I$89,3,0)*VLOOKUP('Données projet'!$B$10,Paramètres!$A$1:$I$89,5,0)</f>
        <v>1.9065282685915009E-13</v>
      </c>
      <c r="AK147" s="13">
        <f t="shared" si="143"/>
        <v>2.6568987209435707E-12</v>
      </c>
      <c r="AL147" s="20">
        <f t="shared" si="112"/>
        <v>4.959485612423072E-12</v>
      </c>
      <c r="AM147" s="59">
        <f t="shared" si="113"/>
        <v>286.84292505554271</v>
      </c>
      <c r="AN147" s="59">
        <f ca="1">AVERAGE(OFFSET($AM$3,0,0,'Données projet'!$E$10+1,1))-AVERAGE(OFFSET($H$3,0,0,'Données projet'!$E$10+1,1))</f>
        <v>363.98181065114898</v>
      </c>
      <c r="AO147" s="59">
        <f t="shared" si="144"/>
        <v>410.85213343666396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45.40053156675858</v>
      </c>
      <c r="AV147" s="21">
        <f>EXP(-LN(2)/25)*AV146+(1-EXP(-LN(2)/25))/(LN(2)/25)*Calculateur!AQ147*Calculateur!AS147*VLOOKUP('Données projet'!$B$10,Paramètres!$A$1:$I$89,3,0)*0.475*44/12</f>
        <v>12.907286692221337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58.307818258979921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68.229888651510294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-9.9316821433603781E-14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433.6995276469014</v>
      </c>
      <c r="BJ147" s="59">
        <f t="shared" si="146"/>
        <v>306.37969720280557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42.125159449303283</v>
      </c>
      <c r="BQ147" s="21">
        <f>EXP(-LN(2)/25)*BQ146+(1-EXP(-LN(2)/25))/(LN(2)/25)*Calculateur!BL147*Calculateur!BN147*VLOOKUP('Données projet'!$B$11,Paramètres!$A$1:$I$89,3,0)*0.475*44/12</f>
        <v>12.239361229025869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54.36452067832915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68.229888651510294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5.7</v>
      </c>
      <c r="BY147" s="12">
        <f>IF('Données projet'!$A$114&gt;35,BY146+BX147-CG146,IF(A147&lt;'Données projet'!$A$114,$BV$205^A147,IF(A147='Données projet'!$A$114,'Données projet'!$B$114,BY146+BX147-CG146)))</f>
        <v>316.2999999999999</v>
      </c>
      <c r="BZ147" s="13">
        <f>BY147*VLOOKUP('Données projet'!$B$12,Paramètres!$A$1:$I$89,3,0)*VLOOKUP('Données projet'!$B$12,Paramètres!$A$1:$I$89,5,0)</f>
        <v>305.9253599999999</v>
      </c>
      <c r="CA147" s="13">
        <f t="shared" si="147"/>
        <v>72.41722900014905</v>
      </c>
      <c r="CB147" s="20">
        <f t="shared" si="118"/>
        <v>658.94667584192609</v>
      </c>
      <c r="CC147" s="59">
        <f t="shared" si="119"/>
        <v>945.78960089746386</v>
      </c>
      <c r="CD147" s="59">
        <f ca="1">AVERAGE(OFFSET($CC$3,0,0,'Données projet'!$E$12+1,1))-AVERAGE(OFFSET($H$3,0,0,'Données projet'!$E$12+1,1))</f>
        <v>455.95436253828132</v>
      </c>
      <c r="CE147" s="59">
        <f t="shared" si="148"/>
        <v>64.829921296688497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39.110710779879106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39.110710779879106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68.229888651510294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5.6843418860808015E-14</v>
      </c>
      <c r="CU147" s="17">
        <f>CT147*VLOOKUP('Données projet'!$B$13,Paramètres!$A$1:$I$89,3,0)*VLOOKUP('Données projet'!$B$13,Paramètres!$A$1:$I$89,5,0)</f>
        <v>4.4337866711430253E-14</v>
      </c>
      <c r="CV147" s="13">
        <f t="shared" si="149"/>
        <v>7.3222115536967035E-13</v>
      </c>
      <c r="CW147" s="20">
        <f t="shared" si="121"/>
        <v>1.3525069634579169E-12</v>
      </c>
      <c r="CX147" s="59">
        <f t="shared" si="122"/>
        <v>286.84292505553913</v>
      </c>
      <c r="CY147" s="59">
        <f ca="1">AVERAGE(OFFSET($CX$3,0,0,'Données projet'!$E$13+1,1))-AVERAGE(OFFSET($H$3,0,0,'Données projet'!$E$13+1,1))</f>
        <v>306.44760579759713</v>
      </c>
      <c r="CZ147" s="59">
        <f t="shared" si="150"/>
        <v>300.30192123221718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20.026801709875201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20.026801709875201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68.229888651510294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68.229888651510294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68.229888651510294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68.229888651510294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68.229888651510294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4.4000000000000004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16.133333333333336</v>
      </c>
      <c r="H148" s="67">
        <f t="shared" si="110"/>
        <v>192.13333333333333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68.260596126030464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1.1368683772161603E-13</v>
      </c>
      <c r="O148" s="13">
        <f>N148*VLOOKUP('Données projet'!$B$9,Paramètres!$A$1:$I$89,3,0)*VLOOKUP('Données projet'!$B$9,Paramètres!$A$1:$I$89,5,0)</f>
        <v>6.7984728957526396E-14</v>
      </c>
      <c r="P148" s="13">
        <f t="shared" si="141"/>
        <v>1.0682447123141398E-12</v>
      </c>
      <c r="Q148" s="20">
        <f t="shared" si="108"/>
        <v>1.978932943548152E-12</v>
      </c>
      <c r="R148" s="59">
        <f t="shared" si="109"/>
        <v>286.95551912878034</v>
      </c>
      <c r="S148" s="59">
        <f ca="1">AVERAGE(OFFSET($R$3,0,0,'Données projet'!$E$9+1,1))-AVERAGE(OFFSET($H$3,0,0,'Données projet'!$E$9+1,1))</f>
        <v>299.45724561493057</v>
      </c>
      <c r="T148" s="59">
        <f t="shared" si="142"/>
        <v>297.63369027443196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22.156168367102438</v>
      </c>
      <c r="AA148" s="21">
        <f>EXP(-LN(2)/25)*AA147+(1-EXP(-LN(2)/25))/(LN(2)/25)*Calculateur!V148*Calculateur!X148*VLOOKUP('Données projet'!$B$9,Paramètres!$A$1:$I$89,3,0)*0.475*44/12</f>
        <v>6.9166323111859205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29.07280067828836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68.260596126030464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3.4106051316484809E-13</v>
      </c>
      <c r="AJ148" s="13">
        <f>AI148*VLOOKUP('Données projet'!$B$10,Paramètres!$A$1:$I$89,3,0)*VLOOKUP('Données projet'!$B$10,Paramètres!$A$1:$I$89,5,0)</f>
        <v>1.9065282685915009E-13</v>
      </c>
      <c r="AK148" s="13">
        <f t="shared" si="143"/>
        <v>2.6568987209435707E-12</v>
      </c>
      <c r="AL148" s="20">
        <f t="shared" si="112"/>
        <v>4.959485612423072E-12</v>
      </c>
      <c r="AM148" s="59">
        <f t="shared" si="113"/>
        <v>286.95551912878329</v>
      </c>
      <c r="AN148" s="59">
        <f ca="1">AVERAGE(OFFSET($AM$3,0,0,'Données projet'!$E$10+1,1))-AVERAGE(OFFSET($H$3,0,0,'Données projet'!$E$10+1,1))</f>
        <v>363.98181065114898</v>
      </c>
      <c r="AO148" s="59">
        <f t="shared" si="144"/>
        <v>410.85213343666396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44.510254834324385</v>
      </c>
      <c r="AV148" s="21">
        <f>EXP(-LN(2)/25)*AV147+(1-EXP(-LN(2)/25))/(LN(2)/25)*Calculateur!AQ148*Calculateur!AS148*VLOOKUP('Données projet'!$B$10,Paramètres!$A$1:$I$89,3,0)*0.475*44/12</f>
        <v>12.554336258857838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57.064591093182223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68.260596126030464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-9.9316821433603781E-14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433.6995276469014</v>
      </c>
      <c r="BJ148" s="59">
        <f t="shared" si="146"/>
        <v>306.37969720280557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41.299110766312658</v>
      </c>
      <c r="BQ148" s="21">
        <f>EXP(-LN(2)/25)*BQ147+(1-EXP(-LN(2)/25))/(LN(2)/25)*Calculateur!BL148*Calculateur!BN148*VLOOKUP('Données projet'!$B$11,Paramètres!$A$1:$I$89,3,0)*0.475*44/12</f>
        <v>11.904675252578123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53.203786018890781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68.260596126030464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>
        <f>VLOOKUP(A148,'Données projet'!$A$113:$I$133,2,0)</f>
        <v>322</v>
      </c>
      <c r="BW148" s="12">
        <f>VLOOKUP(A148,'Données projet'!$A$113:$I$133,9,0)</f>
        <v>5.7</v>
      </c>
      <c r="BX148" s="12">
        <f t="array" ref="BX148">INDEX(BW:BW,MIN(IF(ISNUMBER(BW148:BW344),ROW(BW148:BW344),"")))</f>
        <v>5.7</v>
      </c>
      <c r="BY148" s="12">
        <f>IF('Données projet'!$A$114&gt;35,BY147+BX148-CG147,IF(A148&lt;'Données projet'!$A$114,$BV$205^A148,IF(A148='Données projet'!$A$114,'Données projet'!$B$114,BY147+BX148-CG147)))</f>
        <v>321.99999999999989</v>
      </c>
      <c r="BZ148" s="13">
        <f>BY148*VLOOKUP('Données projet'!$B$12,Paramètres!$A$1:$I$89,3,0)*VLOOKUP('Données projet'!$B$12,Paramètres!$A$1:$I$89,5,0)</f>
        <v>311.43839999999989</v>
      </c>
      <c r="CA148" s="13">
        <f t="shared" si="147"/>
        <v>73.569144360291361</v>
      </c>
      <c r="CB148" s="20">
        <f t="shared" si="118"/>
        <v>670.55480642750729</v>
      </c>
      <c r="CC148" s="59">
        <f t="shared" si="119"/>
        <v>957.51032555628558</v>
      </c>
      <c r="CD148" s="59">
        <f ca="1">AVERAGE(OFFSET($CC$3,0,0,'Données projet'!$E$12+1,1))-AVERAGE(OFFSET($H$3,0,0,'Données projet'!$E$12+1,1))</f>
        <v>455.95436253828132</v>
      </c>
      <c r="CE148" s="59">
        <f t="shared" si="148"/>
        <v>64.829921296688497</v>
      </c>
      <c r="CF148" s="15">
        <f>IF(ISNA(VLOOKUP(A148,'Données projet'!$A$113:$I$133,3,0)),0,VLOOKUP(A148,'Données projet'!$A$113:$I$133,3,0))</f>
        <v>13</v>
      </c>
      <c r="CG148" s="15">
        <f>IF(ISNA(VLOOKUP(A148,'Données projet'!$A$113:$I$133,4,0)),0,VLOOKUP(A148,'Données projet'!$A$113:$I$133,4,0))</f>
        <v>39</v>
      </c>
      <c r="CH148" s="16">
        <f>IF(ISNA(VLOOKUP(A148,'Données projet'!$A$113:$I$133,5,0)),0%,VLOOKUP(A148,'Données projet'!$A$113:$I$133,5,0)*VLOOKUP('Données projet'!$B$12,Paramètres!$A$1:$I$89,7,0))</f>
        <v>0.25800000000000001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49.102174186473675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49.102174186473675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68.260596126030464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5.6843418860808015E-14</v>
      </c>
      <c r="CU148" s="17">
        <f>CT148*VLOOKUP('Données projet'!$B$13,Paramètres!$A$1:$I$89,3,0)*VLOOKUP('Données projet'!$B$13,Paramètres!$A$1:$I$89,5,0)</f>
        <v>4.4337866711430253E-14</v>
      </c>
      <c r="CV148" s="13">
        <f t="shared" si="149"/>
        <v>7.3222115536967035E-13</v>
      </c>
      <c r="CW148" s="20">
        <f t="shared" si="121"/>
        <v>1.3525069634579169E-12</v>
      </c>
      <c r="CX148" s="59">
        <f t="shared" si="122"/>
        <v>286.95551912877971</v>
      </c>
      <c r="CY148" s="59">
        <f ca="1">AVERAGE(OFFSET($CX$3,0,0,'Données projet'!$E$13+1,1))-AVERAGE(OFFSET($H$3,0,0,'Données projet'!$E$13+1,1))</f>
        <v>306.44760579759713</v>
      </c>
      <c r="CZ148" s="59">
        <f t="shared" si="150"/>
        <v>300.30192123221718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19.634088343487445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19.634088343487445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68.260596126030464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68.260596126030464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68.260596126030464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68.260596126030464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68.260596126030464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4.4000000000000004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16.133333333333336</v>
      </c>
      <c r="H149" s="67">
        <f t="shared" si="110"/>
        <v>192.13333333333333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68.290770894519355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1.1368683772161603E-13</v>
      </c>
      <c r="O149" s="13">
        <f>N149*VLOOKUP('Données projet'!$B$9,Paramètres!$A$1:$I$89,3,0)*VLOOKUP('Données projet'!$B$9,Paramètres!$A$1:$I$89,5,0)</f>
        <v>6.7984728957526396E-14</v>
      </c>
      <c r="P149" s="13">
        <f t="shared" si="141"/>
        <v>1.0682447123141398E-12</v>
      </c>
      <c r="Q149" s="20">
        <f t="shared" si="108"/>
        <v>1.978932943548152E-12</v>
      </c>
      <c r="R149" s="59">
        <f t="shared" si="109"/>
        <v>287.06615994657295</v>
      </c>
      <c r="S149" s="59">
        <f ca="1">AVERAGE(OFFSET($R$3,0,0,'Données projet'!$E$9+1,1))-AVERAGE(OFFSET($H$3,0,0,'Données projet'!$E$9+1,1))</f>
        <v>299.45724561493057</v>
      </c>
      <c r="T149" s="59">
        <f t="shared" si="142"/>
        <v>297.63369027443196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21.721699419351875</v>
      </c>
      <c r="AA149" s="21">
        <f>EXP(-LN(2)/25)*AA148+(1-EXP(-LN(2)/25))/(LN(2)/25)*Calculateur!V149*Calculateur!X149*VLOOKUP('Données projet'!$B$9,Paramètres!$A$1:$I$89,3,0)*0.475*44/12</f>
        <v>6.7274966369066567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28.449196056258533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68.290770894519355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3.4106051316484809E-13</v>
      </c>
      <c r="AJ149" s="13">
        <f>AI149*VLOOKUP('Données projet'!$B$10,Paramètres!$A$1:$I$89,3,0)*VLOOKUP('Données projet'!$B$10,Paramètres!$A$1:$I$89,5,0)</f>
        <v>1.9065282685915009E-13</v>
      </c>
      <c r="AK149" s="13">
        <f t="shared" si="143"/>
        <v>2.6568987209435707E-12</v>
      </c>
      <c r="AL149" s="20">
        <f t="shared" si="112"/>
        <v>4.959485612423072E-12</v>
      </c>
      <c r="AM149" s="59">
        <f t="shared" si="113"/>
        <v>287.06615994657591</v>
      </c>
      <c r="AN149" s="59">
        <f ca="1">AVERAGE(OFFSET($AM$3,0,0,'Données projet'!$E$10+1,1))-AVERAGE(OFFSET($H$3,0,0,'Données projet'!$E$10+1,1))</f>
        <v>363.98181065114898</v>
      </c>
      <c r="AO149" s="59">
        <f t="shared" si="144"/>
        <v>410.85213343666396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43.63743588559803</v>
      </c>
      <c r="AV149" s="21">
        <f>EXP(-LN(2)/25)*AV148+(1-EXP(-LN(2)/25))/(LN(2)/25)*Calculateur!AQ149*Calculateur!AS149*VLOOKUP('Données projet'!$B$10,Paramètres!$A$1:$I$89,3,0)*0.475*44/12</f>
        <v>12.211037273655519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55.848473159253551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68.290770894519355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-9.9316821433603781E-14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433.6995276469014</v>
      </c>
      <c r="BJ149" s="59">
        <f t="shared" si="146"/>
        <v>306.37969720280557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40.489260394155529</v>
      </c>
      <c r="BQ149" s="21">
        <f>EXP(-LN(2)/25)*BQ148+(1-EXP(-LN(2)/25))/(LN(2)/25)*Calculateur!BL149*Calculateur!BN149*VLOOKUP('Données projet'!$B$11,Paramètres!$A$1:$I$89,3,0)*0.475*44/12</f>
        <v>11.57914128175671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52.068401675912241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68.290770894519355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5.6</v>
      </c>
      <c r="BY149" s="12">
        <f>IF('Données projet'!$A$114&gt;35,BY148+BX149-CG148,IF(A149&lt;'Données projet'!$A$114,$BV$205^A149,IF(A149='Données projet'!$A$114,'Données projet'!$B$114,BY148+BX149-CG148)))</f>
        <v>288.59999999999991</v>
      </c>
      <c r="BZ149" s="13">
        <f>BY149*VLOOKUP('Données projet'!$B$12,Paramètres!$A$1:$I$89,3,0)*VLOOKUP('Données projet'!$B$12,Paramètres!$A$1:$I$89,5,0)</f>
        <v>279.13391999999988</v>
      </c>
      <c r="CA149" s="13">
        <f t="shared" si="147"/>
        <v>66.783948293470331</v>
      </c>
      <c r="CB149" s="20">
        <f t="shared" si="118"/>
        <v>602.47362061112722</v>
      </c>
      <c r="CC149" s="59">
        <f t="shared" si="119"/>
        <v>889.53978055769812</v>
      </c>
      <c r="CD149" s="59">
        <f ca="1">AVERAGE(OFFSET($CC$3,0,0,'Données projet'!$E$12+1,1))-AVERAGE(OFFSET($H$3,0,0,'Données projet'!$E$12+1,1))</f>
        <v>455.95436253828132</v>
      </c>
      <c r="CE149" s="59">
        <f t="shared" si="148"/>
        <v>64.829921296688497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48.139310500045923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48.139310500045923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68.290770894519355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5.6843418860808015E-14</v>
      </c>
      <c r="CU149" s="17">
        <f>CT149*VLOOKUP('Données projet'!$B$13,Paramètres!$A$1:$I$89,3,0)*VLOOKUP('Données projet'!$B$13,Paramètres!$A$1:$I$89,5,0)</f>
        <v>4.4337866711430253E-14</v>
      </c>
      <c r="CV149" s="13">
        <f t="shared" si="149"/>
        <v>7.3222115536967035E-13</v>
      </c>
      <c r="CW149" s="20">
        <f t="shared" si="121"/>
        <v>1.3525069634579169E-12</v>
      </c>
      <c r="CX149" s="59">
        <f t="shared" si="122"/>
        <v>287.06615994657233</v>
      </c>
      <c r="CY149" s="59">
        <f ca="1">AVERAGE(OFFSET($CX$3,0,0,'Données projet'!$E$13+1,1))-AVERAGE(OFFSET($H$3,0,0,'Données projet'!$E$13+1,1))</f>
        <v>306.44760579759713</v>
      </c>
      <c r="CZ149" s="59">
        <f t="shared" si="150"/>
        <v>300.30192123221718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19.249075846683052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19.249075846683052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68.290770894519355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68.290770894519355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68.290770894519355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68.290770894519355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68.290770894519355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4.4000000000000004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16.133333333333336</v>
      </c>
      <c r="H150" s="67">
        <f t="shared" si="110"/>
        <v>192.13333333333333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68.320422198235619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1.1368683772161603E-13</v>
      </c>
      <c r="O150" s="13">
        <f>N150*VLOOKUP('Données projet'!$B$9,Paramètres!$A$1:$I$89,3,0)*VLOOKUP('Données projet'!$B$9,Paramètres!$A$1:$I$89,5,0)</f>
        <v>6.7984728957526396E-14</v>
      </c>
      <c r="P150" s="13">
        <f t="shared" si="141"/>
        <v>1.0682447123141398E-12</v>
      </c>
      <c r="Q150" s="20">
        <f t="shared" si="108"/>
        <v>1.978932943548152E-12</v>
      </c>
      <c r="R150" s="59">
        <f t="shared" si="109"/>
        <v>287.17488139353259</v>
      </c>
      <c r="S150" s="59">
        <f ca="1">AVERAGE(OFFSET($R$3,0,0,'Données projet'!$E$9+1,1))-AVERAGE(OFFSET($H$3,0,0,'Données projet'!$E$9+1,1))</f>
        <v>299.45724561493057</v>
      </c>
      <c r="T150" s="59">
        <f t="shared" si="142"/>
        <v>297.63369027443196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21.295750142666808</v>
      </c>
      <c r="AA150" s="21">
        <f>EXP(-LN(2)/25)*AA149+(1-EXP(-LN(2)/25))/(LN(2)/25)*Calculateur!V150*Calculateur!X150*VLOOKUP('Données projet'!$B$9,Paramètres!$A$1:$I$89,3,0)*0.475*44/12</f>
        <v>6.543532887586772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27.839283030253579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68.320422198235619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3.4106051316484809E-13</v>
      </c>
      <c r="AJ150" s="13">
        <f>AI150*VLOOKUP('Données projet'!$B$10,Paramètres!$A$1:$I$89,3,0)*VLOOKUP('Données projet'!$B$10,Paramètres!$A$1:$I$89,5,0)</f>
        <v>1.9065282685915009E-13</v>
      </c>
      <c r="AK150" s="13">
        <f t="shared" si="143"/>
        <v>2.6568987209435707E-12</v>
      </c>
      <c r="AL150" s="20">
        <f t="shared" si="112"/>
        <v>4.959485612423072E-12</v>
      </c>
      <c r="AM150" s="59">
        <f t="shared" si="113"/>
        <v>287.17488139353554</v>
      </c>
      <c r="AN150" s="59">
        <f ca="1">AVERAGE(OFFSET($AM$3,0,0,'Données projet'!$E$10+1,1))-AVERAGE(OFFSET($H$3,0,0,'Données projet'!$E$10+1,1))</f>
        <v>363.98181065114898</v>
      </c>
      <c r="AO150" s="59">
        <f t="shared" si="144"/>
        <v>410.85213343666396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42.78173238408921</v>
      </c>
      <c r="AV150" s="21">
        <f>EXP(-LN(2)/25)*AV149+(1-EXP(-LN(2)/25))/(LN(2)/25)*Calculateur!AQ150*Calculateur!AS150*VLOOKUP('Données projet'!$B$10,Paramètres!$A$1:$I$89,3,0)*0.475*44/12</f>
        <v>11.877125817256868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54.658858201346078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68.320422198235619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-9.9316821433603781E-14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433.6995276469014</v>
      </c>
      <c r="BJ150" s="59">
        <f t="shared" si="146"/>
        <v>306.37969720280557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39.695290693836455</v>
      </c>
      <c r="BQ150" s="21">
        <f>EXP(-LN(2)/25)*BQ149+(1-EXP(-LN(2)/25))/(LN(2)/25)*Calculateur!BL150*Calculateur!BN150*VLOOKUP('Données projet'!$B$11,Paramètres!$A$1:$I$89,3,0)*0.475*44/12</f>
        <v>11.262509054486497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50.957799748322955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68.320422198235619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5.6</v>
      </c>
      <c r="BY150" s="12">
        <f>IF('Données projet'!$A$114&gt;35,BY149+BX150-CG149,IF(A150&lt;'Données projet'!$A$114,$BV$205^A150,IF(A150='Données projet'!$A$114,'Données projet'!$B$114,BY149+BX150-CG149)))</f>
        <v>294.19999999999993</v>
      </c>
      <c r="BZ150" s="13">
        <f>BY150*VLOOKUP('Données projet'!$B$12,Paramètres!$A$1:$I$89,3,0)*VLOOKUP('Données projet'!$B$12,Paramètres!$A$1:$I$89,5,0)</f>
        <v>284.55023999999997</v>
      </c>
      <c r="CA150" s="13">
        <f t="shared" si="147"/>
        <v>67.927701372388555</v>
      </c>
      <c r="CB150" s="20">
        <f t="shared" si="118"/>
        <v>613.89908122357667</v>
      </c>
      <c r="CC150" s="59">
        <f t="shared" si="119"/>
        <v>901.07396261710733</v>
      </c>
      <c r="CD150" s="59">
        <f ca="1">AVERAGE(OFFSET($CC$3,0,0,'Données projet'!$E$12+1,1))-AVERAGE(OFFSET($H$3,0,0,'Données projet'!$E$12+1,1))</f>
        <v>455.95436253828132</v>
      </c>
      <c r="CE150" s="59">
        <f t="shared" si="148"/>
        <v>64.829921296688497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47.19532798322016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47.19532798322016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68.320422198235619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5.6843418860808015E-14</v>
      </c>
      <c r="CU150" s="17">
        <f>CT150*VLOOKUP('Données projet'!$B$13,Paramètres!$A$1:$I$89,3,0)*VLOOKUP('Données projet'!$B$13,Paramètres!$A$1:$I$89,5,0)</f>
        <v>4.4337866711430253E-14</v>
      </c>
      <c r="CV150" s="13">
        <f t="shared" si="149"/>
        <v>7.3222115536967035E-13</v>
      </c>
      <c r="CW150" s="20">
        <f t="shared" si="121"/>
        <v>1.3525069634579169E-12</v>
      </c>
      <c r="CX150" s="59">
        <f t="shared" si="122"/>
        <v>287.17488139353196</v>
      </c>
      <c r="CY150" s="59">
        <f ca="1">AVERAGE(OFFSET($CX$3,0,0,'Données projet'!$E$13+1,1))-AVERAGE(OFFSET($H$3,0,0,'Données projet'!$E$13+1,1))</f>
        <v>306.44760579759713</v>
      </c>
      <c r="CZ150" s="59">
        <f t="shared" si="150"/>
        <v>300.30192123221718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18.87161321010656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18.87161321010656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68.320422198235619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68.320422198235619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68.320422198235619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68.320422198235619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68.320422198235619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4.4000000000000004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16.133333333333336</v>
      </c>
      <c r="H151" s="67">
        <f t="shared" si="110"/>
        <v>192.13333333333333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68.349559118122812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1.1368683772161603E-13</v>
      </c>
      <c r="O151" s="13">
        <f>N151*VLOOKUP('Données projet'!$B$9,Paramètres!$A$1:$I$89,3,0)*VLOOKUP('Données projet'!$B$9,Paramètres!$A$1:$I$89,5,0)</f>
        <v>6.7984728957526396E-14</v>
      </c>
      <c r="P151" s="13">
        <f t="shared" si="141"/>
        <v>1.0682447123141398E-12</v>
      </c>
      <c r="Q151" s="20">
        <f t="shared" si="108"/>
        <v>1.978932943548152E-12</v>
      </c>
      <c r="R151" s="59">
        <f t="shared" si="109"/>
        <v>287.28171676645229</v>
      </c>
      <c r="S151" s="59">
        <f ca="1">AVERAGE(OFFSET($R$3,0,0,'Données projet'!$E$9+1,1))-AVERAGE(OFFSET($H$3,0,0,'Données projet'!$E$9+1,1))</f>
        <v>299.45724561493057</v>
      </c>
      <c r="T151" s="59">
        <f t="shared" si="142"/>
        <v>297.63369027443196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20.87815347149413</v>
      </c>
      <c r="AA151" s="21">
        <f>EXP(-LN(2)/25)*AA150+(1-EXP(-LN(2)/25))/(LN(2)/25)*Calculateur!V151*Calculateur!X151*VLOOKUP('Données projet'!$B$9,Paramètres!$A$1:$I$89,3,0)*0.475*44/12</f>
        <v>6.3645996366662727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27.242753108160404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68.349559118122812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3.4106051316484809E-13</v>
      </c>
      <c r="AJ151" s="13">
        <f>AI151*VLOOKUP('Données projet'!$B$10,Paramètres!$A$1:$I$89,3,0)*VLOOKUP('Données projet'!$B$10,Paramètres!$A$1:$I$89,5,0)</f>
        <v>1.9065282685915009E-13</v>
      </c>
      <c r="AK151" s="13">
        <f t="shared" si="143"/>
        <v>2.6568987209435707E-12</v>
      </c>
      <c r="AL151" s="20">
        <f t="shared" si="112"/>
        <v>4.959485612423072E-12</v>
      </c>
      <c r="AM151" s="59">
        <f t="shared" si="113"/>
        <v>287.28171676645525</v>
      </c>
      <c r="AN151" s="59">
        <f ca="1">AVERAGE(OFFSET($AM$3,0,0,'Données projet'!$E$10+1,1))-AVERAGE(OFFSET($H$3,0,0,'Données projet'!$E$10+1,1))</f>
        <v>363.98181065114898</v>
      </c>
      <c r="AO151" s="59">
        <f t="shared" si="144"/>
        <v>410.85213343666396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41.942808706317379</v>
      </c>
      <c r="AV151" s="21">
        <f>EXP(-LN(2)/25)*AV150+(1-EXP(-LN(2)/25))/(LN(2)/25)*Calculateur!AQ151*Calculateur!AS151*VLOOKUP('Données projet'!$B$10,Paramètres!$A$1:$I$89,3,0)*0.475*44/12</f>
        <v>11.552345187193078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53.495153893510455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68.349559118122812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-9.9316821433603781E-14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433.6995276469014</v>
      </c>
      <c r="BJ151" s="59">
        <f t="shared" si="146"/>
        <v>306.37969720280557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38.916890255066932</v>
      </c>
      <c r="BQ151" s="21">
        <f>EXP(-LN(2)/25)*BQ150+(1-EXP(-LN(2)/25))/(LN(2)/25)*Calculateur!BL151*Calculateur!BN151*VLOOKUP('Données projet'!$B$11,Paramètres!$A$1:$I$89,3,0)*0.475*44/12</f>
        <v>10.954535152121952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49.87142540718888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68.349559118122812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5.6</v>
      </c>
      <c r="BY151" s="12">
        <f>IF('Données projet'!$A$114&gt;35,BY150+BX151-CG150,IF(A151&lt;'Données projet'!$A$114,$BV$205^A151,IF(A151='Données projet'!$A$114,'Données projet'!$B$114,BY150+BX151-CG150)))</f>
        <v>299.79999999999995</v>
      </c>
      <c r="BZ151" s="13">
        <f>BY151*VLOOKUP('Données projet'!$B$12,Paramètres!$A$1:$I$89,3,0)*VLOOKUP('Données projet'!$B$12,Paramètres!$A$1:$I$89,5,0)</f>
        <v>289.96655999999996</v>
      </c>
      <c r="CA151" s="13">
        <f t="shared" si="147"/>
        <v>69.068922954935559</v>
      </c>
      <c r="CB151" s="20">
        <f t="shared" si="118"/>
        <v>625.32013281317938</v>
      </c>
      <c r="CC151" s="59">
        <f t="shared" si="119"/>
        <v>912.60184957962974</v>
      </c>
      <c r="CD151" s="59">
        <f ca="1">AVERAGE(OFFSET($CC$3,0,0,'Données projet'!$E$12+1,1))-AVERAGE(OFFSET($H$3,0,0,'Données projet'!$E$12+1,1))</f>
        <v>455.95436253828132</v>
      </c>
      <c r="CE151" s="59">
        <f t="shared" si="148"/>
        <v>64.829921296688497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46.269856387776869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46.269856387776869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68.349559118122812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5.6843418860808015E-14</v>
      </c>
      <c r="CU151" s="17">
        <f>CT151*VLOOKUP('Données projet'!$B$13,Paramètres!$A$1:$I$89,3,0)*VLOOKUP('Données projet'!$B$13,Paramètres!$A$1:$I$89,5,0)</f>
        <v>4.4337866711430253E-14</v>
      </c>
      <c r="CV151" s="13">
        <f t="shared" si="149"/>
        <v>7.3222115536967035E-13</v>
      </c>
      <c r="CW151" s="20">
        <f t="shared" si="121"/>
        <v>1.3525069634579169E-12</v>
      </c>
      <c r="CX151" s="59">
        <f t="shared" si="122"/>
        <v>287.28171676645167</v>
      </c>
      <c r="CY151" s="59">
        <f ca="1">AVERAGE(OFFSET($CX$3,0,0,'Données projet'!$E$13+1,1))-AVERAGE(OFFSET($H$3,0,0,'Données projet'!$E$13+1,1))</f>
        <v>306.44760579759713</v>
      </c>
      <c r="CZ151" s="59">
        <f t="shared" si="150"/>
        <v>300.30192123221718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18.501552385603855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18.501552385603855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68.349559118122812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68.349559118122812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68.349559118122812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68.349559118122812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68.349559118122812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4.4000000000000004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16.133333333333336</v>
      </c>
      <c r="H152" s="67">
        <f t="shared" si="110"/>
        <v>192.13333333333333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68.378190577590345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1.1368683772161603E-13</v>
      </c>
      <c r="O152" s="13">
        <f>N152*VLOOKUP('Données projet'!$B$9,Paramètres!$A$1:$I$89,3,0)*VLOOKUP('Données projet'!$B$9,Paramètres!$A$1:$I$89,5,0)</f>
        <v>6.7984728957526396E-14</v>
      </c>
      <c r="P152" s="13">
        <f t="shared" si="141"/>
        <v>1.0682447123141398E-12</v>
      </c>
      <c r="Q152" s="20">
        <f t="shared" si="108"/>
        <v>1.978932943548152E-12</v>
      </c>
      <c r="R152" s="59">
        <f t="shared" si="109"/>
        <v>287.38669878449991</v>
      </c>
      <c r="S152" s="59">
        <f ca="1">AVERAGE(OFFSET($R$3,0,0,'Données projet'!$E$9+1,1))-AVERAGE(OFFSET($H$3,0,0,'Données projet'!$E$9+1,1))</f>
        <v>299.45724561493057</v>
      </c>
      <c r="T152" s="59">
        <f t="shared" si="142"/>
        <v>297.63369027443196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20.468745616334328</v>
      </c>
      <c r="AA152" s="21">
        <f>EXP(-LN(2)/25)*AA151+(1-EXP(-LN(2)/25))/(LN(2)/25)*Calculateur!V152*Calculateur!X152*VLOOKUP('Données projet'!$B$9,Paramètres!$A$1:$I$89,3,0)*0.475*44/12</f>
        <v>6.1905593249018853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26.659304941236215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68.378190577590345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3.4106051316484809E-13</v>
      </c>
      <c r="AJ152" s="13">
        <f>AI152*VLOOKUP('Données projet'!$B$10,Paramètres!$A$1:$I$89,3,0)*VLOOKUP('Données projet'!$B$10,Paramètres!$A$1:$I$89,5,0)</f>
        <v>1.9065282685915009E-13</v>
      </c>
      <c r="AK152" s="13">
        <f t="shared" si="143"/>
        <v>2.6568987209435707E-12</v>
      </c>
      <c r="AL152" s="20">
        <f t="shared" si="112"/>
        <v>4.959485612423072E-12</v>
      </c>
      <c r="AM152" s="59">
        <f t="shared" si="113"/>
        <v>287.38669878450287</v>
      </c>
      <c r="AN152" s="59">
        <f ca="1">AVERAGE(OFFSET($AM$3,0,0,'Données projet'!$E$10+1,1))-AVERAGE(OFFSET($H$3,0,0,'Données projet'!$E$10+1,1))</f>
        <v>363.98181065114898</v>
      </c>
      <c r="AO152" s="59">
        <f t="shared" si="144"/>
        <v>410.85213343666396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41.120335810173735</v>
      </c>
      <c r="AV152" s="21">
        <f>EXP(-LN(2)/25)*AV151+(1-EXP(-LN(2)/25))/(LN(2)/25)*Calculateur!AQ152*Calculateur!AS152*VLOOKUP('Données projet'!$B$10,Paramètres!$A$1:$I$89,3,0)*0.475*44/12</f>
        <v>11.236445700537853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52.356781510711585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68.378190577590345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-9.9316821433603781E-14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433.6995276469014</v>
      </c>
      <c r="BJ152" s="59">
        <f t="shared" si="146"/>
        <v>306.37969720280557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38.153753774124297</v>
      </c>
      <c r="BQ152" s="21">
        <f>EXP(-LN(2)/25)*BQ151+(1-EXP(-LN(2)/25))/(LN(2)/25)*Calculateur!BL152*Calculateur!BN152*VLOOKUP('Données projet'!$B$11,Paramètres!$A$1:$I$89,3,0)*0.475*44/12</f>
        <v>10.654982812313211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48.808736586437504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68.378190577590345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5.6</v>
      </c>
      <c r="BY152" s="12">
        <f>IF('Données projet'!$A$114&gt;35,BY151+BX152-CG151,IF(A152&lt;'Données projet'!$A$114,$BV$205^A152,IF(A152='Données projet'!$A$114,'Données projet'!$B$114,BY151+BX152-CG151)))</f>
        <v>305.39999999999998</v>
      </c>
      <c r="BZ152" s="13">
        <f>BY152*VLOOKUP('Données projet'!$B$12,Paramètres!$A$1:$I$89,3,0)*VLOOKUP('Données projet'!$B$12,Paramètres!$A$1:$I$89,5,0)</f>
        <v>295.38288</v>
      </c>
      <c r="CA152" s="13">
        <f t="shared" si="147"/>
        <v>70.207665780176882</v>
      </c>
      <c r="CB152" s="20">
        <f t="shared" si="118"/>
        <v>636.73686723380797</v>
      </c>
      <c r="CC152" s="59">
        <f t="shared" si="119"/>
        <v>924.12356601830584</v>
      </c>
      <c r="CD152" s="59">
        <f ca="1">AVERAGE(OFFSET($CC$3,0,0,'Données projet'!$E$12+1,1))-AVERAGE(OFFSET($H$3,0,0,'Données projet'!$E$12+1,1))</f>
        <v>455.95436253828132</v>
      </c>
      <c r="CE152" s="59">
        <f t="shared" si="148"/>
        <v>64.829921296688497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45.362532725838285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45.362532725838285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68.378190577590345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5.6843418860808015E-14</v>
      </c>
      <c r="CU152" s="17">
        <f>CT152*VLOOKUP('Données projet'!$B$13,Paramètres!$A$1:$I$89,3,0)*VLOOKUP('Données projet'!$B$13,Paramètres!$A$1:$I$89,5,0)</f>
        <v>4.4337866711430253E-14</v>
      </c>
      <c r="CV152" s="13">
        <f t="shared" si="149"/>
        <v>7.3222115536967035E-13</v>
      </c>
      <c r="CW152" s="20">
        <f t="shared" si="121"/>
        <v>1.3525069634579169E-12</v>
      </c>
      <c r="CX152" s="59">
        <f t="shared" si="122"/>
        <v>287.38669878449929</v>
      </c>
      <c r="CY152" s="59">
        <f ca="1">AVERAGE(OFFSET($CX$3,0,0,'Données projet'!$E$13+1,1))-AVERAGE(OFFSET($H$3,0,0,'Données projet'!$E$13+1,1))</f>
        <v>306.44760579759713</v>
      </c>
      <c r="CZ152" s="59">
        <f t="shared" si="150"/>
        <v>300.30192123221718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18.138748228154835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18.138748228154835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68.378190577590345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68.378190577590345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68.378190577590345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68.378190577590345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68.378190577590345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4.4000000000000004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16.133333333333336</v>
      </c>
      <c r="H153" s="67">
        <f t="shared" si="110"/>
        <v>192.13333333333333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68.406325345246472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1.1368683772161603E-13</v>
      </c>
      <c r="O153" s="13">
        <f>N153*VLOOKUP('Données projet'!$B$9,Paramètres!$A$1:$I$89,3,0)*VLOOKUP('Données projet'!$B$9,Paramètres!$A$1:$I$89,5,0)</f>
        <v>6.7984728957526396E-14</v>
      </c>
      <c r="P153" s="13">
        <f t="shared" si="141"/>
        <v>1.0682447123141398E-12</v>
      </c>
      <c r="Q153" s="20">
        <f t="shared" si="108"/>
        <v>1.978932943548152E-12</v>
      </c>
      <c r="R153" s="59">
        <f t="shared" si="109"/>
        <v>287.48985959923903</v>
      </c>
      <c r="S153" s="59">
        <f ca="1">AVERAGE(OFFSET($R$3,0,0,'Données projet'!$E$9+1,1))-AVERAGE(OFFSET($H$3,0,0,'Données projet'!$E$9+1,1))</f>
        <v>299.45724561493057</v>
      </c>
      <c r="T153" s="59">
        <f t="shared" si="142"/>
        <v>297.63369027443196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20.067365999500076</v>
      </c>
      <c r="AA153" s="21">
        <f>EXP(-LN(2)/25)*AA152+(1-EXP(-LN(2)/25))/(LN(2)/25)*Calculateur!V153*Calculateur!X153*VLOOKUP('Données projet'!$B$9,Paramètres!$A$1:$I$89,3,0)*0.475*44/12</f>
        <v>6.0212781546150769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26.088644154115151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68.406325345246472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3.4106051316484809E-13</v>
      </c>
      <c r="AJ153" s="13">
        <f>AI153*VLOOKUP('Données projet'!$B$10,Paramètres!$A$1:$I$89,3,0)*VLOOKUP('Données projet'!$B$10,Paramètres!$A$1:$I$89,5,0)</f>
        <v>1.9065282685915009E-13</v>
      </c>
      <c r="AK153" s="13">
        <f t="shared" si="143"/>
        <v>2.6568987209435707E-12</v>
      </c>
      <c r="AL153" s="20">
        <f t="shared" si="112"/>
        <v>4.959485612423072E-12</v>
      </c>
      <c r="AM153" s="59">
        <f t="shared" si="113"/>
        <v>287.48985959924198</v>
      </c>
      <c r="AN153" s="59">
        <f ca="1">AVERAGE(OFFSET($AM$3,0,0,'Données projet'!$E$10+1,1))-AVERAGE(OFFSET($H$3,0,0,'Données projet'!$E$10+1,1))</f>
        <v>363.98181065114898</v>
      </c>
      <c r="AO153" s="59">
        <f t="shared" si="144"/>
        <v>410.85213343666396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40.313991105864538</v>
      </c>
      <c r="AV153" s="21">
        <f>EXP(-LN(2)/25)*AV152+(1-EXP(-LN(2)/25))/(LN(2)/25)*Calculateur!AQ153*Calculateur!AS153*VLOOKUP('Données projet'!$B$10,Paramètres!$A$1:$I$89,3,0)*0.475*44/12</f>
        <v>10.929184501957648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51.243175607822188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68.406325345246472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-9.9316821433603781E-14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433.6995276469014</v>
      </c>
      <c r="BJ153" s="59">
        <f t="shared" si="146"/>
        <v>306.37969720280557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37.405581934105655</v>
      </c>
      <c r="BQ153" s="21">
        <f>EXP(-LN(2)/25)*BQ152+(1-EXP(-LN(2)/25))/(LN(2)/25)*Calculateur!BL153*Calculateur!BN153*VLOOKUP('Données projet'!$B$11,Paramètres!$A$1:$I$89,3,0)*0.475*44/12</f>
        <v>10.363621746989311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47.769203681094965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68.406325345246472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5.6</v>
      </c>
      <c r="BY153" s="12">
        <f>IF('Données projet'!$A$114&gt;35,BY152+BX153-CG152,IF(A153&lt;'Données projet'!$A$114,$BV$205^A153,IF(A153='Données projet'!$A$114,'Données projet'!$B$114,BY152+BX153-CG152)))</f>
        <v>311</v>
      </c>
      <c r="BZ153" s="13">
        <f>BY153*VLOOKUP('Données projet'!$B$12,Paramètres!$A$1:$I$89,3,0)*VLOOKUP('Données projet'!$B$12,Paramètres!$A$1:$I$89,5,0)</f>
        <v>300.79919999999998</v>
      </c>
      <c r="CA153" s="13">
        <f t="shared" si="147"/>
        <v>71.343980542341384</v>
      </c>
      <c r="CB153" s="20">
        <f t="shared" si="118"/>
        <v>648.14937277791125</v>
      </c>
      <c r="CC153" s="59">
        <f t="shared" si="119"/>
        <v>935.63923237714835</v>
      </c>
      <c r="CD153" s="59">
        <f ca="1">AVERAGE(OFFSET($CC$3,0,0,'Données projet'!$E$12+1,1))-AVERAGE(OFFSET($H$3,0,0,'Données projet'!$E$12+1,1))</f>
        <v>455.95436253828132</v>
      </c>
      <c r="CE153" s="59">
        <f t="shared" si="148"/>
        <v>64.829921296688497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44.473001127497533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44.473001127497533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68.406325345246472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5.6843418860808015E-14</v>
      </c>
      <c r="CU153" s="17">
        <f>CT153*VLOOKUP('Données projet'!$B$13,Paramètres!$A$1:$I$89,3,0)*VLOOKUP('Données projet'!$B$13,Paramètres!$A$1:$I$89,5,0)</f>
        <v>4.4337866711430253E-14</v>
      </c>
      <c r="CV153" s="13">
        <f t="shared" si="149"/>
        <v>7.3222115536967035E-13</v>
      </c>
      <c r="CW153" s="20">
        <f t="shared" si="121"/>
        <v>1.3525069634579169E-12</v>
      </c>
      <c r="CX153" s="59">
        <f t="shared" si="122"/>
        <v>287.4898595992384</v>
      </c>
      <c r="CY153" s="59">
        <f ca="1">AVERAGE(OFFSET($CX$3,0,0,'Données projet'!$E$13+1,1))-AVERAGE(OFFSET($H$3,0,0,'Données projet'!$E$13+1,1))</f>
        <v>306.44760579759713</v>
      </c>
      <c r="CZ153" s="59">
        <f t="shared" si="150"/>
        <v>300.30192123221718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17.783058438944703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17.783058438944703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68.406325345246472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68.406325345246472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68.406325345246472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68.406325345246472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68.406325345246472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4.4000000000000004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16.133333333333336</v>
      </c>
      <c r="H154" s="67">
        <f t="shared" si="110"/>
        <v>192.13333333333333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68.433972037583686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1.1368683772161603E-13</v>
      </c>
      <c r="O154" s="13">
        <f>N154*VLOOKUP('Données projet'!$B$9,Paramètres!$A$1:$I$89,3,0)*VLOOKUP('Données projet'!$B$9,Paramètres!$A$1:$I$89,5,0)</f>
        <v>6.7984728957526396E-14</v>
      </c>
      <c r="P154" s="13">
        <f t="shared" si="141"/>
        <v>1.0682447123141398E-12</v>
      </c>
      <c r="Q154" s="20">
        <f t="shared" ref="Q154:Q203" si="162">(O154+P154)*0.475*44/12</f>
        <v>1.978932943548152E-12</v>
      </c>
      <c r="R154" s="59">
        <f t="shared" si="109"/>
        <v>287.59123080447552</v>
      </c>
      <c r="S154" s="59">
        <f ca="1">AVERAGE(OFFSET($R$3,0,0,'Données projet'!$E$9+1,1))-AVERAGE(OFFSET($H$3,0,0,'Données projet'!$E$9+1,1))</f>
        <v>299.45724561493057</v>
      </c>
      <c r="T154" s="59">
        <f t="shared" si="142"/>
        <v>297.63369027443196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19.673857192134552</v>
      </c>
      <c r="AA154" s="21">
        <f>EXP(-LN(2)/25)*AA153+(1-EXP(-LN(2)/25))/(LN(2)/25)*Calculateur!V154*Calculateur!X154*VLOOKUP('Données projet'!$B$9,Paramètres!$A$1:$I$89,3,0)*0.475*44/12</f>
        <v>5.8566259868318715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25.530483178966424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68.433972037583686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3.4106051316484809E-13</v>
      </c>
      <c r="AJ154" s="13">
        <f>AI154*VLOOKUP('Données projet'!$B$10,Paramètres!$A$1:$I$89,3,0)*VLOOKUP('Données projet'!$B$10,Paramètres!$A$1:$I$89,5,0)</f>
        <v>1.9065282685915009E-13</v>
      </c>
      <c r="AK154" s="13">
        <f t="shared" ref="AK154:AK203" si="164">EXP(-1.0587+0.8836*LN(AJ154)+0.284)</f>
        <v>2.6568987209435707E-12</v>
      </c>
      <c r="AL154" s="20">
        <f t="shared" ref="AL154:AL203" si="165">(AJ154+AK154)*0.475*44/12</f>
        <v>4.959485612423072E-12</v>
      </c>
      <c r="AM154" s="59">
        <f t="shared" si="113"/>
        <v>287.59123080447847</v>
      </c>
      <c r="AN154" s="59">
        <f ca="1">AVERAGE(OFFSET($AM$3,0,0,'Données projet'!$E$10+1,1))-AVERAGE(OFFSET($H$3,0,0,'Données projet'!$E$10+1,1))</f>
        <v>363.98181065114898</v>
      </c>
      <c r="AO154" s="59">
        <f t="shared" si="144"/>
        <v>410.85213343666396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39.523458329385136</v>
      </c>
      <c r="AV154" s="21">
        <f>EXP(-LN(2)/25)*AV153+(1-EXP(-LN(2)/25))/(LN(2)/25)*Calculateur!AQ154*Calculateur!AS154*VLOOKUP('Données projet'!$B$10,Paramètres!$A$1:$I$89,3,0)*0.475*44/12</f>
        <v>10.630325377010783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50.15378370639592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68.433972037583686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-9.9316821433603781E-14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433.6995276469014</v>
      </c>
      <c r="BJ154" s="59">
        <f t="shared" si="146"/>
        <v>306.37969720280557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36.672081287530013</v>
      </c>
      <c r="BQ154" s="21">
        <f>EXP(-LN(2)/25)*BQ153+(1-EXP(-LN(2)/25))/(LN(2)/25)*Calculateur!BL154*Calculateur!BN154*VLOOKUP('Données projet'!$B$11,Paramètres!$A$1:$I$89,3,0)*0.475*44/12</f>
        <v>10.080227965318707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46.752309252848718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68.433972037583686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5.6</v>
      </c>
      <c r="BY154" s="12">
        <f>IF('Données projet'!$A$114&gt;35,BY153+BX154-CG153,IF(A154&lt;'Données projet'!$A$114,$BV$205^A154,IF(A154='Données projet'!$A$114,'Données projet'!$B$114,BY153+BX154-CG153)))</f>
        <v>316.60000000000002</v>
      </c>
      <c r="BZ154" s="13">
        <f>BY154*VLOOKUP('Données projet'!$B$12,Paramètres!$A$1:$I$89,3,0)*VLOOKUP('Données projet'!$B$12,Paramètres!$A$1:$I$89,5,0)</f>
        <v>306.21552000000003</v>
      </c>
      <c r="CA154" s="13">
        <f t="shared" ref="CA154:CA203" si="170">EXP(-1.0587+0.8836*LN(BZ154)+0.284)</f>
        <v>72.477916005471883</v>
      </c>
      <c r="CB154" s="20">
        <f t="shared" ref="CB154:CB203" si="171">(BZ154+CA154)*0.475*44/12</f>
        <v>659.55773437619678</v>
      </c>
      <c r="CC154" s="59">
        <f t="shared" si="119"/>
        <v>947.1489651806703</v>
      </c>
      <c r="CD154" s="59">
        <f ca="1">AVERAGE(OFFSET($CC$3,0,0,'Données projet'!$E$12+1,1))-AVERAGE(OFFSET($H$3,0,0,'Données projet'!$E$12+1,1))</f>
        <v>455.95436253828132</v>
      </c>
      <c r="CE154" s="59">
        <f t="shared" si="148"/>
        <v>64.829921296688497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43.600912701239537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43.600912701239537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68.433972037583686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5.6843418860808015E-14</v>
      </c>
      <c r="CU154" s="17">
        <f>CT154*VLOOKUP('Données projet'!$B$13,Paramètres!$A$1:$I$89,3,0)*VLOOKUP('Données projet'!$B$13,Paramètres!$A$1:$I$89,5,0)</f>
        <v>4.4337866711430253E-14</v>
      </c>
      <c r="CV154" s="13">
        <f t="shared" ref="CV154:CV203" si="173">EXP(-1.0587+0.8836*LN(CU154)+0.284)</f>
        <v>7.3222115536967035E-13</v>
      </c>
      <c r="CW154" s="20">
        <f t="shared" ref="CW154:CW203" si="174">(CU154+CV154)*0.475*44/12</f>
        <v>1.3525069634579169E-12</v>
      </c>
      <c r="CX154" s="59">
        <f t="shared" si="122"/>
        <v>287.59123080447489</v>
      </c>
      <c r="CY154" s="59">
        <f ca="1">AVERAGE(OFFSET($CX$3,0,0,'Données projet'!$E$13+1,1))-AVERAGE(OFFSET($H$3,0,0,'Données projet'!$E$13+1,1))</f>
        <v>306.44760579759713</v>
      </c>
      <c r="CZ154" s="59">
        <f t="shared" si="150"/>
        <v>300.30192123221718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17.434343509551635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17.434343509551635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68.433972037583686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68.433972037583686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68.433972037583686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68.433972037583686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68.433972037583686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4.4000000000000004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16.133333333333336</v>
      </c>
      <c r="H155" s="67">
        <f t="shared" si="110"/>
        <v>192.13333333333333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68.461139121617592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1.1368683772161603E-13</v>
      </c>
      <c r="O155" s="13">
        <f>N155*VLOOKUP('Données projet'!$B$9,Paramètres!$A$1:$I$89,3,0)*VLOOKUP('Données projet'!$B$9,Paramètres!$A$1:$I$89,5,0)</f>
        <v>6.7984728957526396E-14</v>
      </c>
      <c r="P155" s="13">
        <f t="shared" si="141"/>
        <v>1.0682447123141398E-12</v>
      </c>
      <c r="Q155" s="20">
        <f t="shared" si="162"/>
        <v>1.978932943548152E-12</v>
      </c>
      <c r="R155" s="59">
        <f t="shared" si="109"/>
        <v>287.69084344593318</v>
      </c>
      <c r="S155" s="59">
        <f ca="1">AVERAGE(OFFSET($R$3,0,0,'Données projet'!$E$9+1,1))-AVERAGE(OFFSET($H$3,0,0,'Données projet'!$E$9+1,1))</f>
        <v>299.45724561493057</v>
      </c>
      <c r="T155" s="59">
        <f t="shared" si="142"/>
        <v>297.63369027443196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19.288064852464792</v>
      </c>
      <c r="AA155" s="21">
        <f>EXP(-LN(2)/25)*AA154+(1-EXP(-LN(2)/25))/(LN(2)/25)*Calculateur!V155*Calculateur!X155*VLOOKUP('Données projet'!$B$9,Paramètres!$A$1:$I$89,3,0)*0.475*44/12</f>
        <v>5.6964762412353789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24.984541093700173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68.461139121617592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3.4106051316484809E-13</v>
      </c>
      <c r="AJ155" s="13">
        <f>AI155*VLOOKUP('Données projet'!$B$10,Paramètres!$A$1:$I$89,3,0)*VLOOKUP('Données projet'!$B$10,Paramètres!$A$1:$I$89,5,0)</f>
        <v>1.9065282685915009E-13</v>
      </c>
      <c r="AK155" s="13">
        <f t="shared" si="164"/>
        <v>2.6568987209435707E-12</v>
      </c>
      <c r="AL155" s="20">
        <f t="shared" si="165"/>
        <v>4.959485612423072E-12</v>
      </c>
      <c r="AM155" s="59">
        <f t="shared" si="113"/>
        <v>287.69084344593614</v>
      </c>
      <c r="AN155" s="59">
        <f ca="1">AVERAGE(OFFSET($AM$3,0,0,'Données projet'!$E$10+1,1))-AVERAGE(OFFSET($H$3,0,0,'Données projet'!$E$10+1,1))</f>
        <v>363.98181065114898</v>
      </c>
      <c r="AO155" s="59">
        <f t="shared" si="144"/>
        <v>410.85213343666396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38.74842741847511</v>
      </c>
      <c r="AV155" s="21">
        <f>EXP(-LN(2)/25)*AV154+(1-EXP(-LN(2)/25))/(LN(2)/25)*Calculateur!AQ155*Calculateur!AS155*VLOOKUP('Données projet'!$B$10,Paramètres!$A$1:$I$89,3,0)*0.475*44/12</f>
        <v>10.339638570551907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49.088065989027015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68.461139121617592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-9.9316821433603781E-14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433.6995276469014</v>
      </c>
      <c r="BJ155" s="59">
        <f t="shared" si="146"/>
        <v>306.37969720280557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35.952964141242504</v>
      </c>
      <c r="BQ155" s="21">
        <f>EXP(-LN(2)/25)*BQ154+(1-EXP(-LN(2)/25))/(LN(2)/25)*Calculateur!BL155*Calculateur!BN155*VLOOKUP('Données projet'!$B$11,Paramètres!$A$1:$I$89,3,0)*0.475*44/12</f>
        <v>9.8045836015109167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45.757547742753417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68.461139121617592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5.6</v>
      </c>
      <c r="BY155" s="12">
        <f>IF('Données projet'!$A$114&gt;35,BY154+BX155-CG154,IF(A155&lt;'Données projet'!$A$114,$BV$205^A155,IF(A155='Données projet'!$A$114,'Données projet'!$B$114,BY154+BX155-CG154)))</f>
        <v>322.20000000000005</v>
      </c>
      <c r="BZ155" s="13">
        <f>BY155*VLOOKUP('Données projet'!$B$12,Paramètres!$A$1:$I$89,3,0)*VLOOKUP('Données projet'!$B$12,Paramètres!$A$1:$I$89,5,0)</f>
        <v>311.63184000000007</v>
      </c>
      <c r="CA155" s="13">
        <f t="shared" si="170"/>
        <v>73.609519109735146</v>
      </c>
      <c r="CB155" s="20">
        <f t="shared" si="171"/>
        <v>670.96203378278881</v>
      </c>
      <c r="CC155" s="59">
        <f t="shared" si="119"/>
        <v>958.65287722871994</v>
      </c>
      <c r="CD155" s="59">
        <f ca="1">AVERAGE(OFFSET($CC$3,0,0,'Données projet'!$E$12+1,1))-AVERAGE(OFFSET($H$3,0,0,'Données projet'!$E$12+1,1))</f>
        <v>455.95436253828132</v>
      </c>
      <c r="CE155" s="59">
        <f t="shared" si="148"/>
        <v>64.829921296688497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42.745925397099043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42.745925397099043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68.461139121617592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5.6843418860808015E-14</v>
      </c>
      <c r="CU155" s="17">
        <f>CT155*VLOOKUP('Données projet'!$B$13,Paramètres!$A$1:$I$89,3,0)*VLOOKUP('Données projet'!$B$13,Paramètres!$A$1:$I$89,5,0)</f>
        <v>4.4337866711430253E-14</v>
      </c>
      <c r="CV155" s="13">
        <f t="shared" si="173"/>
        <v>7.3222115536967035E-13</v>
      </c>
      <c r="CW155" s="20">
        <f t="shared" si="174"/>
        <v>1.3525069634579169E-12</v>
      </c>
      <c r="CX155" s="59">
        <f t="shared" si="122"/>
        <v>287.69084344593256</v>
      </c>
      <c r="CY155" s="59">
        <f ca="1">AVERAGE(OFFSET($CX$3,0,0,'Données projet'!$E$13+1,1))-AVERAGE(OFFSET($H$3,0,0,'Données projet'!$E$13+1,1))</f>
        <v>306.44760579759713</v>
      </c>
      <c r="CZ155" s="59">
        <f t="shared" si="150"/>
        <v>300.30192123221718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17.092466667228859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17.092466667228859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68.461139121617592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68.461139121617592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68.461139121617592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68.461139121617592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68.461139121617592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4.4000000000000004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16.133333333333336</v>
      </c>
      <c r="H156" s="67">
        <f t="shared" si="110"/>
        <v>192.13333333333333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68.487834917480001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1.1368683772161603E-13</v>
      </c>
      <c r="O156" s="13">
        <f>N156*VLOOKUP('Données projet'!$B$9,Paramètres!$A$1:$I$89,3,0)*VLOOKUP('Données projet'!$B$9,Paramètres!$A$1:$I$89,5,0)</f>
        <v>6.7984728957526396E-14</v>
      </c>
      <c r="P156" s="13">
        <f t="shared" si="141"/>
        <v>1.0682447123141398E-12</v>
      </c>
      <c r="Q156" s="20">
        <f t="shared" si="162"/>
        <v>1.978932943548152E-12</v>
      </c>
      <c r="R156" s="59">
        <f t="shared" si="109"/>
        <v>287.788728030762</v>
      </c>
      <c r="S156" s="59">
        <f ca="1">AVERAGE(OFFSET($R$3,0,0,'Données projet'!$E$9+1,1))-AVERAGE(OFFSET($H$3,0,0,'Données projet'!$E$9+1,1))</f>
        <v>299.45724561493057</v>
      </c>
      <c r="T156" s="59">
        <f t="shared" si="142"/>
        <v>297.63369027443196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18.909837665265865</v>
      </c>
      <c r="AA156" s="21">
        <f>EXP(-LN(2)/25)*AA155+(1-EXP(-LN(2)/25))/(LN(2)/25)*Calculateur!V156*Calculateur!X156*VLOOKUP('Données projet'!$B$9,Paramètres!$A$1:$I$89,3,0)*0.475*44/12</f>
        <v>5.5407057988541313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24.450543464119995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68.487834917480001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3.4106051316484809E-13</v>
      </c>
      <c r="AJ156" s="13">
        <f>AI156*VLOOKUP('Données projet'!$B$10,Paramètres!$A$1:$I$89,3,0)*VLOOKUP('Données projet'!$B$10,Paramètres!$A$1:$I$89,5,0)</f>
        <v>1.9065282685915009E-13</v>
      </c>
      <c r="AK156" s="13">
        <f t="shared" si="164"/>
        <v>2.6568987209435707E-12</v>
      </c>
      <c r="AL156" s="20">
        <f t="shared" si="165"/>
        <v>4.959485612423072E-12</v>
      </c>
      <c r="AM156" s="59">
        <f t="shared" si="113"/>
        <v>287.78872803076496</v>
      </c>
      <c r="AN156" s="59">
        <f ca="1">AVERAGE(OFFSET($AM$3,0,0,'Données projet'!$E$10+1,1))-AVERAGE(OFFSET($H$3,0,0,'Données projet'!$E$10+1,1))</f>
        <v>363.98181065114898</v>
      </c>
      <c r="AO156" s="59">
        <f t="shared" si="144"/>
        <v>410.85213343666396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37.988594391005854</v>
      </c>
      <c r="AV156" s="21">
        <f>EXP(-LN(2)/25)*AV155+(1-EXP(-LN(2)/25))/(LN(2)/25)*Calculateur!AQ156*Calculateur!AS156*VLOOKUP('Données projet'!$B$10,Paramètres!$A$1:$I$89,3,0)*0.475*44/12</f>
        <v>10.056900610102204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48.045495001108058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68.487834917480001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-9.9316821433603781E-14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433.6995276469014</v>
      </c>
      <c r="BJ156" s="59">
        <f t="shared" si="146"/>
        <v>306.37969720280557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35.247948443575538</v>
      </c>
      <c r="BQ156" s="21">
        <f>EXP(-LN(2)/25)*BQ155+(1-EXP(-LN(2)/25))/(LN(2)/25)*Calculateur!BL156*Calculateur!BN156*VLOOKUP('Données projet'!$B$11,Paramètres!$A$1:$I$89,3,0)*0.475*44/12</f>
        <v>9.536476747326958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44.784425190902496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68.487834917480001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5.6</v>
      </c>
      <c r="BY156" s="12">
        <f>IF('Données projet'!$A$114&gt;35,BY155+BX156-CG155,IF(A156&lt;'Données projet'!$A$114,$BV$205^A156,IF(A156='Données projet'!$A$114,'Données projet'!$B$114,BY155+BX156-CG155)))</f>
        <v>327.80000000000007</v>
      </c>
      <c r="BZ156" s="13">
        <f>BY156*VLOOKUP('Données projet'!$B$12,Paramètres!$A$1:$I$89,3,0)*VLOOKUP('Données projet'!$B$12,Paramètres!$A$1:$I$89,5,0)</f>
        <v>317.04816000000011</v>
      </c>
      <c r="CA156" s="13">
        <f t="shared" si="170"/>
        <v>74.738835070131188</v>
      </c>
      <c r="CB156" s="20">
        <f t="shared" si="171"/>
        <v>682.36234974714523</v>
      </c>
      <c r="CC156" s="59">
        <f t="shared" si="119"/>
        <v>970.15107777790524</v>
      </c>
      <c r="CD156" s="59">
        <f ca="1">AVERAGE(OFFSET($CC$3,0,0,'Données projet'!$E$12+1,1))-AVERAGE(OFFSET($H$3,0,0,'Données projet'!$E$12+1,1))</f>
        <v>455.95436253828132</v>
      </c>
      <c r="CE156" s="59">
        <f t="shared" si="148"/>
        <v>64.829921296688497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41.907703872501983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41.907703872501983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68.487834917480001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5.6843418860808015E-14</v>
      </c>
      <c r="CU156" s="17">
        <f>CT156*VLOOKUP('Données projet'!$B$13,Paramètres!$A$1:$I$89,3,0)*VLOOKUP('Données projet'!$B$13,Paramètres!$A$1:$I$89,5,0)</f>
        <v>4.4337866711430253E-14</v>
      </c>
      <c r="CV156" s="13">
        <f t="shared" si="173"/>
        <v>7.3222115536967035E-13</v>
      </c>
      <c r="CW156" s="20">
        <f t="shared" si="174"/>
        <v>1.3525069634579169E-12</v>
      </c>
      <c r="CX156" s="59">
        <f t="shared" si="122"/>
        <v>287.78872803076138</v>
      </c>
      <c r="CY156" s="59">
        <f ca="1">AVERAGE(OFFSET($CX$3,0,0,'Données projet'!$E$13+1,1))-AVERAGE(OFFSET($H$3,0,0,'Données projet'!$E$13+1,1))</f>
        <v>306.44760579759713</v>
      </c>
      <c r="CZ156" s="59">
        <f t="shared" si="150"/>
        <v>300.30192123221718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16.757293821259747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16.757293821259747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68.487834917480001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68.487834917480001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68.487834917480001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68.487834917480001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68.487834917480001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4.4000000000000004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16.133333333333336</v>
      </c>
      <c r="H157" s="67">
        <f t="shared" si="110"/>
        <v>192.13333333333333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68.514067600967067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1.1368683772161603E-13</v>
      </c>
      <c r="O157" s="13">
        <f>N157*VLOOKUP('Données projet'!$B$9,Paramètres!$A$1:$I$89,3,0)*VLOOKUP('Données projet'!$B$9,Paramètres!$A$1:$I$89,5,0)</f>
        <v>6.7984728957526396E-14</v>
      </c>
      <c r="P157" s="13">
        <f t="shared" si="141"/>
        <v>1.0682447123141398E-12</v>
      </c>
      <c r="Q157" s="20">
        <f t="shared" si="162"/>
        <v>1.978932943548152E-12</v>
      </c>
      <c r="R157" s="59">
        <f t="shared" si="109"/>
        <v>287.88491453688124</v>
      </c>
      <c r="S157" s="59">
        <f ca="1">AVERAGE(OFFSET($R$3,0,0,'Données projet'!$E$9+1,1))-AVERAGE(OFFSET($H$3,0,0,'Données projet'!$E$9+1,1))</f>
        <v>299.45724561493057</v>
      </c>
      <c r="T157" s="59">
        <f t="shared" si="142"/>
        <v>297.63369027443196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18.539027282512102</v>
      </c>
      <c r="AA157" s="21">
        <f>EXP(-LN(2)/25)*AA156+(1-EXP(-LN(2)/25))/(LN(2)/25)*Calculateur!V157*Calculateur!X157*VLOOKUP('Données projet'!$B$9,Paramètres!$A$1:$I$89,3,0)*0.475*44/12</f>
        <v>5.3891949074114107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23.928222189923513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68.514067600967067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3.4106051316484809E-13</v>
      </c>
      <c r="AJ157" s="13">
        <f>AI157*VLOOKUP('Données projet'!$B$10,Paramètres!$A$1:$I$89,3,0)*VLOOKUP('Données projet'!$B$10,Paramètres!$A$1:$I$89,5,0)</f>
        <v>1.9065282685915009E-13</v>
      </c>
      <c r="AK157" s="13">
        <f t="shared" si="164"/>
        <v>2.6568987209435707E-12</v>
      </c>
      <c r="AL157" s="20">
        <f t="shared" si="165"/>
        <v>4.959485612423072E-12</v>
      </c>
      <c r="AM157" s="59">
        <f t="shared" si="113"/>
        <v>287.8849145368842</v>
      </c>
      <c r="AN157" s="59">
        <f ca="1">AVERAGE(OFFSET($AM$3,0,0,'Données projet'!$E$10+1,1))-AVERAGE(OFFSET($H$3,0,0,'Données projet'!$E$10+1,1))</f>
        <v>363.98181065114898</v>
      </c>
      <c r="AO157" s="59">
        <f t="shared" si="144"/>
        <v>410.85213343666396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37.243661225752888</v>
      </c>
      <c r="AV157" s="21">
        <f>EXP(-LN(2)/25)*AV156+(1-EXP(-LN(2)/25))/(LN(2)/25)*Calculateur!AQ157*Calculateur!AS157*VLOOKUP('Données projet'!$B$10,Paramètres!$A$1:$I$89,3,0)*0.475*44/12</f>
        <v>9.7818941340495407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47.025555359802425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68.514067600967067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-9.9316821433603781E-14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433.6995276469014</v>
      </c>
      <c r="BJ157" s="59">
        <f t="shared" si="146"/>
        <v>306.37969720280557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34.556757673722707</v>
      </c>
      <c r="BQ157" s="21">
        <f>EXP(-LN(2)/25)*BQ156+(1-EXP(-LN(2)/25))/(LN(2)/25)*Calculateur!BL157*Calculateur!BN157*VLOOKUP('Données projet'!$B$11,Paramètres!$A$1:$I$89,3,0)*0.475*44/12</f>
        <v>9.2757012891697865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43.832458962892495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68.514067600967067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5.6</v>
      </c>
      <c r="BY157" s="12">
        <f>IF('Données projet'!$A$114&gt;35,BY156+BX157-CG156,IF(A157&lt;'Données projet'!$A$114,$BV$205^A157,IF(A157='Données projet'!$A$114,'Données projet'!$B$114,BY156+BX157-CG156)))</f>
        <v>333.40000000000009</v>
      </c>
      <c r="BZ157" s="13">
        <f>BY157*VLOOKUP('Données projet'!$B$12,Paramètres!$A$1:$I$89,3,0)*VLOOKUP('Données projet'!$B$12,Paramètres!$A$1:$I$89,5,0)</f>
        <v>322.46448000000009</v>
      </c>
      <c r="CA157" s="13">
        <f t="shared" si="170"/>
        <v>75.865907468266755</v>
      </c>
      <c r="CB157" s="20">
        <f t="shared" si="171"/>
        <v>693.75875817389806</v>
      </c>
      <c r="CC157" s="59">
        <f t="shared" si="119"/>
        <v>981.64367271077731</v>
      </c>
      <c r="CD157" s="59">
        <f ca="1">AVERAGE(OFFSET($CC$3,0,0,'Données projet'!$E$12+1,1))-AVERAGE(OFFSET($H$3,0,0,'Données projet'!$E$12+1,1))</f>
        <v>455.95436253828132</v>
      </c>
      <c r="CE157" s="59">
        <f t="shared" si="148"/>
        <v>64.829921296688497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41.085919360737627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41.085919360737627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68.514067600967067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5.6843418860808015E-14</v>
      </c>
      <c r="CU157" s="17">
        <f>CT157*VLOOKUP('Données projet'!$B$13,Paramètres!$A$1:$I$89,3,0)*VLOOKUP('Données projet'!$B$13,Paramètres!$A$1:$I$89,5,0)</f>
        <v>4.4337866711430253E-14</v>
      </c>
      <c r="CV157" s="13">
        <f t="shared" si="173"/>
        <v>7.3222115536967035E-13</v>
      </c>
      <c r="CW157" s="20">
        <f t="shared" si="174"/>
        <v>1.3525069634579169E-12</v>
      </c>
      <c r="CX157" s="59">
        <f t="shared" si="122"/>
        <v>287.88491453688061</v>
      </c>
      <c r="CY157" s="59">
        <f ca="1">AVERAGE(OFFSET($CX$3,0,0,'Données projet'!$E$13+1,1))-AVERAGE(OFFSET($H$3,0,0,'Données projet'!$E$13+1,1))</f>
        <v>306.44760579759713</v>
      </c>
      <c r="CZ157" s="59">
        <f t="shared" si="150"/>
        <v>300.30192123221718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16.428693510364841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16.428693510364841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68.514067600967067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68.514067600967067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68.514067600967067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68.514067600967067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68.514067600967067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4.4000000000000004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16.133333333333336</v>
      </c>
      <c r="H158" s="67">
        <f t="shared" si="110"/>
        <v>192.13333333333333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68.539845206043125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1.1368683772161603E-13</v>
      </c>
      <c r="O158" s="13">
        <f>N158*VLOOKUP('Données projet'!$B$9,Paramètres!$A$1:$I$89,3,0)*VLOOKUP('Données projet'!$B$9,Paramètres!$A$1:$I$89,5,0)</f>
        <v>6.7984728957526396E-14</v>
      </c>
      <c r="P158" s="13">
        <f t="shared" si="141"/>
        <v>1.0682447123141398E-12</v>
      </c>
      <c r="Q158" s="20">
        <f t="shared" si="162"/>
        <v>1.978932943548152E-12</v>
      </c>
      <c r="R158" s="59">
        <f t="shared" si="109"/>
        <v>287.97943242216013</v>
      </c>
      <c r="S158" s="59">
        <f ca="1">AVERAGE(OFFSET($R$3,0,0,'Données projet'!$E$9+1,1))-AVERAGE(OFFSET($H$3,0,0,'Données projet'!$E$9+1,1))</f>
        <v>299.45724561493057</v>
      </c>
      <c r="T158" s="59">
        <f t="shared" si="142"/>
        <v>297.63369027443196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18.17548826519214</v>
      </c>
      <c r="AA158" s="21">
        <f>EXP(-LN(2)/25)*AA157+(1-EXP(-LN(2)/25))/(LN(2)/25)*Calculateur!V158*Calculateur!X158*VLOOKUP('Données projet'!$B$9,Paramètres!$A$1:$I$89,3,0)*0.475*44/12</f>
        <v>5.2418270892628023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23.417315354454942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68.539845206043125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3.4106051316484809E-13</v>
      </c>
      <c r="AJ158" s="13">
        <f>AI158*VLOOKUP('Données projet'!$B$10,Paramètres!$A$1:$I$89,3,0)*VLOOKUP('Données projet'!$B$10,Paramètres!$A$1:$I$89,5,0)</f>
        <v>1.9065282685915009E-13</v>
      </c>
      <c r="AK158" s="13">
        <f t="shared" si="164"/>
        <v>2.6568987209435707E-12</v>
      </c>
      <c r="AL158" s="20">
        <f t="shared" si="165"/>
        <v>4.959485612423072E-12</v>
      </c>
      <c r="AM158" s="59">
        <f t="shared" si="113"/>
        <v>287.97943242216309</v>
      </c>
      <c r="AN158" s="59">
        <f ca="1">AVERAGE(OFFSET($AM$3,0,0,'Données projet'!$E$10+1,1))-AVERAGE(OFFSET($H$3,0,0,'Données projet'!$E$10+1,1))</f>
        <v>363.98181065114898</v>
      </c>
      <c r="AO158" s="59">
        <f t="shared" si="144"/>
        <v>410.85213343666396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36.513335745506161</v>
      </c>
      <c r="AV158" s="21">
        <f>EXP(-LN(2)/25)*AV157+(1-EXP(-LN(2)/25))/(LN(2)/25)*Calculateur!AQ158*Calculateur!AS158*VLOOKUP('Données projet'!$B$10,Paramètres!$A$1:$I$89,3,0)*0.475*44/12</f>
        <v>9.5144077245464995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46.027743470052663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68.539845206043125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-9.9316821433603781E-14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433.6995276469014</v>
      </c>
      <c r="BJ158" s="59">
        <f t="shared" si="146"/>
        <v>306.37969720280557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33.879120733281951</v>
      </c>
      <c r="BQ158" s="21">
        <f>EXP(-LN(2)/25)*BQ157+(1-EXP(-LN(2)/25))/(LN(2)/25)*Calculateur!BL158*Calculateur!BN158*VLOOKUP('Données projet'!$B$11,Paramètres!$A$1:$I$89,3,0)*0.475*44/12</f>
        <v>9.0220567496295079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42.901177482911457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68.539845206043125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>
        <f>VLOOKUP(A158,'Données projet'!$A$113:$I$133,2,0)</f>
        <v>339</v>
      </c>
      <c r="BW158" s="12">
        <f>VLOOKUP(A158,'Données projet'!$A$113:$I$133,9,0)</f>
        <v>5.6</v>
      </c>
      <c r="BX158" s="12">
        <f t="array" ref="BX158">INDEX(BW:BW,MIN(IF(ISNUMBER(BW158:BW354),ROW(BW158:BW354),"")))</f>
        <v>5.6</v>
      </c>
      <c r="BY158" s="12">
        <f>IF('Données projet'!$A$114&gt;35,BY157+BX158-CG157,IF(A158&lt;'Données projet'!$A$114,$BV$205^A158,IF(A158='Données projet'!$A$114,'Données projet'!$B$114,BY157+BX158-CG157)))</f>
        <v>339.00000000000011</v>
      </c>
      <c r="BZ158" s="13">
        <f>BY158*VLOOKUP('Données projet'!$B$12,Paramètres!$A$1:$I$89,3,0)*VLOOKUP('Données projet'!$B$12,Paramètres!$A$1:$I$89,5,0)</f>
        <v>327.88080000000014</v>
      </c>
      <c r="CA158" s="13">
        <f t="shared" si="170"/>
        <v>76.990778337787461</v>
      </c>
      <c r="CB158" s="20">
        <f t="shared" si="171"/>
        <v>705.15133227164654</v>
      </c>
      <c r="CC158" s="59">
        <f t="shared" si="119"/>
        <v>993.13076469380462</v>
      </c>
      <c r="CD158" s="59">
        <f ca="1">AVERAGE(OFFSET($CC$3,0,0,'Données projet'!$E$12+1,1))-AVERAGE(OFFSET($H$3,0,0,'Données projet'!$E$12+1,1))</f>
        <v>455.95436253828132</v>
      </c>
      <c r="CE158" s="59">
        <f t="shared" si="148"/>
        <v>64.829921296688497</v>
      </c>
      <c r="CF158" s="15">
        <f>IF(ISNA(VLOOKUP(A158,'Données projet'!$A$113:$I$133,3,0)),0,VLOOKUP(A158,'Données projet'!$A$113:$I$133,3,0))</f>
        <v>14</v>
      </c>
      <c r="CG158" s="15">
        <f>IF(ISNA(VLOOKUP(A158,'Données projet'!$A$113:$I$133,4,0)),0,VLOOKUP(A158,'Données projet'!$A$113:$I$133,4,0))</f>
        <v>40</v>
      </c>
      <c r="CH158" s="16">
        <f>IF(ISNA(VLOOKUP(A158,'Données projet'!$A$113:$I$133,5,0)),0%,VLOOKUP(A158,'Données projet'!$A$113:$I$133,5,0)*VLOOKUP('Données projet'!$B$12,Paramètres!$A$1:$I$89,7,0))</f>
        <v>0.25800000000000001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51.314506557199572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51.314506557199572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68.539845206043125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5.6843418860808015E-14</v>
      </c>
      <c r="CU158" s="17">
        <f>CT158*VLOOKUP('Données projet'!$B$13,Paramètres!$A$1:$I$89,3,0)*VLOOKUP('Données projet'!$B$13,Paramètres!$A$1:$I$89,5,0)</f>
        <v>4.4337866711430253E-14</v>
      </c>
      <c r="CV158" s="13">
        <f t="shared" si="173"/>
        <v>7.3222115536967035E-13</v>
      </c>
      <c r="CW158" s="20">
        <f t="shared" si="174"/>
        <v>1.3525069634579169E-12</v>
      </c>
      <c r="CX158" s="59">
        <f t="shared" si="122"/>
        <v>287.9794324221595</v>
      </c>
      <c r="CY158" s="59">
        <f ca="1">AVERAGE(OFFSET($CX$3,0,0,'Données projet'!$E$13+1,1))-AVERAGE(OFFSET($H$3,0,0,'Données projet'!$E$13+1,1))</f>
        <v>306.44760579759713</v>
      </c>
      <c r="CZ158" s="59">
        <f t="shared" si="150"/>
        <v>300.30192123221718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16.106536851140184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16.106536851140184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68.539845206043125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68.539845206043125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68.539845206043125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68.539845206043125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68.539845206043125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4.4000000000000004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16.133333333333336</v>
      </c>
      <c r="H159" s="67">
        <f t="shared" si="110"/>
        <v>192.13333333333333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68.565175627301187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1.1368683772161603E-13</v>
      </c>
      <c r="O159" s="13">
        <f>N159*VLOOKUP('Données projet'!$B$9,Paramètres!$A$1:$I$89,3,0)*VLOOKUP('Données projet'!$B$9,Paramètres!$A$1:$I$89,5,0)</f>
        <v>6.7984728957526396E-14</v>
      </c>
      <c r="P159" s="13">
        <f t="shared" si="141"/>
        <v>1.0682447123141398E-12</v>
      </c>
      <c r="Q159" s="20">
        <f t="shared" si="162"/>
        <v>1.978932943548152E-12</v>
      </c>
      <c r="R159" s="59">
        <f t="shared" si="109"/>
        <v>288.07231063343966</v>
      </c>
      <c r="S159" s="59">
        <f ca="1">AVERAGE(OFFSET($R$3,0,0,'Données projet'!$E$9+1,1))-AVERAGE(OFFSET($H$3,0,0,'Données projet'!$E$9+1,1))</f>
        <v>299.45724561493057</v>
      </c>
      <c r="T159" s="59">
        <f t="shared" si="142"/>
        <v>297.63369027443196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17.819078026264918</v>
      </c>
      <c r="AA159" s="21">
        <f>EXP(-LN(2)/25)*AA158+(1-EXP(-LN(2)/25))/(LN(2)/25)*Calculateur!V159*Calculateur!X159*VLOOKUP('Données projet'!$B$9,Paramètres!$A$1:$I$89,3,0)*0.475*44/12</f>
        <v>5.0984890518512049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22.917567078116122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68.565175627301187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3.4106051316484809E-13</v>
      </c>
      <c r="AJ159" s="13">
        <f>AI159*VLOOKUP('Données projet'!$B$10,Paramètres!$A$1:$I$89,3,0)*VLOOKUP('Données projet'!$B$10,Paramètres!$A$1:$I$89,5,0)</f>
        <v>1.9065282685915009E-13</v>
      </c>
      <c r="AK159" s="13">
        <f t="shared" si="164"/>
        <v>2.6568987209435707E-12</v>
      </c>
      <c r="AL159" s="20">
        <f t="shared" si="165"/>
        <v>4.959485612423072E-12</v>
      </c>
      <c r="AM159" s="59">
        <f t="shared" si="113"/>
        <v>288.07231063344261</v>
      </c>
      <c r="AN159" s="59">
        <f ca="1">AVERAGE(OFFSET($AM$3,0,0,'Données projet'!$E$10+1,1))-AVERAGE(OFFSET($H$3,0,0,'Données projet'!$E$10+1,1))</f>
        <v>363.98181065114898</v>
      </c>
      <c r="AO159" s="59">
        <f t="shared" si="144"/>
        <v>410.85213343666396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35.797331502472517</v>
      </c>
      <c r="AV159" s="21">
        <f>EXP(-LN(2)/25)*AV158+(1-EXP(-LN(2)/25))/(LN(2)/25)*Calculateur!AQ159*Calculateur!AS159*VLOOKUP('Données projet'!$B$10,Paramètres!$A$1:$I$89,3,0)*0.475*44/12</f>
        <v>9.2542357449778194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45.051567247450336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68.565175627301187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-9.9316821433603781E-14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433.6995276469014</v>
      </c>
      <c r="BJ159" s="59">
        <f t="shared" si="146"/>
        <v>306.37969720280557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33.214771839925518</v>
      </c>
      <c r="BQ159" s="21">
        <f>EXP(-LN(2)/25)*BQ158+(1-EXP(-LN(2)/25))/(LN(2)/25)*Calculateur!BL159*Calculateur!BN159*VLOOKUP('Données projet'!$B$11,Paramètres!$A$1:$I$89,3,0)*0.475*44/12</f>
        <v>8.7753481333615451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41.990119973287065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68.565175627301187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5.8</v>
      </c>
      <c r="BY159" s="12">
        <f>IF('Données projet'!$A$114&gt;35,BY158+BX159-CG158,IF(A159&lt;'Données projet'!$A$114,$BV$205^A159,IF(A159='Données projet'!$A$114,'Données projet'!$B$114,BY158+BX159-CG158)))</f>
        <v>304.80000000000013</v>
      </c>
      <c r="BZ159" s="13">
        <f>BY159*VLOOKUP('Données projet'!$B$12,Paramètres!$A$1:$I$89,3,0)*VLOOKUP('Données projet'!$B$12,Paramètres!$A$1:$I$89,5,0)</f>
        <v>294.80256000000014</v>
      </c>
      <c r="CA159" s="13">
        <f t="shared" si="170"/>
        <v>70.085774636900737</v>
      </c>
      <c r="CB159" s="20">
        <f t="shared" si="171"/>
        <v>635.51384949260239</v>
      </c>
      <c r="CC159" s="59">
        <f t="shared" si="119"/>
        <v>923.58616012604011</v>
      </c>
      <c r="CD159" s="59">
        <f ca="1">AVERAGE(OFFSET($CC$3,0,0,'Données projet'!$E$12+1,1))-AVERAGE(OFFSET($H$3,0,0,'Données projet'!$E$12+1,1))</f>
        <v>455.95436253828132</v>
      </c>
      <c r="CE159" s="59">
        <f t="shared" si="148"/>
        <v>64.829921296688497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50.308260382371394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50.308260382371394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68.565175627301187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5.6843418860808015E-14</v>
      </c>
      <c r="CU159" s="17">
        <f>CT159*VLOOKUP('Données projet'!$B$13,Paramètres!$A$1:$I$89,3,0)*VLOOKUP('Données projet'!$B$13,Paramètres!$A$1:$I$89,5,0)</f>
        <v>4.4337866711430253E-14</v>
      </c>
      <c r="CV159" s="13">
        <f t="shared" si="173"/>
        <v>7.3222115536967035E-13</v>
      </c>
      <c r="CW159" s="20">
        <f t="shared" si="174"/>
        <v>1.3525069634579169E-12</v>
      </c>
      <c r="CX159" s="59">
        <f t="shared" si="122"/>
        <v>288.07231063343903</v>
      </c>
      <c r="CY159" s="59">
        <f ca="1">AVERAGE(OFFSET($CX$3,0,0,'Données projet'!$E$13+1,1))-AVERAGE(OFFSET($H$3,0,0,'Données projet'!$E$13+1,1))</f>
        <v>306.44760579759713</v>
      </c>
      <c r="CZ159" s="59">
        <f t="shared" si="150"/>
        <v>300.30192123221718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15.790697487506764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15.790697487506764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68.565175627301187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68.565175627301187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68.565175627301187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68.565175627301187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68.565175627301187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4.4000000000000004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16.133333333333336</v>
      </c>
      <c r="H160" s="67">
        <f t="shared" si="110"/>
        <v>192.13333333333333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68.590066622380789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1.1368683772161603E-13</v>
      </c>
      <c r="O160" s="13">
        <f>N160*VLOOKUP('Données projet'!$B$9,Paramètres!$A$1:$I$89,3,0)*VLOOKUP('Données projet'!$B$9,Paramètres!$A$1:$I$89,5,0)</f>
        <v>6.7984728957526396E-14</v>
      </c>
      <c r="P160" s="13">
        <f t="shared" si="141"/>
        <v>1.0682447123141398E-12</v>
      </c>
      <c r="Q160" s="20">
        <f t="shared" si="162"/>
        <v>1.978932943548152E-12</v>
      </c>
      <c r="R160" s="59">
        <f t="shared" si="109"/>
        <v>288.1635776153982</v>
      </c>
      <c r="S160" s="59">
        <f ca="1">AVERAGE(OFFSET($R$3,0,0,'Données projet'!$E$9+1,1))-AVERAGE(OFFSET($H$3,0,0,'Données projet'!$E$9+1,1))</f>
        <v>299.45724561493057</v>
      </c>
      <c r="T160" s="59">
        <f t="shared" si="142"/>
        <v>297.63369027443196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17.469656774734279</v>
      </c>
      <c r="AA160" s="21">
        <f>EXP(-LN(2)/25)*AA159+(1-EXP(-LN(2)/25))/(LN(2)/25)*Calculateur!V160*Calculateur!X160*VLOOKUP('Données projet'!$B$9,Paramètres!$A$1:$I$89,3,0)*0.475*44/12</f>
        <v>4.9590706006104472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22.428727375344728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68.590066622380789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3.4106051316484809E-13</v>
      </c>
      <c r="AJ160" s="13">
        <f>AI160*VLOOKUP('Données projet'!$B$10,Paramètres!$A$1:$I$89,3,0)*VLOOKUP('Données projet'!$B$10,Paramètres!$A$1:$I$89,5,0)</f>
        <v>1.9065282685915009E-13</v>
      </c>
      <c r="AK160" s="13">
        <f t="shared" si="164"/>
        <v>2.6568987209435707E-12</v>
      </c>
      <c r="AL160" s="20">
        <f t="shared" si="165"/>
        <v>4.959485612423072E-12</v>
      </c>
      <c r="AM160" s="59">
        <f t="shared" si="113"/>
        <v>288.16357761540115</v>
      </c>
      <c r="AN160" s="59">
        <f ca="1">AVERAGE(OFFSET($AM$3,0,0,'Données projet'!$E$10+1,1))-AVERAGE(OFFSET($H$3,0,0,'Données projet'!$E$10+1,1))</f>
        <v>363.98181065114898</v>
      </c>
      <c r="AO160" s="59">
        <f t="shared" si="144"/>
        <v>410.85213343666396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35.095367665925295</v>
      </c>
      <c r="AV160" s="21">
        <f>EXP(-LN(2)/25)*AV159+(1-EXP(-LN(2)/25))/(LN(2)/25)*Calculateur!AQ160*Calculateur!AS160*VLOOKUP('Données projet'!$B$10,Paramètres!$A$1:$I$89,3,0)*0.475*44/12</f>
        <v>9.0011781818722945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44.096545847797586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68.590066622380789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-9.9316821433603781E-14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433.6995276469014</v>
      </c>
      <c r="BJ160" s="59">
        <f t="shared" si="146"/>
        <v>306.37969720280557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32.56345042315499</v>
      </c>
      <c r="BQ160" s="21">
        <f>EXP(-LN(2)/25)*BQ159+(1-EXP(-LN(2)/25))/(LN(2)/25)*Calculateur!BL160*Calculateur!BN160*VLOOKUP('Données projet'!$B$11,Paramètres!$A$1:$I$89,3,0)*0.475*44/12</f>
        <v>8.5353857771792718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41.098836200334262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68.590066622380789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5.8</v>
      </c>
      <c r="BY160" s="12">
        <f>IF('Données projet'!$A$114&gt;35,BY159+BX160-CG159,IF(A160&lt;'Données projet'!$A$114,$BV$205^A160,IF(A160='Données projet'!$A$114,'Données projet'!$B$114,BY159+BX160-CG159)))</f>
        <v>310.60000000000014</v>
      </c>
      <c r="BZ160" s="13">
        <f>BY160*VLOOKUP('Données projet'!$B$12,Paramètres!$A$1:$I$89,3,0)*VLOOKUP('Données projet'!$B$12,Paramètres!$A$1:$I$89,5,0)</f>
        <v>300.41232000000014</v>
      </c>
      <c r="CA160" s="13">
        <f t="shared" si="170"/>
        <v>71.262894674416742</v>
      </c>
      <c r="CB160" s="20">
        <f t="shared" si="171"/>
        <v>647.33433222460951</v>
      </c>
      <c r="CC160" s="59">
        <f t="shared" si="119"/>
        <v>935.49790984000572</v>
      </c>
      <c r="CD160" s="59">
        <f ca="1">AVERAGE(OFFSET($CC$3,0,0,'Données projet'!$E$12+1,1))-AVERAGE(OFFSET($H$3,0,0,'Données projet'!$E$12+1,1))</f>
        <v>455.95436253828132</v>
      </c>
      <c r="CE160" s="59">
        <f t="shared" si="148"/>
        <v>64.829921296688497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49.321746081282029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49.321746081282029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68.590066622380789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5.6843418860808015E-14</v>
      </c>
      <c r="CU160" s="17">
        <f>CT160*VLOOKUP('Données projet'!$B$13,Paramètres!$A$1:$I$89,3,0)*VLOOKUP('Données projet'!$B$13,Paramètres!$A$1:$I$89,5,0)</f>
        <v>4.4337866711430253E-14</v>
      </c>
      <c r="CV160" s="13">
        <f t="shared" si="173"/>
        <v>7.3222115536967035E-13</v>
      </c>
      <c r="CW160" s="20">
        <f t="shared" si="174"/>
        <v>1.3525069634579169E-12</v>
      </c>
      <c r="CX160" s="59">
        <f t="shared" si="122"/>
        <v>288.16357761539757</v>
      </c>
      <c r="CY160" s="59">
        <f ca="1">AVERAGE(OFFSET($CX$3,0,0,'Données projet'!$E$13+1,1))-AVERAGE(OFFSET($H$3,0,0,'Données projet'!$E$13+1,1))</f>
        <v>306.44760579759713</v>
      </c>
      <c r="CZ160" s="59">
        <f t="shared" si="150"/>
        <v>300.30192123221718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15.481051541151205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15.481051541151205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68.590066622380789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68.590066622380789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68.590066622380789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68.590066622380789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68.590066622380789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4.4000000000000004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16.133333333333336</v>
      </c>
      <c r="H161" s="67">
        <f t="shared" si="110"/>
        <v>192.13333333333333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68.614525814343679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1.1368683772161603E-13</v>
      </c>
      <c r="O161" s="13">
        <f>N161*VLOOKUP('Données projet'!$B$9,Paramètres!$A$1:$I$89,3,0)*VLOOKUP('Données projet'!$B$9,Paramètres!$A$1:$I$89,5,0)</f>
        <v>6.7984728957526396E-14</v>
      </c>
      <c r="P161" s="13">
        <f t="shared" si="141"/>
        <v>1.0682447123141398E-12</v>
      </c>
      <c r="Q161" s="20">
        <f t="shared" si="162"/>
        <v>1.978932943548152E-12</v>
      </c>
      <c r="R161" s="59">
        <f t="shared" si="109"/>
        <v>288.25326131926215</v>
      </c>
      <c r="S161" s="59">
        <f ca="1">AVERAGE(OFFSET($R$3,0,0,'Données projet'!$E$9+1,1))-AVERAGE(OFFSET($H$3,0,0,'Données projet'!$E$9+1,1))</f>
        <v>299.45724561493057</v>
      </c>
      <c r="T161" s="59">
        <f t="shared" si="142"/>
        <v>297.63369027443196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17.127087460820235</v>
      </c>
      <c r="AA161" s="21">
        <f>EXP(-LN(2)/25)*AA160+(1-EXP(-LN(2)/25))/(LN(2)/25)*Calculateur!V161*Calculateur!X161*VLOOKUP('Données projet'!$B$9,Paramètres!$A$1:$I$89,3,0)*0.475*44/12</f>
        <v>4.8234645542505659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21.950552015070802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68.614525814343679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3.4106051316484809E-13</v>
      </c>
      <c r="AJ161" s="13">
        <f>AI161*VLOOKUP('Données projet'!$B$10,Paramètres!$A$1:$I$89,3,0)*VLOOKUP('Données projet'!$B$10,Paramètres!$A$1:$I$89,5,0)</f>
        <v>1.9065282685915009E-13</v>
      </c>
      <c r="AK161" s="13">
        <f t="shared" si="164"/>
        <v>2.6568987209435707E-12</v>
      </c>
      <c r="AL161" s="20">
        <f t="shared" si="165"/>
        <v>4.959485612423072E-12</v>
      </c>
      <c r="AM161" s="59">
        <f t="shared" si="113"/>
        <v>288.25326131926511</v>
      </c>
      <c r="AN161" s="59">
        <f ca="1">AVERAGE(OFFSET($AM$3,0,0,'Données projet'!$E$10+1,1))-AVERAGE(OFFSET($H$3,0,0,'Données projet'!$E$10+1,1))</f>
        <v>363.98181065114898</v>
      </c>
      <c r="AO161" s="59">
        <f t="shared" si="144"/>
        <v>410.85213343666396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34.407168912057102</v>
      </c>
      <c r="AV161" s="21">
        <f>EXP(-LN(2)/25)*AV160+(1-EXP(-LN(2)/25))/(LN(2)/25)*Calculateur!AQ161*Calculateur!AS161*VLOOKUP('Données projet'!$B$10,Paramètres!$A$1:$I$89,3,0)*0.475*44/12</f>
        <v>8.7550404911376081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43.162209403194709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68.614525814343679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-9.9316821433603781E-14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433.6995276469014</v>
      </c>
      <c r="BJ161" s="59">
        <f t="shared" si="146"/>
        <v>306.37969720280557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31.924901022100496</v>
      </c>
      <c r="BQ161" s="21">
        <f>EXP(-LN(2)/25)*BQ160+(1-EXP(-LN(2)/25))/(LN(2)/25)*Calculateur!BL161*Calculateur!BN161*VLOOKUP('Données projet'!$B$11,Paramètres!$A$1:$I$89,3,0)*0.475*44/12</f>
        <v>8.3019852042458737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40.226886226346366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68.614525814343679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5.8</v>
      </c>
      <c r="BY161" s="12">
        <f>IF('Données projet'!$A$114&gt;35,BY160+BX161-CG160,IF(A161&lt;'Données projet'!$A$114,$BV$205^A161,IF(A161='Données projet'!$A$114,'Données projet'!$B$114,BY160+BX161-CG160)))</f>
        <v>316.40000000000015</v>
      </c>
      <c r="BZ161" s="13">
        <f>BY161*VLOOKUP('Données projet'!$B$12,Paramètres!$A$1:$I$89,3,0)*VLOOKUP('Données projet'!$B$12,Paramètres!$A$1:$I$89,5,0)</f>
        <v>306.02208000000013</v>
      </c>
      <c r="CA161" s="13">
        <f t="shared" si="170"/>
        <v>72.43745874605176</v>
      </c>
      <c r="CB161" s="20">
        <f t="shared" si="171"/>
        <v>659.15036331604028</v>
      </c>
      <c r="CC161" s="59">
        <f t="shared" si="119"/>
        <v>947.4036246353005</v>
      </c>
      <c r="CD161" s="59">
        <f ca="1">AVERAGE(OFFSET($CC$3,0,0,'Données projet'!$E$12+1,1))-AVERAGE(OFFSET($H$3,0,0,'Données projet'!$E$12+1,1))</f>
        <v>455.95436253828132</v>
      </c>
      <c r="CE161" s="59">
        <f t="shared" si="148"/>
        <v>64.829921296688497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48.354576723922719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48.354576723922719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68.614525814343679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5.6843418860808015E-14</v>
      </c>
      <c r="CU161" s="17">
        <f>CT161*VLOOKUP('Données projet'!$B$13,Paramètres!$A$1:$I$89,3,0)*VLOOKUP('Données projet'!$B$13,Paramètres!$A$1:$I$89,5,0)</f>
        <v>4.4337866711430253E-14</v>
      </c>
      <c r="CV161" s="13">
        <f t="shared" si="173"/>
        <v>7.3222115536967035E-13</v>
      </c>
      <c r="CW161" s="20">
        <f t="shared" si="174"/>
        <v>1.3525069634579169E-12</v>
      </c>
      <c r="CX161" s="59">
        <f t="shared" si="122"/>
        <v>288.25326131926153</v>
      </c>
      <c r="CY161" s="59">
        <f ca="1">AVERAGE(OFFSET($CX$3,0,0,'Données projet'!$E$13+1,1))-AVERAGE(OFFSET($H$3,0,0,'Données projet'!$E$13+1,1))</f>
        <v>306.44760579759713</v>
      </c>
      <c r="CZ161" s="59">
        <f t="shared" si="150"/>
        <v>300.30192123221718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15.1774775629383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15.1774775629383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68.614525814343679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68.614525814343679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68.614525814343679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68.614525814343679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68.614525814343679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4.4000000000000004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16.133333333333336</v>
      </c>
      <c r="H162" s="67">
        <f t="shared" si="110"/>
        <v>192.13333333333333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68.638560694008561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1.1368683772161603E-13</v>
      </c>
      <c r="O162" s="13">
        <f>N162*VLOOKUP('Données projet'!$B$9,Paramètres!$A$1:$I$89,3,0)*VLOOKUP('Données projet'!$B$9,Paramètres!$A$1:$I$89,5,0)</f>
        <v>6.7984728957526396E-14</v>
      </c>
      <c r="P162" s="13">
        <f t="shared" si="141"/>
        <v>1.0682447123141398E-12</v>
      </c>
      <c r="Q162" s="20">
        <f t="shared" si="162"/>
        <v>1.978932943548152E-12</v>
      </c>
      <c r="R162" s="59">
        <f t="shared" si="109"/>
        <v>288.34138921136673</v>
      </c>
      <c r="S162" s="59">
        <f ca="1">AVERAGE(OFFSET($R$3,0,0,'Données projet'!$E$9+1,1))-AVERAGE(OFFSET($H$3,0,0,'Données projet'!$E$9+1,1))</f>
        <v>299.45724561493057</v>
      </c>
      <c r="T162" s="59">
        <f t="shared" si="142"/>
        <v>297.63369027443196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16.791235722205396</v>
      </c>
      <c r="AA162" s="21">
        <f>EXP(-LN(2)/25)*AA161+(1-EXP(-LN(2)/25))/(LN(2)/25)*Calculateur!V162*Calculateur!X162*VLOOKUP('Données projet'!$B$9,Paramètres!$A$1:$I$89,3,0)*0.475*44/12</f>
        <v>4.6915666623596071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21.482802384565005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68.638560694008561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3.4106051316484809E-13</v>
      </c>
      <c r="AJ162" s="13">
        <f>AI162*VLOOKUP('Données projet'!$B$10,Paramètres!$A$1:$I$89,3,0)*VLOOKUP('Données projet'!$B$10,Paramètres!$A$1:$I$89,5,0)</f>
        <v>1.9065282685915009E-13</v>
      </c>
      <c r="AK162" s="13">
        <f t="shared" si="164"/>
        <v>2.6568987209435707E-12</v>
      </c>
      <c r="AL162" s="20">
        <f t="shared" si="165"/>
        <v>4.959485612423072E-12</v>
      </c>
      <c r="AM162" s="59">
        <f t="shared" si="113"/>
        <v>288.34138921136969</v>
      </c>
      <c r="AN162" s="59">
        <f ca="1">AVERAGE(OFFSET($AM$3,0,0,'Données projet'!$E$10+1,1))-AVERAGE(OFFSET($H$3,0,0,'Données projet'!$E$10+1,1))</f>
        <v>363.98181065114898</v>
      </c>
      <c r="AO162" s="59">
        <f t="shared" si="144"/>
        <v>410.85213343666396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33.732465315992471</v>
      </c>
      <c r="AV162" s="21">
        <f>EXP(-LN(2)/25)*AV161+(1-EXP(-LN(2)/25))/(LN(2)/25)*Calculateur!AQ162*Calculateur!AS162*VLOOKUP('Données projet'!$B$10,Paramètres!$A$1:$I$89,3,0)*0.475*44/12</f>
        <v>8.5156334484998801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42.248098764492354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68.638560694008561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-9.9316821433603781E-14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433.6995276469014</v>
      </c>
      <c r="BJ162" s="59">
        <f t="shared" si="146"/>
        <v>306.37969720280557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31.298873185324002</v>
      </c>
      <c r="BQ162" s="21">
        <f>EXP(-LN(2)/25)*BQ161+(1-EXP(-LN(2)/25))/(LN(2)/25)*Calculateur!BL162*Calculateur!BN162*VLOOKUP('Données projet'!$B$11,Paramètres!$A$1:$I$89,3,0)*0.475*44/12</f>
        <v>8.0749669822533434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39.373840167577342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68.638560694008561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5.8</v>
      </c>
      <c r="BY162" s="12">
        <f>IF('Données projet'!$A$114&gt;35,BY161+BX162-CG161,IF(A162&lt;'Données projet'!$A$114,$BV$205^A162,IF(A162='Données projet'!$A$114,'Données projet'!$B$114,BY161+BX162-CG161)))</f>
        <v>322.20000000000016</v>
      </c>
      <c r="BZ162" s="13">
        <f>BY162*VLOOKUP('Données projet'!$B$12,Paramètres!$A$1:$I$89,3,0)*VLOOKUP('Données projet'!$B$12,Paramètres!$A$1:$I$89,5,0)</f>
        <v>311.63184000000018</v>
      </c>
      <c r="CA162" s="13">
        <f t="shared" si="170"/>
        <v>73.609519109735146</v>
      </c>
      <c r="CB162" s="20">
        <f t="shared" si="171"/>
        <v>670.96203378278904</v>
      </c>
      <c r="CC162" s="59">
        <f t="shared" si="119"/>
        <v>959.30342299415383</v>
      </c>
      <c r="CD162" s="59">
        <f ca="1">AVERAGE(OFFSET($CC$3,0,0,'Données projet'!$E$12+1,1))-AVERAGE(OFFSET($H$3,0,0,'Données projet'!$E$12+1,1))</f>
        <v>455.95436253828132</v>
      </c>
      <c r="CE162" s="59">
        <f t="shared" si="148"/>
        <v>64.829921296688497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47.406372967746165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47.406372967746165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68.638560694008561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5.6843418860808015E-14</v>
      </c>
      <c r="CU162" s="17">
        <f>CT162*VLOOKUP('Données projet'!$B$13,Paramètres!$A$1:$I$89,3,0)*VLOOKUP('Données projet'!$B$13,Paramètres!$A$1:$I$89,5,0)</f>
        <v>4.4337866711430253E-14</v>
      </c>
      <c r="CV162" s="13">
        <f t="shared" si="173"/>
        <v>7.3222115536967035E-13</v>
      </c>
      <c r="CW162" s="20">
        <f t="shared" si="174"/>
        <v>1.3525069634579169E-12</v>
      </c>
      <c r="CX162" s="59">
        <f t="shared" si="122"/>
        <v>288.34138921136611</v>
      </c>
      <c r="CY162" s="59">
        <f ca="1">AVERAGE(OFFSET($CX$3,0,0,'Données projet'!$E$13+1,1))-AVERAGE(OFFSET($H$3,0,0,'Données projet'!$E$13+1,1))</f>
        <v>306.44760579759713</v>
      </c>
      <c r="CZ162" s="59">
        <f t="shared" si="150"/>
        <v>300.30192123221718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14.879856485276306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14.879856485276306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68.638560694008561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68.638560694008561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68.638560694008561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68.638560694008561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68.638560694008561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4.4000000000000004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16.133333333333336</v>
      </c>
      <c r="H163" s="67">
        <f t="shared" si="110"/>
        <v>192.13333333333333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68.662178622245207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1.1368683772161603E-13</v>
      </c>
      <c r="O163" s="13">
        <f>N163*VLOOKUP('Données projet'!$B$9,Paramètres!$A$1:$I$89,3,0)*VLOOKUP('Données projet'!$B$9,Paramètres!$A$1:$I$89,5,0)</f>
        <v>6.7984728957526396E-14</v>
      </c>
      <c r="P163" s="13">
        <f t="shared" si="141"/>
        <v>1.0682447123141398E-12</v>
      </c>
      <c r="Q163" s="20">
        <f t="shared" si="162"/>
        <v>1.978932943548152E-12</v>
      </c>
      <c r="R163" s="59">
        <f t="shared" si="109"/>
        <v>288.42798828156776</v>
      </c>
      <c r="S163" s="59">
        <f ca="1">AVERAGE(OFFSET($R$3,0,0,'Données projet'!$E$9+1,1))-AVERAGE(OFFSET($H$3,0,0,'Données projet'!$E$9+1,1))</f>
        <v>299.45724561493057</v>
      </c>
      <c r="T163" s="59">
        <f t="shared" si="142"/>
        <v>297.63369027443196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16.461969831335463</v>
      </c>
      <c r="AA163" s="21">
        <f>EXP(-LN(2)/25)*AA162+(1-EXP(-LN(2)/25))/(LN(2)/25)*Calculateur!V163*Calculateur!X163*VLOOKUP('Données projet'!$B$9,Paramètres!$A$1:$I$89,3,0)*0.475*44/12</f>
        <v>4.5632755252586152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21.025245356594077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68.662178622245207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3.4106051316484809E-13</v>
      </c>
      <c r="AJ163" s="13">
        <f>AI163*VLOOKUP('Données projet'!$B$10,Paramètres!$A$1:$I$89,3,0)*VLOOKUP('Données projet'!$B$10,Paramètres!$A$1:$I$89,5,0)</f>
        <v>1.9065282685915009E-13</v>
      </c>
      <c r="AK163" s="13">
        <f t="shared" si="164"/>
        <v>2.6568987209435707E-12</v>
      </c>
      <c r="AL163" s="20">
        <f t="shared" si="165"/>
        <v>4.959485612423072E-12</v>
      </c>
      <c r="AM163" s="59">
        <f t="shared" si="113"/>
        <v>288.42798828157072</v>
      </c>
      <c r="AN163" s="59">
        <f ca="1">AVERAGE(OFFSET($AM$3,0,0,'Données projet'!$E$10+1,1))-AVERAGE(OFFSET($H$3,0,0,'Données projet'!$E$10+1,1))</f>
        <v>363.98181065114898</v>
      </c>
      <c r="AO163" s="59">
        <f t="shared" si="144"/>
        <v>410.85213343666396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33.070992245918113</v>
      </c>
      <c r="AV163" s="21">
        <f>EXP(-LN(2)/25)*AV162+(1-EXP(-LN(2)/25))/(LN(2)/25)*Calculateur!AQ163*Calculateur!AS163*VLOOKUP('Données projet'!$B$10,Paramètres!$A$1:$I$89,3,0)*0.475*44/12</f>
        <v>8.2827730040329506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41.353765249951067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68.662178622245207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-9.9316821433603781E-14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433.6995276469014</v>
      </c>
      <c r="BJ163" s="59">
        <f t="shared" si="146"/>
        <v>306.37969720280557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30.685121372587417</v>
      </c>
      <c r="BQ163" s="21">
        <f>EXP(-LN(2)/25)*BQ162+(1-EXP(-LN(2)/25))/(LN(2)/25)*Calculateur!BL163*Calculateur!BN163*VLOOKUP('Données projet'!$B$11,Paramètres!$A$1:$I$89,3,0)*0.475*44/12</f>
        <v>7.8541565854795676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38.539277958066982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68.662178622245207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5.8</v>
      </c>
      <c r="BY163" s="12">
        <f>IF('Données projet'!$A$114&gt;35,BY162+BX163-CG162,IF(A163&lt;'Données projet'!$A$114,$BV$205^A163,IF(A163='Données projet'!$A$114,'Données projet'!$B$114,BY162+BX163-CG162)))</f>
        <v>328.00000000000017</v>
      </c>
      <c r="BZ163" s="13">
        <f>BY163*VLOOKUP('Données projet'!$B$12,Paramètres!$A$1:$I$89,3,0)*VLOOKUP('Données projet'!$B$12,Paramètres!$A$1:$I$89,5,0)</f>
        <v>317.24160000000018</v>
      </c>
      <c r="CA163" s="13">
        <f t="shared" si="170"/>
        <v>74.779126034245252</v>
      </c>
      <c r="CB163" s="20">
        <f t="shared" si="171"/>
        <v>682.76943117631072</v>
      </c>
      <c r="CC163" s="59">
        <f t="shared" si="119"/>
        <v>971.19741945787655</v>
      </c>
      <c r="CD163" s="59">
        <f ca="1">AVERAGE(OFFSET($CC$3,0,0,'Données projet'!$E$12+1,1))-AVERAGE(OFFSET($H$3,0,0,'Données projet'!$E$12+1,1))</f>
        <v>455.95436253828132</v>
      </c>
      <c r="CE163" s="59">
        <f t="shared" si="148"/>
        <v>64.829921296688497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46.476762908881049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46.476762908881049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68.662178622245207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5.6843418860808015E-14</v>
      </c>
      <c r="CU163" s="17">
        <f>CT163*VLOOKUP('Données projet'!$B$13,Paramètres!$A$1:$I$89,3,0)*VLOOKUP('Données projet'!$B$13,Paramètres!$A$1:$I$89,5,0)</f>
        <v>4.4337866711430253E-14</v>
      </c>
      <c r="CV163" s="13">
        <f t="shared" si="173"/>
        <v>7.3222115536967035E-13</v>
      </c>
      <c r="CW163" s="20">
        <f t="shared" si="174"/>
        <v>1.3525069634579169E-12</v>
      </c>
      <c r="CX163" s="59">
        <f t="shared" si="122"/>
        <v>288.42798828156714</v>
      </c>
      <c r="CY163" s="59">
        <f ca="1">AVERAGE(OFFSET($CX$3,0,0,'Données projet'!$E$13+1,1))-AVERAGE(OFFSET($H$3,0,0,'Données projet'!$E$13+1,1))</f>
        <v>306.44760579759713</v>
      </c>
      <c r="CZ163" s="59">
        <f t="shared" si="150"/>
        <v>300.30192123221718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14.588071575416331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14.588071575416331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68.662178622245207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68.662178622245207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68.662178622245207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68.662178622245207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68.662178622245207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4.4000000000000004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16.133333333333336</v>
      </c>
      <c r="H164" s="67">
        <f t="shared" si="110"/>
        <v>192.13333333333333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68.68538683222873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1.1368683772161603E-13</v>
      </c>
      <c r="O164" s="13">
        <f>N164*VLOOKUP('Données projet'!$B$9,Paramètres!$A$1:$I$89,3,0)*VLOOKUP('Données projet'!$B$9,Paramètres!$A$1:$I$89,5,0)</f>
        <v>6.7984728957526396E-14</v>
      </c>
      <c r="P164" s="13">
        <f t="shared" si="141"/>
        <v>1.0682447123141398E-12</v>
      </c>
      <c r="Q164" s="20">
        <f t="shared" si="162"/>
        <v>1.978932943548152E-12</v>
      </c>
      <c r="R164" s="59">
        <f t="shared" si="109"/>
        <v>288.51308505150735</v>
      </c>
      <c r="S164" s="59">
        <f ca="1">AVERAGE(OFFSET($R$3,0,0,'Données projet'!$E$9+1,1))-AVERAGE(OFFSET($H$3,0,0,'Données projet'!$E$9+1,1))</f>
        <v>299.45724561493057</v>
      </c>
      <c r="T164" s="59">
        <f t="shared" si="142"/>
        <v>297.63369027443196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16.139160643753122</v>
      </c>
      <c r="AA164" s="21">
        <f>EXP(-LN(2)/25)*AA163+(1-EXP(-LN(2)/25))/(LN(2)/25)*Calculateur!V164*Calculateur!X164*VLOOKUP('Données projet'!$B$9,Paramètres!$A$1:$I$89,3,0)*0.475*44/12</f>
        <v>4.4384925160481883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20.577653159801311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68.68538683222873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3.4106051316484809E-13</v>
      </c>
      <c r="AJ164" s="13">
        <f>AI164*VLOOKUP('Données projet'!$B$10,Paramètres!$A$1:$I$89,3,0)*VLOOKUP('Données projet'!$B$10,Paramètres!$A$1:$I$89,5,0)</f>
        <v>1.9065282685915009E-13</v>
      </c>
      <c r="AK164" s="13">
        <f t="shared" si="164"/>
        <v>2.6568987209435707E-12</v>
      </c>
      <c r="AL164" s="20">
        <f t="shared" si="165"/>
        <v>4.959485612423072E-12</v>
      </c>
      <c r="AM164" s="59">
        <f t="shared" si="113"/>
        <v>288.5130850515103</v>
      </c>
      <c r="AN164" s="59">
        <f ca="1">AVERAGE(OFFSET($AM$3,0,0,'Données projet'!$E$10+1,1))-AVERAGE(OFFSET($H$3,0,0,'Données projet'!$E$10+1,1))</f>
        <v>363.98181065114898</v>
      </c>
      <c r="AO164" s="59">
        <f t="shared" si="144"/>
        <v>410.85213343666396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32.422490259289177</v>
      </c>
      <c r="AV164" s="21">
        <f>EXP(-LN(2)/25)*AV163+(1-EXP(-LN(2)/25))/(LN(2)/25)*Calculateur!AQ164*Calculateur!AS164*VLOOKUP('Données projet'!$B$10,Paramètres!$A$1:$I$89,3,0)*0.475*44/12</f>
        <v>8.0562801406655673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40.47877039995474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68.68538683222873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-9.9316821433603781E-14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433.6995276469014</v>
      </c>
      <c r="BJ164" s="59">
        <f t="shared" si="146"/>
        <v>306.37969720280557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30.083404858546956</v>
      </c>
      <c r="BQ164" s="21">
        <f>EXP(-LN(2)/25)*BQ163+(1-EXP(-LN(2)/25))/(LN(2)/25)*Calculateur!BL164*Calculateur!BN164*VLOOKUP('Données projet'!$B$11,Paramètres!$A$1:$I$89,3,0)*0.475*44/12</f>
        <v>7.6393842606174847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37.722789119164439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68.68538683222873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5.8</v>
      </c>
      <c r="BY164" s="12">
        <f>IF('Données projet'!$A$114&gt;35,BY163+BX164-CG163,IF(A164&lt;'Données projet'!$A$114,$BV$205^A164,IF(A164='Données projet'!$A$114,'Données projet'!$B$114,BY163+BX164-CG163)))</f>
        <v>333.80000000000018</v>
      </c>
      <c r="BZ164" s="13">
        <f>BY164*VLOOKUP('Données projet'!$B$12,Paramètres!$A$1:$I$89,3,0)*VLOOKUP('Données projet'!$B$12,Paramètres!$A$1:$I$89,5,0)</f>
        <v>322.85136000000017</v>
      </c>
      <c r="CA164" s="13">
        <f t="shared" si="170"/>
        <v>75.946327908736038</v>
      </c>
      <c r="CB164" s="20">
        <f t="shared" si="171"/>
        <v>694.57263977438208</v>
      </c>
      <c r="CC164" s="59">
        <f t="shared" si="119"/>
        <v>983.08572482588738</v>
      </c>
      <c r="CD164" s="59">
        <f ca="1">AVERAGE(OFFSET($CC$3,0,0,'Données projet'!$E$12+1,1))-AVERAGE(OFFSET($H$3,0,0,'Données projet'!$E$12+1,1))</f>
        <v>455.95436253828132</v>
      </c>
      <c r="CE164" s="59">
        <f t="shared" si="148"/>
        <v>64.829921296688497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45.565381936264131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45.565381936264131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68.68538683222873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5.6843418860808015E-14</v>
      </c>
      <c r="CU164" s="17">
        <f>CT164*VLOOKUP('Données projet'!$B$13,Paramètres!$A$1:$I$89,3,0)*VLOOKUP('Données projet'!$B$13,Paramètres!$A$1:$I$89,5,0)</f>
        <v>4.4337866711430253E-14</v>
      </c>
      <c r="CV164" s="13">
        <f t="shared" si="173"/>
        <v>7.3222115536967035E-13</v>
      </c>
      <c r="CW164" s="20">
        <f t="shared" si="174"/>
        <v>1.3525069634579169E-12</v>
      </c>
      <c r="CX164" s="59">
        <f t="shared" si="122"/>
        <v>288.51308505150672</v>
      </c>
      <c r="CY164" s="59">
        <f ca="1">AVERAGE(OFFSET($CX$3,0,0,'Données projet'!$E$13+1,1))-AVERAGE(OFFSET($H$3,0,0,'Données projet'!$E$13+1,1))</f>
        <v>306.44760579759713</v>
      </c>
      <c r="CZ164" s="59">
        <f t="shared" si="150"/>
        <v>300.30192123221718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14.302008389667488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14.302008389667488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68.68538683222873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68.68538683222873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68.68538683222873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68.68538683222873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68.68538683222873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4.4000000000000004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16.133333333333336</v>
      </c>
      <c r="H165" s="67">
        <f t="shared" si="110"/>
        <v>192.13333333333333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68.708192431654808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1.1368683772161603E-13</v>
      </c>
      <c r="O165" s="13">
        <f>N165*VLOOKUP('Données projet'!$B$9,Paramètres!$A$1:$I$89,3,0)*VLOOKUP('Données projet'!$B$9,Paramètres!$A$1:$I$89,5,0)</f>
        <v>6.7984728957526396E-14</v>
      </c>
      <c r="P165" s="13">
        <f t="shared" si="141"/>
        <v>1.0682447123141398E-12</v>
      </c>
      <c r="Q165" s="20">
        <f t="shared" si="162"/>
        <v>1.978932943548152E-12</v>
      </c>
      <c r="R165" s="59">
        <f t="shared" si="109"/>
        <v>288.59670558273626</v>
      </c>
      <c r="S165" s="59">
        <f ca="1">AVERAGE(OFFSET($R$3,0,0,'Données projet'!$E$9+1,1))-AVERAGE(OFFSET($H$3,0,0,'Données projet'!$E$9+1,1))</f>
        <v>299.45724561493057</v>
      </c>
      <c r="T165" s="59">
        <f t="shared" si="142"/>
        <v>297.63369027443196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15.822681547445111</v>
      </c>
      <c r="AA165" s="21">
        <f>EXP(-LN(2)/25)*AA164+(1-EXP(-LN(2)/25))/(LN(2)/25)*Calculateur!V165*Calculateur!X165*VLOOKUP('Données projet'!$B$9,Paramètres!$A$1:$I$89,3,0)*0.475*44/12</f>
        <v>4.3171217047866737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20.139803252231786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68.708192431654808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3.4106051316484809E-13</v>
      </c>
      <c r="AJ165" s="13">
        <f>AI165*VLOOKUP('Données projet'!$B$10,Paramètres!$A$1:$I$89,3,0)*VLOOKUP('Données projet'!$B$10,Paramètres!$A$1:$I$89,5,0)</f>
        <v>1.9065282685915009E-13</v>
      </c>
      <c r="AK165" s="13">
        <f t="shared" si="164"/>
        <v>2.6568987209435707E-12</v>
      </c>
      <c r="AL165" s="20">
        <f t="shared" si="165"/>
        <v>4.959485612423072E-12</v>
      </c>
      <c r="AM165" s="59">
        <f t="shared" si="113"/>
        <v>288.59670558273922</v>
      </c>
      <c r="AN165" s="59">
        <f ca="1">AVERAGE(OFFSET($AM$3,0,0,'Données projet'!$E$10+1,1))-AVERAGE(OFFSET($H$3,0,0,'Données projet'!$E$10+1,1))</f>
        <v>363.98181065114898</v>
      </c>
      <c r="AO165" s="59">
        <f t="shared" si="144"/>
        <v>410.85213343666396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31.786705001070878</v>
      </c>
      <c r="AV165" s="21">
        <f>EXP(-LN(2)/25)*AV164+(1-EXP(-LN(2)/25))/(LN(2)/25)*Calculateur!AQ165*Calculateur!AS165*VLOOKUP('Données projet'!$B$10,Paramètres!$A$1:$I$89,3,0)*0.475*44/12</f>
        <v>7.8359807365577074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39.622685737628586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68.708192431654808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-9.9316821433603781E-14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433.6995276469014</v>
      </c>
      <c r="BJ165" s="59">
        <f t="shared" si="146"/>
        <v>306.37969720280557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29.493487638335996</v>
      </c>
      <c r="BQ165" s="21">
        <f>EXP(-LN(2)/25)*BQ164+(1-EXP(-LN(2)/25))/(LN(2)/25)*Calculateur!BL165*Calculateur!BN165*VLOOKUP('Données projet'!$B$11,Paramètres!$A$1:$I$89,3,0)*0.475*44/12</f>
        <v>7.4304848962731409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36.923972534609135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68.708192431654808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5.8</v>
      </c>
      <c r="BY165" s="12">
        <f>IF('Données projet'!$A$114&gt;35,BY164+BX165-CG164,IF(A165&lt;'Données projet'!$A$114,$BV$205^A165,IF(A165='Données projet'!$A$114,'Données projet'!$B$114,BY164+BX165-CG164)))</f>
        <v>339.60000000000019</v>
      </c>
      <c r="BZ165" s="13">
        <f>BY165*VLOOKUP('Données projet'!$B$12,Paramètres!$A$1:$I$89,3,0)*VLOOKUP('Données projet'!$B$12,Paramètres!$A$1:$I$89,5,0)</f>
        <v>328.46112000000016</v>
      </c>
      <c r="CA165" s="13">
        <f t="shared" si="170"/>
        <v>77.111171344435405</v>
      </c>
      <c r="CB165" s="20">
        <f t="shared" si="171"/>
        <v>706.37174075822531</v>
      </c>
      <c r="CC165" s="59">
        <f t="shared" si="119"/>
        <v>994.96844634095964</v>
      </c>
      <c r="CD165" s="59">
        <f ca="1">AVERAGE(OFFSET($CC$3,0,0,'Données projet'!$E$12+1,1))-AVERAGE(OFFSET($H$3,0,0,'Données projet'!$E$12+1,1))</f>
        <v>455.95436253828132</v>
      </c>
      <c r="CE165" s="59">
        <f t="shared" si="148"/>
        <v>64.829921296688497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44.671872588632731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44.671872588632731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68.708192431654808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5.6843418860808015E-14</v>
      </c>
      <c r="CU165" s="17">
        <f>CT165*VLOOKUP('Données projet'!$B$13,Paramètres!$A$1:$I$89,3,0)*VLOOKUP('Données projet'!$B$13,Paramètres!$A$1:$I$89,5,0)</f>
        <v>4.4337866711430253E-14</v>
      </c>
      <c r="CV165" s="13">
        <f t="shared" si="173"/>
        <v>7.3222115536967035E-13</v>
      </c>
      <c r="CW165" s="20">
        <f t="shared" si="174"/>
        <v>1.3525069634579169E-12</v>
      </c>
      <c r="CX165" s="59">
        <f t="shared" si="122"/>
        <v>288.59670558273564</v>
      </c>
      <c r="CY165" s="59">
        <f ca="1">AVERAGE(OFFSET($CX$3,0,0,'Données projet'!$E$13+1,1))-AVERAGE(OFFSET($H$3,0,0,'Données projet'!$E$13+1,1))</f>
        <v>306.44760579759713</v>
      </c>
      <c r="CZ165" s="59">
        <f t="shared" si="150"/>
        <v>300.30192123221718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14.021554728509866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14.021554728509866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68.708192431654808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68.708192431654808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68.708192431654808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68.708192431654808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68.708192431654808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4.4000000000000004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16.133333333333336</v>
      </c>
      <c r="H166" s="67">
        <f t="shared" si="110"/>
        <v>192.13333333333333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68.730602404916539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1.1368683772161603E-13</v>
      </c>
      <c r="O166" s="13">
        <f>N166*VLOOKUP('Données projet'!$B$9,Paramètres!$A$1:$I$89,3,0)*VLOOKUP('Données projet'!$B$9,Paramètres!$A$1:$I$89,5,0)</f>
        <v>6.7984728957526396E-14</v>
      </c>
      <c r="P166" s="13">
        <f t="shared" si="141"/>
        <v>1.0682447123141398E-12</v>
      </c>
      <c r="Q166" s="20">
        <f t="shared" si="162"/>
        <v>1.978932943548152E-12</v>
      </c>
      <c r="R166" s="59">
        <f t="shared" si="109"/>
        <v>288.67887548469594</v>
      </c>
      <c r="S166" s="59">
        <f ca="1">AVERAGE(OFFSET($R$3,0,0,'Données projet'!$E$9+1,1))-AVERAGE(OFFSET($H$3,0,0,'Données projet'!$E$9+1,1))</f>
        <v>299.45724561493057</v>
      </c>
      <c r="T166" s="59">
        <f t="shared" si="142"/>
        <v>297.63369027443196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15.512408413182511</v>
      </c>
      <c r="AA166" s="21">
        <f>EXP(-LN(2)/25)*AA165+(1-EXP(-LN(2)/25))/(LN(2)/25)*Calculateur!V166*Calculateur!X166*VLOOKUP('Données projet'!$B$9,Paramètres!$A$1:$I$89,3,0)*0.475*44/12</f>
        <v>4.1990697847417184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19.71147819792423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68.730602404916539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3.4106051316484809E-13</v>
      </c>
      <c r="AJ166" s="13">
        <f>AI166*VLOOKUP('Données projet'!$B$10,Paramètres!$A$1:$I$89,3,0)*VLOOKUP('Données projet'!$B$10,Paramètres!$A$1:$I$89,5,0)</f>
        <v>1.9065282685915009E-13</v>
      </c>
      <c r="AK166" s="13">
        <f t="shared" si="164"/>
        <v>2.6568987209435707E-12</v>
      </c>
      <c r="AL166" s="20">
        <f t="shared" si="165"/>
        <v>4.959485612423072E-12</v>
      </c>
      <c r="AM166" s="59">
        <f t="shared" si="113"/>
        <v>288.67887548469889</v>
      </c>
      <c r="AN166" s="59">
        <f ca="1">AVERAGE(OFFSET($AM$3,0,0,'Données projet'!$E$10+1,1))-AVERAGE(OFFSET($H$3,0,0,'Données projet'!$E$10+1,1))</f>
        <v>363.98181065114898</v>
      </c>
      <c r="AO166" s="59">
        <f t="shared" si="144"/>
        <v>410.85213343666396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31.163387103975523</v>
      </c>
      <c r="AV166" s="21">
        <f>EXP(-LN(2)/25)*AV165+(1-EXP(-LN(2)/25))/(LN(2)/25)*Calculateur!AQ166*Calculateur!AS166*VLOOKUP('Données projet'!$B$10,Paramètres!$A$1:$I$89,3,0)*0.475*44/12</f>
        <v>7.621705431240219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38.785092535215739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68.730602404916539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-9.9316821433603781E-14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433.6995276469014</v>
      </c>
      <c r="BJ166" s="59">
        <f t="shared" si="146"/>
        <v>306.37969720280557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28.915138334999394</v>
      </c>
      <c r="BQ166" s="21">
        <f>EXP(-LN(2)/25)*BQ165+(1-EXP(-LN(2)/25))/(LN(2)/25)*Calculateur!BL166*Calculateur!BN166*VLOOKUP('Données projet'!$B$11,Paramètres!$A$1:$I$89,3,0)*0.475*44/12</f>
        <v>7.2272978960323337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36.142436231031731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68.730602404916539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5.8</v>
      </c>
      <c r="BY166" s="12">
        <f>IF('Données projet'!$A$114&gt;35,BY165+BX166-CG165,IF(A166&lt;'Données projet'!$A$114,$BV$205^A166,IF(A166='Données projet'!$A$114,'Données projet'!$B$114,BY165+BX166-CG165)))</f>
        <v>345.4000000000002</v>
      </c>
      <c r="BZ166" s="13">
        <f>BY166*VLOOKUP('Données projet'!$B$12,Paramètres!$A$1:$I$89,3,0)*VLOOKUP('Données projet'!$B$12,Paramètres!$A$1:$I$89,5,0)</f>
        <v>334.07088000000022</v>
      </c>
      <c r="CA166" s="13">
        <f t="shared" si="170"/>
        <v>78.273701269199009</v>
      </c>
      <c r="CB166" s="20">
        <f t="shared" si="171"/>
        <v>718.16681237718865</v>
      </c>
      <c r="CC166" s="59">
        <f t="shared" si="119"/>
        <v>1006.8456878618827</v>
      </c>
      <c r="CD166" s="59">
        <f ca="1">AVERAGE(OFFSET($CC$3,0,0,'Données projet'!$E$12+1,1))-AVERAGE(OFFSET($H$3,0,0,'Données projet'!$E$12+1,1))</f>
        <v>455.95436253828132</v>
      </c>
      <c r="CE166" s="59">
        <f t="shared" si="148"/>
        <v>64.829921296688497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43.795884414321492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43.795884414321492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68.730602404916539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5.6843418860808015E-14</v>
      </c>
      <c r="CU166" s="17">
        <f>CT166*VLOOKUP('Données projet'!$B$13,Paramètres!$A$1:$I$89,3,0)*VLOOKUP('Données projet'!$B$13,Paramètres!$A$1:$I$89,5,0)</f>
        <v>4.4337866711430253E-14</v>
      </c>
      <c r="CV166" s="13">
        <f t="shared" si="173"/>
        <v>7.3222115536967035E-13</v>
      </c>
      <c r="CW166" s="20">
        <f t="shared" si="174"/>
        <v>1.3525069634579169E-12</v>
      </c>
      <c r="CX166" s="59">
        <f t="shared" si="122"/>
        <v>288.67887548469531</v>
      </c>
      <c r="CY166" s="59">
        <f ca="1">AVERAGE(OFFSET($CX$3,0,0,'Données projet'!$E$13+1,1))-AVERAGE(OFFSET($H$3,0,0,'Données projet'!$E$13+1,1))</f>
        <v>306.44760579759713</v>
      </c>
      <c r="CZ166" s="59">
        <f t="shared" si="150"/>
        <v>300.30192123221718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13.746600592587702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13.746600592587702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68.730602404916539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68.730602404916539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68.730602404916539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68.730602404916539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68.730602404916539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4.4000000000000004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16.133333333333336</v>
      </c>
      <c r="H167" s="67">
        <f t="shared" si="110"/>
        <v>192.13333333333333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68.752623615243365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1.1368683772161603E-13</v>
      </c>
      <c r="O167" s="13">
        <f>N167*VLOOKUP('Données projet'!$B$9,Paramètres!$A$1:$I$89,3,0)*VLOOKUP('Données projet'!$B$9,Paramètres!$A$1:$I$89,5,0)</f>
        <v>6.7984728957526396E-14</v>
      </c>
      <c r="P167" s="13">
        <f t="shared" si="141"/>
        <v>1.0682447123141398E-12</v>
      </c>
      <c r="Q167" s="20">
        <f t="shared" si="162"/>
        <v>1.978932943548152E-12</v>
      </c>
      <c r="R167" s="59">
        <f t="shared" si="109"/>
        <v>288.759619922561</v>
      </c>
      <c r="S167" s="59">
        <f ca="1">AVERAGE(OFFSET($R$3,0,0,'Données projet'!$E$9+1,1))-AVERAGE(OFFSET($H$3,0,0,'Données projet'!$E$9+1,1))</f>
        <v>299.45724561493057</v>
      </c>
      <c r="T167" s="59">
        <f t="shared" si="142"/>
        <v>297.63369027443196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15.208219545834876</v>
      </c>
      <c r="AA167" s="21">
        <f>EXP(-LN(2)/25)*AA166+(1-EXP(-LN(2)/25))/(LN(2)/25)*Calculateur!V167*Calculateur!X167*VLOOKUP('Données projet'!$B$9,Paramètres!$A$1:$I$89,3,0)*0.475*44/12</f>
        <v>4.0842460006584735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19.29246554649335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68.752623615243365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3.4106051316484809E-13</v>
      </c>
      <c r="AJ167" s="13">
        <f>AI167*VLOOKUP('Données projet'!$B$10,Paramètres!$A$1:$I$89,3,0)*VLOOKUP('Données projet'!$B$10,Paramètres!$A$1:$I$89,5,0)</f>
        <v>1.9065282685915009E-13</v>
      </c>
      <c r="AK167" s="13">
        <f t="shared" si="164"/>
        <v>2.6568987209435707E-12</v>
      </c>
      <c r="AL167" s="20">
        <f t="shared" si="165"/>
        <v>4.959485612423072E-12</v>
      </c>
      <c r="AM167" s="59">
        <f t="shared" si="113"/>
        <v>288.75961992256396</v>
      </c>
      <c r="AN167" s="59">
        <f ca="1">AVERAGE(OFFSET($AM$3,0,0,'Données projet'!$E$10+1,1))-AVERAGE(OFFSET($H$3,0,0,'Données projet'!$E$10+1,1))</f>
        <v>363.98181065114898</v>
      </c>
      <c r="AO167" s="59">
        <f t="shared" si="144"/>
        <v>410.85213343666396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30.552292090655833</v>
      </c>
      <c r="AV167" s="21">
        <f>EXP(-LN(2)/25)*AV166+(1-EXP(-LN(2)/25))/(LN(2)/25)*Calculateur!AQ167*Calculateur!AS167*VLOOKUP('Données projet'!$B$10,Paramètres!$A$1:$I$89,3,0)*0.475*44/12</f>
        <v>7.4132894954148867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37.965581586070719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68.752623615243365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-9.9316821433603781E-14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433.6995276469014</v>
      </c>
      <c r="BJ167" s="59">
        <f t="shared" si="146"/>
        <v>306.37969720280557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28.348130108742982</v>
      </c>
      <c r="BQ167" s="21">
        <f>EXP(-LN(2)/25)*BQ166+(1-EXP(-LN(2)/25))/(LN(2)/25)*Calculateur!BL167*Calculateur!BN167*VLOOKUP('Données projet'!$B$11,Paramètres!$A$1:$I$89,3,0)*0.475*44/12</f>
        <v>7.0296670549982512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35.377797163741235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68.752623615243365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5.8</v>
      </c>
      <c r="BY167" s="12">
        <f>IF('Données projet'!$A$114&gt;35,BY166+BX167-CG166,IF(A167&lt;'Données projet'!$A$114,$BV$205^A167,IF(A167='Données projet'!$A$114,'Données projet'!$B$114,BY166+BX167-CG166)))</f>
        <v>351.20000000000022</v>
      </c>
      <c r="BZ167" s="13">
        <f>BY167*VLOOKUP('Données projet'!$B$12,Paramètres!$A$1:$I$89,3,0)*VLOOKUP('Données projet'!$B$12,Paramètres!$A$1:$I$89,5,0)</f>
        <v>339.68064000000021</v>
      </c>
      <c r="CA167" s="13">
        <f t="shared" si="170"/>
        <v>79.433961015533228</v>
      </c>
      <c r="CB167" s="20">
        <f t="shared" si="171"/>
        <v>729.95793010205398</v>
      </c>
      <c r="CC167" s="59">
        <f t="shared" si="119"/>
        <v>1018.717550024613</v>
      </c>
      <c r="CD167" s="59">
        <f ca="1">AVERAGE(OFFSET($CC$3,0,0,'Données projet'!$E$12+1,1))-AVERAGE(OFFSET($H$3,0,0,'Données projet'!$E$12+1,1))</f>
        <v>455.95436253828132</v>
      </c>
      <c r="CE167" s="59">
        <f t="shared" si="148"/>
        <v>64.829921296688497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42.937073833808462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42.937073833808462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68.752623615243365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5.6843418860808015E-14</v>
      </c>
      <c r="CU167" s="17">
        <f>CT167*VLOOKUP('Données projet'!$B$13,Paramètres!$A$1:$I$89,3,0)*VLOOKUP('Données projet'!$B$13,Paramètres!$A$1:$I$89,5,0)</f>
        <v>4.4337866711430253E-14</v>
      </c>
      <c r="CV167" s="13">
        <f t="shared" si="173"/>
        <v>7.3222115536967035E-13</v>
      </c>
      <c r="CW167" s="20">
        <f t="shared" si="174"/>
        <v>1.3525069634579169E-12</v>
      </c>
      <c r="CX167" s="59">
        <f t="shared" si="122"/>
        <v>288.75961992256038</v>
      </c>
      <c r="CY167" s="59">
        <f ca="1">AVERAGE(OFFSET($CX$3,0,0,'Données projet'!$E$13+1,1))-AVERAGE(OFFSET($H$3,0,0,'Données projet'!$E$13+1,1))</f>
        <v>306.44760579759713</v>
      </c>
      <c r="CZ167" s="59">
        <f t="shared" si="150"/>
        <v>300.30192123221718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13.477038139565508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13.477038139565508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68.752623615243365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68.752623615243365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68.752623615243365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68.752623615243365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68.752623615243365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4.4000000000000004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16.133333333333336</v>
      </c>
      <c r="H168" s="67">
        <f t="shared" si="110"/>
        <v>192.13333333333333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68.77426280680308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1.1368683772161603E-13</v>
      </c>
      <c r="O168" s="13">
        <f>N168*VLOOKUP('Données projet'!$B$9,Paramètres!$A$1:$I$89,3,0)*VLOOKUP('Données projet'!$B$9,Paramètres!$A$1:$I$89,5,0)</f>
        <v>6.7984728957526396E-14</v>
      </c>
      <c r="P168" s="13">
        <f t="shared" si="141"/>
        <v>1.0682447123141398E-12</v>
      </c>
      <c r="Q168" s="20">
        <f t="shared" si="162"/>
        <v>1.978932943548152E-12</v>
      </c>
      <c r="R168" s="59">
        <f t="shared" si="109"/>
        <v>288.83896362494659</v>
      </c>
      <c r="S168" s="59">
        <f ca="1">AVERAGE(OFFSET($R$3,0,0,'Données projet'!$E$9+1,1))-AVERAGE(OFFSET($H$3,0,0,'Données projet'!$E$9+1,1))</f>
        <v>299.45724561493057</v>
      </c>
      <c r="T168" s="59">
        <f t="shared" si="142"/>
        <v>297.63369027443196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14.909995636639039</v>
      </c>
      <c r="AA168" s="21">
        <f>EXP(-LN(2)/25)*AA167+(1-EXP(-LN(2)/25))/(LN(2)/25)*Calculateur!V168*Calculateur!X168*VLOOKUP('Données projet'!$B$9,Paramètres!$A$1:$I$89,3,0)*0.475*44/12</f>
        <v>3.9725620789893052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18.882557715628344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68.77426280680308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3.4106051316484809E-13</v>
      </c>
      <c r="AJ168" s="13">
        <f>AI168*VLOOKUP('Données projet'!$B$10,Paramètres!$A$1:$I$89,3,0)*VLOOKUP('Données projet'!$B$10,Paramètres!$A$1:$I$89,5,0)</f>
        <v>1.9065282685915009E-13</v>
      </c>
      <c r="AK168" s="13">
        <f t="shared" si="164"/>
        <v>2.6568987209435707E-12</v>
      </c>
      <c r="AL168" s="20">
        <f t="shared" si="165"/>
        <v>4.959485612423072E-12</v>
      </c>
      <c r="AM168" s="59">
        <f t="shared" si="113"/>
        <v>288.83896362494954</v>
      </c>
      <c r="AN168" s="59">
        <f ca="1">AVERAGE(OFFSET($AM$3,0,0,'Données projet'!$E$10+1,1))-AVERAGE(OFFSET($H$3,0,0,'Données projet'!$E$10+1,1))</f>
        <v>363.98181065114898</v>
      </c>
      <c r="AO168" s="59">
        <f t="shared" si="144"/>
        <v>410.85213343666396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29.953180277816188</v>
      </c>
      <c r="AV168" s="21">
        <f>EXP(-LN(2)/25)*AV167+(1-EXP(-LN(2)/25))/(LN(2)/25)*Calculateur!AQ168*Calculateur!AS168*VLOOKUP('Données projet'!$B$10,Paramètres!$A$1:$I$89,3,0)*0.475*44/12</f>
        <v>7.2105727043148153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37.163752982131001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68.77426280680308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-9.9316821433603781E-14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433.6995276469014</v>
      </c>
      <c r="BJ168" s="59">
        <f t="shared" si="146"/>
        <v>306.37969720280557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27.792240567962587</v>
      </c>
      <c r="BQ168" s="21">
        <f>EXP(-LN(2)/25)*BQ167+(1-EXP(-LN(2)/25))/(LN(2)/25)*Calculateur!BL168*Calculateur!BN168*VLOOKUP('Données projet'!$B$11,Paramètres!$A$1:$I$89,3,0)*0.475*44/12</f>
        <v>6.8374404397052002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34.629681007667784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68.77426280680308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>
        <f>VLOOKUP(A168,'Données projet'!$A$113:$I$133,2,0)</f>
        <v>357</v>
      </c>
      <c r="BW168" s="12">
        <f>VLOOKUP(A168,'Données projet'!$A$113:$I$133,9,0)</f>
        <v>5.8</v>
      </c>
      <c r="BX168" s="12">
        <f t="array" ref="BX168">INDEX(BW:BW,MIN(IF(ISNUMBER(BW168:BW364),ROW(BW168:BW364),"")))</f>
        <v>5.8</v>
      </c>
      <c r="BY168" s="12">
        <f>IF('Données projet'!$A$114&gt;35,BY167+BX168-CG167,IF(A168&lt;'Données projet'!$A$114,$BV$205^A168,IF(A168='Données projet'!$A$114,'Données projet'!$B$114,BY167+BX168-CG167)))</f>
        <v>357.00000000000023</v>
      </c>
      <c r="BZ168" s="13">
        <f>BY168*VLOOKUP('Données projet'!$B$12,Paramètres!$A$1:$I$89,3,0)*VLOOKUP('Données projet'!$B$12,Paramètres!$A$1:$I$89,5,0)</f>
        <v>345.29040000000026</v>
      </c>
      <c r="CA168" s="13">
        <f t="shared" si="170"/>
        <v>80.591992402638766</v>
      </c>
      <c r="CB168" s="20">
        <f t="shared" si="171"/>
        <v>741.74516676792962</v>
      </c>
      <c r="CC168" s="59">
        <f t="shared" si="119"/>
        <v>1030.5841303928742</v>
      </c>
      <c r="CD168" s="59">
        <f ca="1">AVERAGE(OFFSET($CC$3,0,0,'Données projet'!$E$12+1,1))-AVERAGE(OFFSET($H$3,0,0,'Données projet'!$E$12+1,1))</f>
        <v>455.95436253828132</v>
      </c>
      <c r="CE168" s="59">
        <f t="shared" si="148"/>
        <v>64.829921296688497</v>
      </c>
      <c r="CF168" s="15">
        <f>IF(ISNA(VLOOKUP(A168,'Données projet'!$A$113:$I$133,3,0)),0,VLOOKUP(A168,'Données projet'!$A$113:$I$133,3,0))</f>
        <v>15</v>
      </c>
      <c r="CG168" s="15">
        <f>IF(ISNA(VLOOKUP(A168,'Données projet'!$A$113:$I$133,4,0)),0,VLOOKUP(A168,'Données projet'!$A$113:$I$133,4,0))</f>
        <v>39</v>
      </c>
      <c r="CH168" s="16">
        <f>IF(ISNA(VLOOKUP(A168,'Données projet'!$A$113:$I$133,5,0)),0%,VLOOKUP(A168,'Données projet'!$A$113:$I$133,5,0)*VLOOKUP('Données projet'!$B$12,Paramètres!$A$1:$I$89,7,0))</f>
        <v>0.25800000000000001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52.853504594766491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52.853504594766491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68.77426280680308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5.6843418860808015E-14</v>
      </c>
      <c r="CU168" s="17">
        <f>CT168*VLOOKUP('Données projet'!$B$13,Paramètres!$A$1:$I$89,3,0)*VLOOKUP('Données projet'!$B$13,Paramètres!$A$1:$I$89,5,0)</f>
        <v>4.4337866711430253E-14</v>
      </c>
      <c r="CV168" s="13">
        <f t="shared" si="173"/>
        <v>7.3222115536967035E-13</v>
      </c>
      <c r="CW168" s="20">
        <f t="shared" si="174"/>
        <v>1.3525069634579169E-12</v>
      </c>
      <c r="CX168" s="59">
        <f t="shared" si="122"/>
        <v>288.83896362494596</v>
      </c>
      <c r="CY168" s="59">
        <f ca="1">AVERAGE(OFFSET($CX$3,0,0,'Données projet'!$E$13+1,1))-AVERAGE(OFFSET($H$3,0,0,'Données projet'!$E$13+1,1))</f>
        <v>306.44760579759713</v>
      </c>
      <c r="CZ168" s="59">
        <f t="shared" si="150"/>
        <v>300.30192123221718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13.212761641830218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13.212761641830218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68.77426280680308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68.77426280680308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68.77426280680308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68.77426280680308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68.77426280680308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4.4000000000000004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16.133333333333336</v>
      </c>
      <c r="H169" s="67">
        <f t="shared" si="110"/>
        <v>192.13333333333333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68.795526606767211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1.1368683772161603E-13</v>
      </c>
      <c r="O169" s="13">
        <f>N169*VLOOKUP('Données projet'!$B$9,Paramètres!$A$1:$I$89,3,0)*VLOOKUP('Données projet'!$B$9,Paramètres!$A$1:$I$89,5,0)</f>
        <v>6.7984728957526396E-14</v>
      </c>
      <c r="P169" s="13">
        <f t="shared" si="141"/>
        <v>1.0682447123141398E-12</v>
      </c>
      <c r="Q169" s="20">
        <f t="shared" si="162"/>
        <v>1.978932943548152E-12</v>
      </c>
      <c r="R169" s="59">
        <f t="shared" si="109"/>
        <v>288.9169308914818</v>
      </c>
      <c r="S169" s="59">
        <f ca="1">AVERAGE(OFFSET($R$3,0,0,'Données projet'!$E$9+1,1))-AVERAGE(OFFSET($H$3,0,0,'Données projet'!$E$9+1,1))</f>
        <v>299.45724561493057</v>
      </c>
      <c r="T169" s="59">
        <f t="shared" si="142"/>
        <v>297.63369027443196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14.617619716403908</v>
      </c>
      <c r="AA169" s="21">
        <f>EXP(-LN(2)/25)*AA168+(1-EXP(-LN(2)/25))/(LN(2)/25)*Calculateur!V169*Calculateur!X169*VLOOKUP('Données projet'!$B$9,Paramètres!$A$1:$I$89,3,0)*0.475*44/12</f>
        <v>3.8639321600313825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18.48155187643529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68.795526606767211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3.4106051316484809E-13</v>
      </c>
      <c r="AJ169" s="13">
        <f>AI169*VLOOKUP('Données projet'!$B$10,Paramètres!$A$1:$I$89,3,0)*VLOOKUP('Données projet'!$B$10,Paramètres!$A$1:$I$89,5,0)</f>
        <v>1.9065282685915009E-13</v>
      </c>
      <c r="AK169" s="13">
        <f t="shared" si="164"/>
        <v>2.6568987209435707E-12</v>
      </c>
      <c r="AL169" s="20">
        <f t="shared" si="165"/>
        <v>4.959485612423072E-12</v>
      </c>
      <c r="AM169" s="59">
        <f t="shared" si="113"/>
        <v>288.91693089148475</v>
      </c>
      <c r="AN169" s="59">
        <f ca="1">AVERAGE(OFFSET($AM$3,0,0,'Données projet'!$E$10+1,1))-AVERAGE(OFFSET($H$3,0,0,'Données projet'!$E$10+1,1))</f>
        <v>363.98181065114898</v>
      </c>
      <c r="AO169" s="59">
        <f t="shared" si="144"/>
        <v>410.85213343666396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29.365816682204205</v>
      </c>
      <c r="AV169" s="21">
        <f>EXP(-LN(2)/25)*AV168+(1-EXP(-LN(2)/25))/(LN(2)/25)*Calculateur!AQ169*Calculateur!AS169*VLOOKUP('Données projet'!$B$10,Paramètres!$A$1:$I$89,3,0)*0.475*44/12</f>
        <v>7.0133992145277881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36.379215896731992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68.795526606767211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-9.9316821433603781E-14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433.6995276469014</v>
      </c>
      <c r="BJ169" s="59">
        <f t="shared" si="146"/>
        <v>306.37969720280557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27.247251682017755</v>
      </c>
      <c r="BQ169" s="21">
        <f>EXP(-LN(2)/25)*BQ168+(1-EXP(-LN(2)/25))/(LN(2)/25)*Calculateur!BL169*Calculateur!BN169*VLOOKUP('Données projet'!$B$11,Paramètres!$A$1:$I$89,3,0)*0.475*44/12</f>
        <v>6.6504702713160961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33.89772195333385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68.795526606767211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6</v>
      </c>
      <c r="BY169" s="12">
        <f>IF('Données projet'!$A$114&gt;35,BY168+BX169-CG168,IF(A169&lt;'Données projet'!$A$114,$BV$205^A169,IF(A169='Données projet'!$A$114,'Données projet'!$B$114,BY168+BX169-CG168)))</f>
        <v>324.00000000000023</v>
      </c>
      <c r="BZ169" s="13">
        <f>BY169*VLOOKUP('Données projet'!$B$12,Paramètres!$A$1:$I$89,3,0)*VLOOKUP('Données projet'!$B$12,Paramètres!$A$1:$I$89,5,0)</f>
        <v>313.37280000000021</v>
      </c>
      <c r="CA169" s="13">
        <f t="shared" si="170"/>
        <v>73.972760827003711</v>
      </c>
      <c r="CB169" s="20">
        <f t="shared" si="171"/>
        <v>674.62685177369838</v>
      </c>
      <c r="CC169" s="59">
        <f t="shared" si="119"/>
        <v>963.54378266517824</v>
      </c>
      <c r="CD169" s="59">
        <f ca="1">AVERAGE(OFFSET($CC$3,0,0,'Données projet'!$E$12+1,1))-AVERAGE(OFFSET($H$3,0,0,'Données projet'!$E$12+1,1))</f>
        <v>455.95436253828132</v>
      </c>
      <c r="CE169" s="59">
        <f t="shared" si="148"/>
        <v>64.829921296688497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51.817079607117741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51.817079607117741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68.795526606767211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5.6843418860808015E-14</v>
      </c>
      <c r="CU169" s="17">
        <f>CT169*VLOOKUP('Données projet'!$B$13,Paramètres!$A$1:$I$89,3,0)*VLOOKUP('Données projet'!$B$13,Paramètres!$A$1:$I$89,5,0)</f>
        <v>4.4337866711430253E-14</v>
      </c>
      <c r="CV169" s="13">
        <f t="shared" si="173"/>
        <v>7.3222115536967035E-13</v>
      </c>
      <c r="CW169" s="20">
        <f t="shared" si="174"/>
        <v>1.3525069634579169E-12</v>
      </c>
      <c r="CX169" s="59">
        <f t="shared" si="122"/>
        <v>288.91693089148117</v>
      </c>
      <c r="CY169" s="59">
        <f ca="1">AVERAGE(OFFSET($CX$3,0,0,'Données projet'!$E$13+1,1))-AVERAGE(OFFSET($H$3,0,0,'Données projet'!$E$13+1,1))</f>
        <v>306.44760579759713</v>
      </c>
      <c r="CZ169" s="59">
        <f t="shared" si="150"/>
        <v>300.30192123221718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12.95366744502277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12.95366744502277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68.795526606767211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68.795526606767211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68.795526606767211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68.795526606767211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68.795526606767211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4.4000000000000004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16.133333333333336</v>
      </c>
      <c r="H170" s="67">
        <f t="shared" si="110"/>
        <v>192.13333333333333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68.816421527340708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1.1368683772161603E-13</v>
      </c>
      <c r="O170" s="13">
        <f>N170*VLOOKUP('Données projet'!$B$9,Paramètres!$A$1:$I$89,3,0)*VLOOKUP('Données projet'!$B$9,Paramètres!$A$1:$I$89,5,0)</f>
        <v>6.7984728957526396E-14</v>
      </c>
      <c r="P170" s="13">
        <f t="shared" si="141"/>
        <v>1.0682447123141398E-12</v>
      </c>
      <c r="Q170" s="20">
        <f t="shared" si="162"/>
        <v>1.978932943548152E-12</v>
      </c>
      <c r="R170" s="59">
        <f t="shared" si="109"/>
        <v>288.99354560025125</v>
      </c>
      <c r="S170" s="59">
        <f ca="1">AVERAGE(OFFSET($R$3,0,0,'Données projet'!$E$9+1,1))-AVERAGE(OFFSET($H$3,0,0,'Données projet'!$E$9+1,1))</f>
        <v>299.45724561493057</v>
      </c>
      <c r="T170" s="59">
        <f t="shared" si="142"/>
        <v>297.63369027443196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14.330977109632885</v>
      </c>
      <c r="AA170" s="21">
        <f>EXP(-LN(2)/25)*AA169+(1-EXP(-LN(2)/25))/(LN(2)/25)*Calculateur!V170*Calculateur!X170*VLOOKUP('Données projet'!$B$9,Paramètres!$A$1:$I$89,3,0)*0.475*44/12</f>
        <v>3.7582727319199631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18.089249841552849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68.816421527340708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3.4106051316484809E-13</v>
      </c>
      <c r="AJ170" s="13">
        <f>AI170*VLOOKUP('Données projet'!$B$10,Paramètres!$A$1:$I$89,3,0)*VLOOKUP('Données projet'!$B$10,Paramètres!$A$1:$I$89,5,0)</f>
        <v>1.9065282685915009E-13</v>
      </c>
      <c r="AK170" s="13">
        <f t="shared" si="164"/>
        <v>2.6568987209435707E-12</v>
      </c>
      <c r="AL170" s="20">
        <f t="shared" si="165"/>
        <v>4.959485612423072E-12</v>
      </c>
      <c r="AM170" s="59">
        <f t="shared" si="113"/>
        <v>288.99354560025421</v>
      </c>
      <c r="AN170" s="59">
        <f ca="1">AVERAGE(OFFSET($AM$3,0,0,'Données projet'!$E$10+1,1))-AVERAGE(OFFSET($H$3,0,0,'Données projet'!$E$10+1,1))</f>
        <v>363.98181065114898</v>
      </c>
      <c r="AO170" s="59">
        <f t="shared" si="144"/>
        <v>410.85213343666396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28.789970928445754</v>
      </c>
      <c r="AV170" s="21">
        <f>EXP(-LN(2)/25)*AV169+(1-EXP(-LN(2)/25))/(LN(2)/25)*Calculateur!AQ170*Calculateur!AS170*VLOOKUP('Données projet'!$B$10,Paramètres!$A$1:$I$89,3,0)*0.475*44/12</f>
        <v>6.8216174441878907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35.611588372633648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68.816421527340708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-9.9316821433603781E-14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433.6995276469014</v>
      </c>
      <c r="BJ170" s="59">
        <f t="shared" si="146"/>
        <v>306.37969720280557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26.712949695715903</v>
      </c>
      <c r="BQ170" s="21">
        <f>EXP(-LN(2)/25)*BQ169+(1-EXP(-LN(2)/25))/(LN(2)/25)*Calculateur!BL170*Calculateur!BN170*VLOOKUP('Données projet'!$B$11,Paramètres!$A$1:$I$89,3,0)*0.475*44/12</f>
        <v>6.4686128120139257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33.181562507729829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68.816421527340708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6</v>
      </c>
      <c r="BY170" s="12">
        <f>IF('Données projet'!$A$114&gt;35,BY169+BX170-CG169,IF(A170&lt;'Données projet'!$A$114,$BV$205^A170,IF(A170='Données projet'!$A$114,'Données projet'!$B$114,BY169+BX170-CG169)))</f>
        <v>330.00000000000023</v>
      </c>
      <c r="BZ170" s="13">
        <f>BY170*VLOOKUP('Données projet'!$B$12,Paramètres!$A$1:$I$89,3,0)*VLOOKUP('Données projet'!$B$12,Paramètres!$A$1:$I$89,5,0)</f>
        <v>319.17600000000022</v>
      </c>
      <c r="CA170" s="13">
        <f t="shared" si="170"/>
        <v>75.181878718947743</v>
      </c>
      <c r="CB170" s="20">
        <f t="shared" si="171"/>
        <v>686.83997210216774</v>
      </c>
      <c r="CC170" s="59">
        <f t="shared" si="119"/>
        <v>975.833517702417</v>
      </c>
      <c r="CD170" s="59">
        <f ca="1">AVERAGE(OFFSET($CC$3,0,0,'Données projet'!$E$12+1,1))-AVERAGE(OFFSET($H$3,0,0,'Données projet'!$E$12+1,1))</f>
        <v>455.95436253828132</v>
      </c>
      <c r="CE170" s="59">
        <f t="shared" si="148"/>
        <v>64.829921296688497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50.800978281319956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50.800978281319956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68.816421527340708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5.6843418860808015E-14</v>
      </c>
      <c r="CU170" s="17">
        <f>CT170*VLOOKUP('Données projet'!$B$13,Paramètres!$A$1:$I$89,3,0)*VLOOKUP('Données projet'!$B$13,Paramètres!$A$1:$I$89,5,0)</f>
        <v>4.4337866711430253E-14</v>
      </c>
      <c r="CV170" s="13">
        <f t="shared" si="173"/>
        <v>7.3222115536967035E-13</v>
      </c>
      <c r="CW170" s="20">
        <f t="shared" si="174"/>
        <v>1.3525069634579169E-12</v>
      </c>
      <c r="CX170" s="59">
        <f t="shared" si="122"/>
        <v>288.99354560025063</v>
      </c>
      <c r="CY170" s="59">
        <f ca="1">AVERAGE(OFFSET($CX$3,0,0,'Données projet'!$E$13+1,1))-AVERAGE(OFFSET($H$3,0,0,'Données projet'!$E$13+1,1))</f>
        <v>306.44760579759713</v>
      </c>
      <c r="CZ170" s="59">
        <f t="shared" si="150"/>
        <v>300.30192123221718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12.69965392738286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12.69965392738286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68.816421527340708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68.816421527340708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68.816421527340708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68.816421527340708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68.816421527340708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4.4000000000000004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16.133333333333336</v>
      </c>
      <c r="H171" s="67">
        <f t="shared" si="110"/>
        <v>192.13333333333333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68.836953967756287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1.1368683772161603E-13</v>
      </c>
      <c r="O171" s="13">
        <f>N171*VLOOKUP('Données projet'!$B$9,Paramètres!$A$1:$I$89,3,0)*VLOOKUP('Données projet'!$B$9,Paramètres!$A$1:$I$89,5,0)</f>
        <v>6.7984728957526396E-14</v>
      </c>
      <c r="P171" s="13">
        <f t="shared" si="141"/>
        <v>1.0682447123141398E-12</v>
      </c>
      <c r="Q171" s="20">
        <f t="shared" si="162"/>
        <v>1.978932943548152E-12</v>
      </c>
      <c r="R171" s="59">
        <f t="shared" si="109"/>
        <v>289.06883121510839</v>
      </c>
      <c r="S171" s="59">
        <f ca="1">AVERAGE(OFFSET($R$3,0,0,'Données projet'!$E$9+1,1))-AVERAGE(OFFSET($H$3,0,0,'Données projet'!$E$9+1,1))</f>
        <v>299.45724561493057</v>
      </c>
      <c r="T171" s="59">
        <f t="shared" si="142"/>
        <v>297.63369027443196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14.049955389545916</v>
      </c>
      <c r="AA171" s="21">
        <f>EXP(-LN(2)/25)*AA170+(1-EXP(-LN(2)/25))/(LN(2)/25)*Calculateur!V171*Calculateur!X171*VLOOKUP('Données projet'!$B$9,Paramètres!$A$1:$I$89,3,0)*0.475*44/12</f>
        <v>3.6555025664266383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17.705457955972555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68.836953967756287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3.4106051316484809E-13</v>
      </c>
      <c r="AJ171" s="13">
        <f>AI171*VLOOKUP('Données projet'!$B$10,Paramètres!$A$1:$I$89,3,0)*VLOOKUP('Données projet'!$B$10,Paramètres!$A$1:$I$89,5,0)</f>
        <v>1.9065282685915009E-13</v>
      </c>
      <c r="AK171" s="13">
        <f t="shared" si="164"/>
        <v>2.6568987209435707E-12</v>
      </c>
      <c r="AL171" s="20">
        <f t="shared" si="165"/>
        <v>4.959485612423072E-12</v>
      </c>
      <c r="AM171" s="59">
        <f t="shared" si="113"/>
        <v>289.06883121511135</v>
      </c>
      <c r="AN171" s="59">
        <f ca="1">AVERAGE(OFFSET($AM$3,0,0,'Données projet'!$E$10+1,1))-AVERAGE(OFFSET($H$3,0,0,'Données projet'!$E$10+1,1))</f>
        <v>363.98181065114898</v>
      </c>
      <c r="AO171" s="59">
        <f t="shared" si="144"/>
        <v>410.85213343666396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28.225417158687279</v>
      </c>
      <c r="AV171" s="21">
        <f>EXP(-LN(2)/25)*AV170+(1-EXP(-LN(2)/25))/(LN(2)/25)*Calculateur!AQ171*Calculateur!AS171*VLOOKUP('Données projet'!$B$10,Paramètres!$A$1:$I$89,3,0)*0.475*44/12</f>
        <v>6.6350799564433025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34.860497115130585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68.836953967756287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-9.9316821433603781E-14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433.6995276469014</v>
      </c>
      <c r="BJ171" s="59">
        <f t="shared" si="146"/>
        <v>306.37969720280557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26.1891250454734</v>
      </c>
      <c r="BQ171" s="21">
        <f>EXP(-LN(2)/25)*BQ170+(1-EXP(-LN(2)/25))/(LN(2)/25)*Calculateur!BL171*Calculateur!BN171*VLOOKUP('Données projet'!$B$11,Paramètres!$A$1:$I$89,3,0)*0.475*44/12</f>
        <v>6.2917282544998416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32.480853299973241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68.836953967756287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6</v>
      </c>
      <c r="BY171" s="12">
        <f>IF('Données projet'!$A$114&gt;35,BY170+BX171-CG170,IF(A171&lt;'Données projet'!$A$114,$BV$205^A171,IF(A171='Données projet'!$A$114,'Données projet'!$B$114,BY170+BX171-CG170)))</f>
        <v>336.00000000000023</v>
      </c>
      <c r="BZ171" s="13">
        <f>BY171*VLOOKUP('Données projet'!$B$12,Paramètres!$A$1:$I$89,3,0)*VLOOKUP('Données projet'!$B$12,Paramètres!$A$1:$I$89,5,0)</f>
        <v>324.97920000000022</v>
      </c>
      <c r="CA171" s="13">
        <f t="shared" si="170"/>
        <v>76.388440234761745</v>
      </c>
      <c r="CB171" s="20">
        <f t="shared" si="171"/>
        <v>699.04864007554363</v>
      </c>
      <c r="CC171" s="59">
        <f t="shared" si="119"/>
        <v>988.11747129064997</v>
      </c>
      <c r="CD171" s="59">
        <f ca="1">AVERAGE(OFFSET($CC$3,0,0,'Données projet'!$E$12+1,1))-AVERAGE(OFFSET($H$3,0,0,'Données projet'!$E$12+1,1))</f>
        <v>455.95436253828132</v>
      </c>
      <c r="CE171" s="59">
        <f t="shared" si="148"/>
        <v>64.829921296688497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49.804802082760453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49.804802082760453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68.836953967756287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5.6843418860808015E-14</v>
      </c>
      <c r="CU171" s="17">
        <f>CT171*VLOOKUP('Données projet'!$B$13,Paramètres!$A$1:$I$89,3,0)*VLOOKUP('Données projet'!$B$13,Paramètres!$A$1:$I$89,5,0)</f>
        <v>4.4337866711430253E-14</v>
      </c>
      <c r="CV171" s="13">
        <f t="shared" si="173"/>
        <v>7.3222115536967035E-13</v>
      </c>
      <c r="CW171" s="20">
        <f t="shared" si="174"/>
        <v>1.3525069634579169E-12</v>
      </c>
      <c r="CX171" s="59">
        <f t="shared" si="122"/>
        <v>289.06883121510776</v>
      </c>
      <c r="CY171" s="59">
        <f ca="1">AVERAGE(OFFSET($CX$3,0,0,'Données projet'!$E$13+1,1))-AVERAGE(OFFSET($H$3,0,0,'Données projet'!$E$13+1,1))</f>
        <v>306.44760579759713</v>
      </c>
      <c r="CZ171" s="59">
        <f t="shared" si="150"/>
        <v>300.30192123221718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12.450621459890922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12.450621459890922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68.836953967756287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68.836953967756287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68.836953967756287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68.836953967756287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68.836953967756287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4.4000000000000004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16.133333333333336</v>
      </c>
      <c r="H172" s="67">
        <f t="shared" si="110"/>
        <v>192.13333333333333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68.857130216234339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1.1368683772161603E-13</v>
      </c>
      <c r="O172" s="13">
        <f>N172*VLOOKUP('Données projet'!$B$9,Paramètres!$A$1:$I$89,3,0)*VLOOKUP('Données projet'!$B$9,Paramètres!$A$1:$I$89,5,0)</f>
        <v>6.7984728957526396E-14</v>
      </c>
      <c r="P172" s="13">
        <f t="shared" si="141"/>
        <v>1.0682447123141398E-12</v>
      </c>
      <c r="Q172" s="20">
        <f t="shared" si="162"/>
        <v>1.978932943548152E-12</v>
      </c>
      <c r="R172" s="59">
        <f t="shared" si="109"/>
        <v>289.14281079286127</v>
      </c>
      <c r="S172" s="59">
        <f ca="1">AVERAGE(OFFSET($R$3,0,0,'Données projet'!$E$9+1,1))-AVERAGE(OFFSET($H$3,0,0,'Données projet'!$E$9+1,1))</f>
        <v>299.45724561493057</v>
      </c>
      <c r="T172" s="59">
        <f t="shared" si="142"/>
        <v>297.63369027443196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13.774444333983528</v>
      </c>
      <c r="AA172" s="21">
        <f>EXP(-LN(2)/25)*AA171+(1-EXP(-LN(2)/25))/(LN(2)/25)*Calculateur!V172*Calculateur!X172*VLOOKUP('Données projet'!$B$9,Paramètres!$A$1:$I$89,3,0)*0.475*44/12</f>
        <v>3.5555426565131767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17.329986990496703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68.857130216234339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3.4106051316484809E-13</v>
      </c>
      <c r="AJ172" s="13">
        <f>AI172*VLOOKUP('Données projet'!$B$10,Paramètres!$A$1:$I$89,3,0)*VLOOKUP('Données projet'!$B$10,Paramètres!$A$1:$I$89,5,0)</f>
        <v>1.9065282685915009E-13</v>
      </c>
      <c r="AK172" s="13">
        <f t="shared" si="164"/>
        <v>2.6568987209435707E-12</v>
      </c>
      <c r="AL172" s="20">
        <f t="shared" si="165"/>
        <v>4.959485612423072E-12</v>
      </c>
      <c r="AM172" s="59">
        <f t="shared" si="113"/>
        <v>289.14281079286422</v>
      </c>
      <c r="AN172" s="59">
        <f ca="1">AVERAGE(OFFSET($AM$3,0,0,'Données projet'!$E$10+1,1))-AVERAGE(OFFSET($H$3,0,0,'Données projet'!$E$10+1,1))</f>
        <v>363.98181065114898</v>
      </c>
      <c r="AO172" s="59">
        <f t="shared" si="144"/>
        <v>410.85213343666396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27.671933944009968</v>
      </c>
      <c r="AV172" s="21">
        <f>EXP(-LN(2)/25)*AV171+(1-EXP(-LN(2)/25))/(LN(2)/25)*Calculateur!AQ172*Calculateur!AS172*VLOOKUP('Données projet'!$B$10,Paramètres!$A$1:$I$89,3,0)*0.475*44/12</f>
        <v>6.4536433461106704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34.125577290120638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68.857130216234339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-9.9316821433603781E-14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433.6995276469014</v>
      </c>
      <c r="BJ172" s="59">
        <f t="shared" si="146"/>
        <v>306.37969720280557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25.675572277120665</v>
      </c>
      <c r="BQ172" s="21">
        <f>EXP(-LN(2)/25)*BQ171+(1-EXP(-LN(2)/25))/(LN(2)/25)*Calculateur!BL172*Calculateur!BN172*VLOOKUP('Données projet'!$B$11,Paramètres!$A$1:$I$89,3,0)*0.475*44/12</f>
        <v>6.1196806145129345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31.795252891633599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68.857130216234339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6</v>
      </c>
      <c r="BY172" s="12">
        <f>IF('Données projet'!$A$114&gt;35,BY171+BX172-CG171,IF(A172&lt;'Données projet'!$A$114,$BV$205^A172,IF(A172='Données projet'!$A$114,'Données projet'!$B$114,BY171+BX172-CG171)))</f>
        <v>342.00000000000023</v>
      </c>
      <c r="BZ172" s="13">
        <f>BY172*VLOOKUP('Données projet'!$B$12,Paramètres!$A$1:$I$89,3,0)*VLOOKUP('Données projet'!$B$12,Paramètres!$A$1:$I$89,5,0)</f>
        <v>330.78240000000022</v>
      </c>
      <c r="CA172" s="13">
        <f t="shared" si="170"/>
        <v>77.59249629015703</v>
      </c>
      <c r="CB172" s="20">
        <f t="shared" si="171"/>
        <v>711.25294437202399</v>
      </c>
      <c r="CC172" s="59">
        <f t="shared" si="119"/>
        <v>1000.3957551648832</v>
      </c>
      <c r="CD172" s="59">
        <f ca="1">AVERAGE(OFFSET($CC$3,0,0,'Données projet'!$E$12+1,1))-AVERAGE(OFFSET($H$3,0,0,'Données projet'!$E$12+1,1))</f>
        <v>455.95436253828132</v>
      </c>
      <c r="CE172" s="59">
        <f t="shared" si="148"/>
        <v>64.829921296688497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48.828160291847219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48.828160291847219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68.857130216234339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5.6843418860808015E-14</v>
      </c>
      <c r="CU172" s="17">
        <f>CT172*VLOOKUP('Données projet'!$B$13,Paramètres!$A$1:$I$89,3,0)*VLOOKUP('Données projet'!$B$13,Paramètres!$A$1:$I$89,5,0)</f>
        <v>4.4337866711430253E-14</v>
      </c>
      <c r="CV172" s="13">
        <f t="shared" si="173"/>
        <v>7.3222115536967035E-13</v>
      </c>
      <c r="CW172" s="20">
        <f t="shared" si="174"/>
        <v>1.3525069634579169E-12</v>
      </c>
      <c r="CX172" s="59">
        <f t="shared" si="122"/>
        <v>289.14281079286064</v>
      </c>
      <c r="CY172" s="59">
        <f ca="1">AVERAGE(OFFSET($CX$3,0,0,'Données projet'!$E$13+1,1))-AVERAGE(OFFSET($H$3,0,0,'Données projet'!$E$13+1,1))</f>
        <v>306.44760579759713</v>
      </c>
      <c r="CZ172" s="59">
        <f t="shared" si="150"/>
        <v>300.30192123221718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12.206472367191694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12.206472367191694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68.857130216234339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68.857130216234339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68.857130216234339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68.857130216234339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68.857130216234339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4.4000000000000004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16.133333333333336</v>
      </c>
      <c r="H173" s="67">
        <f t="shared" si="110"/>
        <v>192.13333333333333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68.876956451908612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1.1368683772161603E-13</v>
      </c>
      <c r="O173" s="13">
        <f>N173*VLOOKUP('Données projet'!$B$9,Paramètres!$A$1:$I$89,3,0)*VLOOKUP('Données projet'!$B$9,Paramètres!$A$1:$I$89,5,0)</f>
        <v>6.7984728957526396E-14</v>
      </c>
      <c r="P173" s="13">
        <f t="shared" si="141"/>
        <v>1.0682447123141398E-12</v>
      </c>
      <c r="Q173" s="20">
        <f t="shared" si="162"/>
        <v>1.978932943548152E-12</v>
      </c>
      <c r="R173" s="59">
        <f t="shared" si="109"/>
        <v>289.21550699033355</v>
      </c>
      <c r="S173" s="59">
        <f ca="1">AVERAGE(OFFSET($R$3,0,0,'Données projet'!$E$9+1,1))-AVERAGE(OFFSET($H$3,0,0,'Données projet'!$E$9+1,1))</f>
        <v>299.45724561493057</v>
      </c>
      <c r="T173" s="59">
        <f t="shared" si="142"/>
        <v>297.63369027443196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13.504335882175567</v>
      </c>
      <c r="AA173" s="21">
        <f>EXP(-LN(2)/25)*AA172+(1-EXP(-LN(2)/25))/(LN(2)/25)*Calculateur!V173*Calculateur!X173*VLOOKUP('Données projet'!$B$9,Paramètres!$A$1:$I$89,3,0)*0.475*44/12</f>
        <v>3.458316155592962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16.962652037768528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68.876956451908612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3.4106051316484809E-13</v>
      </c>
      <c r="AJ173" s="13">
        <f>AI173*VLOOKUP('Données projet'!$B$10,Paramètres!$A$1:$I$89,3,0)*VLOOKUP('Données projet'!$B$10,Paramètres!$A$1:$I$89,5,0)</f>
        <v>1.9065282685915009E-13</v>
      </c>
      <c r="AK173" s="13">
        <f t="shared" si="164"/>
        <v>2.6568987209435707E-12</v>
      </c>
      <c r="AL173" s="20">
        <f t="shared" si="165"/>
        <v>4.959485612423072E-12</v>
      </c>
      <c r="AM173" s="59">
        <f t="shared" si="113"/>
        <v>289.21550699033651</v>
      </c>
      <c r="AN173" s="59">
        <f ca="1">AVERAGE(OFFSET($AM$3,0,0,'Données projet'!$E$10+1,1))-AVERAGE(OFFSET($H$3,0,0,'Données projet'!$E$10+1,1))</f>
        <v>363.98181065114898</v>
      </c>
      <c r="AO173" s="59">
        <f t="shared" si="144"/>
        <v>410.85213343666396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27.129304197581053</v>
      </c>
      <c r="AV173" s="21">
        <f>EXP(-LN(2)/25)*AV172+(1-EXP(-LN(2)/25))/(LN(2)/25)*Calculateur!AQ173*Calculateur!AS173*VLOOKUP('Données projet'!$B$10,Paramètres!$A$1:$I$89,3,0)*0.475*44/12</f>
        <v>6.2771681294289206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33.406472327009972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68.876956451908612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-9.9316821433603781E-14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433.6995276469014</v>
      </c>
      <c r="BJ173" s="59">
        <f t="shared" si="146"/>
        <v>306.37969720280557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25.172089965319067</v>
      </c>
      <c r="BQ173" s="21">
        <f>EXP(-LN(2)/25)*BQ172+(1-EXP(-LN(2)/25))/(LN(2)/25)*Calculateur!BL173*Calculateur!BN173*VLOOKUP('Données projet'!$B$11,Paramètres!$A$1:$I$89,3,0)*0.475*44/12</f>
        <v>5.9523376262890615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31.124427591608129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68.876956451908612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6</v>
      </c>
      <c r="BY173" s="12">
        <f>IF('Données projet'!$A$114&gt;35,BY172+BX173-CG172,IF(A173&lt;'Données projet'!$A$114,$BV$205^A173,IF(A173='Données projet'!$A$114,'Données projet'!$B$114,BY172+BX173-CG172)))</f>
        <v>348.00000000000023</v>
      </c>
      <c r="BZ173" s="13">
        <f>BY173*VLOOKUP('Données projet'!$B$12,Paramètres!$A$1:$I$89,3,0)*VLOOKUP('Données projet'!$B$12,Paramètres!$A$1:$I$89,5,0)</f>
        <v>336.58560000000023</v>
      </c>
      <c r="CA173" s="13">
        <f t="shared" si="170"/>
        <v>78.79409591199267</v>
      </c>
      <c r="CB173" s="20">
        <f t="shared" si="171"/>
        <v>723.45297038005435</v>
      </c>
      <c r="CC173" s="59">
        <f t="shared" si="119"/>
        <v>1012.668477370386</v>
      </c>
      <c r="CD173" s="59">
        <f ca="1">AVERAGE(OFFSET($CC$3,0,0,'Données projet'!$E$12+1,1))-AVERAGE(OFFSET($H$3,0,0,'Données projet'!$E$12+1,1))</f>
        <v>455.95436253828132</v>
      </c>
      <c r="CE173" s="59">
        <f t="shared" si="148"/>
        <v>64.829921296688497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47.870669850761118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47.870669850761118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68.876956451908612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5.6843418860808015E-14</v>
      </c>
      <c r="CU173" s="17">
        <f>CT173*VLOOKUP('Données projet'!$B$13,Paramètres!$A$1:$I$89,3,0)*VLOOKUP('Données projet'!$B$13,Paramètres!$A$1:$I$89,5,0)</f>
        <v>4.4337866711430253E-14</v>
      </c>
      <c r="CV173" s="13">
        <f t="shared" si="173"/>
        <v>7.3222115536967035E-13</v>
      </c>
      <c r="CW173" s="20">
        <f t="shared" si="174"/>
        <v>1.3525069634579169E-12</v>
      </c>
      <c r="CX173" s="59">
        <f t="shared" si="122"/>
        <v>289.21550699033293</v>
      </c>
      <c r="CY173" s="59">
        <f ca="1">AVERAGE(OFFSET($CX$3,0,0,'Données projet'!$E$13+1,1))-AVERAGE(OFFSET($H$3,0,0,'Données projet'!$E$13+1,1))</f>
        <v>306.44760579759713</v>
      </c>
      <c r="CZ173" s="59">
        <f t="shared" si="150"/>
        <v>300.30192123221718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11.967110889284054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11.967110889284054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68.876956451908612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68.876956451908612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68.876956451908612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68.876956451908612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68.876956451908612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4.4000000000000004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16.133333333333336</v>
      </c>
      <c r="H174" s="67">
        <f t="shared" si="110"/>
        <v>192.13333333333333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68.896438746718758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1.1368683772161603E-13</v>
      </c>
      <c r="O174" s="13">
        <f>N174*VLOOKUP('Données projet'!$B$9,Paramètres!$A$1:$I$89,3,0)*VLOOKUP('Données projet'!$B$9,Paramètres!$A$1:$I$89,5,0)</f>
        <v>6.7984728957526396E-14</v>
      </c>
      <c r="P174" s="13">
        <f t="shared" si="141"/>
        <v>1.0682447123141398E-12</v>
      </c>
      <c r="Q174" s="20">
        <f t="shared" si="162"/>
        <v>1.978932943548152E-12</v>
      </c>
      <c r="R174" s="59">
        <f t="shared" si="109"/>
        <v>289.28694207130411</v>
      </c>
      <c r="S174" s="59">
        <f ca="1">AVERAGE(OFFSET($R$3,0,0,'Données projet'!$E$9+1,1))-AVERAGE(OFFSET($H$3,0,0,'Données projet'!$E$9+1,1))</f>
        <v>299.45724561493057</v>
      </c>
      <c r="T174" s="59">
        <f t="shared" si="142"/>
        <v>297.63369027443196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13.239524092357673</v>
      </c>
      <c r="AA174" s="21">
        <f>EXP(-LN(2)/25)*AA173+(1-EXP(-LN(2)/25))/(LN(2)/25)*Calculateur!V174*Calculateur!X174*VLOOKUP('Données projet'!$B$9,Paramètres!$A$1:$I$89,3,0)*0.475*44/12</f>
        <v>3.3637483184533301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16.603272410811002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68.896438746718758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3.4106051316484809E-13</v>
      </c>
      <c r="AJ174" s="13">
        <f>AI174*VLOOKUP('Données projet'!$B$10,Paramètres!$A$1:$I$89,3,0)*VLOOKUP('Données projet'!$B$10,Paramètres!$A$1:$I$89,5,0)</f>
        <v>1.9065282685915009E-13</v>
      </c>
      <c r="AK174" s="13">
        <f t="shared" si="164"/>
        <v>2.6568987209435707E-12</v>
      </c>
      <c r="AL174" s="20">
        <f t="shared" si="165"/>
        <v>4.959485612423072E-12</v>
      </c>
      <c r="AM174" s="59">
        <f t="shared" si="113"/>
        <v>289.28694207130707</v>
      </c>
      <c r="AN174" s="59">
        <f ca="1">AVERAGE(OFFSET($AM$3,0,0,'Données projet'!$E$10+1,1))-AVERAGE(OFFSET($H$3,0,0,'Données projet'!$E$10+1,1))</f>
        <v>363.98181065114898</v>
      </c>
      <c r="AO174" s="59">
        <f t="shared" si="144"/>
        <v>410.85213343666396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26.597315089508143</v>
      </c>
      <c r="AV174" s="21">
        <f>EXP(-LN(2)/25)*AV173+(1-EXP(-LN(2)/25))/(LN(2)/25)*Calculateur!AQ174*Calculateur!AS174*VLOOKUP('Données projet'!$B$10,Paramètres!$A$1:$I$89,3,0)*0.475*44/12</f>
        <v>6.1055186368277612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32.702833726335903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68.896438746718758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-9.9316821433603781E-14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433.6995276469014</v>
      </c>
      <c r="BJ174" s="59">
        <f t="shared" si="146"/>
        <v>306.37969720280557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24.67848063455801</v>
      </c>
      <c r="BQ174" s="21">
        <f>EXP(-LN(2)/25)*BQ173+(1-EXP(-LN(2)/25))/(LN(2)/25)*Calculateur!BL174*Calculateur!BN174*VLOOKUP('Données projet'!$B$11,Paramètres!$A$1:$I$89,3,0)*0.475*44/12</f>
        <v>5.7895706408783552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30.468051275436366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68.896438746718758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6</v>
      </c>
      <c r="BY174" s="12">
        <f>IF('Données projet'!$A$114&gt;35,BY173+BX174-CG173,IF(A174&lt;'Données projet'!$A$114,$BV$205^A174,IF(A174='Données projet'!$A$114,'Données projet'!$B$114,BY173+BX174-CG173)))</f>
        <v>354.00000000000023</v>
      </c>
      <c r="BZ174" s="13">
        <f>BY174*VLOOKUP('Données projet'!$B$12,Paramètres!$A$1:$I$89,3,0)*VLOOKUP('Données projet'!$B$12,Paramètres!$A$1:$I$89,5,0)</f>
        <v>342.38880000000023</v>
      </c>
      <c r="CA174" s="13">
        <f t="shared" si="170"/>
        <v>79.993286339683536</v>
      </c>
      <c r="CB174" s="20">
        <f t="shared" si="171"/>
        <v>735.64880037494925</v>
      </c>
      <c r="CC174" s="59">
        <f t="shared" si="119"/>
        <v>1024.9357424462514</v>
      </c>
      <c r="CD174" s="59">
        <f ca="1">AVERAGE(OFFSET($CC$3,0,0,'Données projet'!$E$12+1,1))-AVERAGE(OFFSET($H$3,0,0,'Données projet'!$E$12+1,1))</f>
        <v>455.95436253828132</v>
      </c>
      <c r="CE174" s="59">
        <f t="shared" si="148"/>
        <v>64.829921296688497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46.931955213213215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46.931955213213215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68.896438746718758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5.6843418860808015E-14</v>
      </c>
      <c r="CU174" s="17">
        <f>CT174*VLOOKUP('Données projet'!$B$13,Paramètres!$A$1:$I$89,3,0)*VLOOKUP('Données projet'!$B$13,Paramètres!$A$1:$I$89,5,0)</f>
        <v>4.4337866711430253E-14</v>
      </c>
      <c r="CV174" s="13">
        <f t="shared" si="173"/>
        <v>7.3222115536967035E-13</v>
      </c>
      <c r="CW174" s="20">
        <f t="shared" si="174"/>
        <v>1.3525069634579169E-12</v>
      </c>
      <c r="CX174" s="59">
        <f t="shared" si="122"/>
        <v>289.28694207130349</v>
      </c>
      <c r="CY174" s="59">
        <f ca="1">AVERAGE(OFFSET($CX$3,0,0,'Données projet'!$E$13+1,1))-AVERAGE(OFFSET($H$3,0,0,'Données projet'!$E$13+1,1))</f>
        <v>306.44760579759713</v>
      </c>
      <c r="CZ174" s="59">
        <f t="shared" si="150"/>
        <v>300.30192123221718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11.732443143962099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11.732443143962099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68.896438746718758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68.896438746718758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68.896438746718758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68.896438746718758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68.896438746718758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4.4000000000000004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16.133333333333336</v>
      </c>
      <c r="H175" s="67">
        <f t="shared" si="110"/>
        <v>192.13333333333333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68.915583067269836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1.1368683772161603E-13</v>
      </c>
      <c r="O175" s="13">
        <f>N175*VLOOKUP('Données projet'!$B$9,Paramètres!$A$1:$I$89,3,0)*VLOOKUP('Données projet'!$B$9,Paramètres!$A$1:$I$89,5,0)</f>
        <v>6.7984728957526396E-14</v>
      </c>
      <c r="P175" s="13">
        <f t="shared" si="141"/>
        <v>1.0682447123141398E-12</v>
      </c>
      <c r="Q175" s="20">
        <f t="shared" si="162"/>
        <v>1.978932943548152E-12</v>
      </c>
      <c r="R175" s="59">
        <f t="shared" si="109"/>
        <v>289.35713791332472</v>
      </c>
      <c r="S175" s="59">
        <f ca="1">AVERAGE(OFFSET($R$3,0,0,'Données projet'!$E$9+1,1))-AVERAGE(OFFSET($H$3,0,0,'Données projet'!$E$9+1,1))</f>
        <v>299.45724561493057</v>
      </c>
      <c r="T175" s="59">
        <f t="shared" si="142"/>
        <v>297.63369027443196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12.979905100218865</v>
      </c>
      <c r="AA175" s="21">
        <f>EXP(-LN(2)/25)*AA174+(1-EXP(-LN(2)/25))/(LN(2)/25)*Calculateur!V175*Calculateur!X175*VLOOKUP('Données projet'!$B$9,Paramètres!$A$1:$I$89,3,0)*0.475*44/12</f>
        <v>3.2717664437933878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16.251671544012254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68.915583067269836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3.4106051316484809E-13</v>
      </c>
      <c r="AJ175" s="13">
        <f>AI175*VLOOKUP('Données projet'!$B$10,Paramètres!$A$1:$I$89,3,0)*VLOOKUP('Données projet'!$B$10,Paramètres!$A$1:$I$89,5,0)</f>
        <v>1.9065282685915009E-13</v>
      </c>
      <c r="AK175" s="13">
        <f t="shared" si="164"/>
        <v>2.6568987209435707E-12</v>
      </c>
      <c r="AL175" s="20">
        <f t="shared" si="165"/>
        <v>4.959485612423072E-12</v>
      </c>
      <c r="AM175" s="59">
        <f t="shared" si="113"/>
        <v>289.35713791332768</v>
      </c>
      <c r="AN175" s="59">
        <f ca="1">AVERAGE(OFFSET($AM$3,0,0,'Données projet'!$E$10+1,1))-AVERAGE(OFFSET($H$3,0,0,'Données projet'!$E$10+1,1))</f>
        <v>363.98181065114898</v>
      </c>
      <c r="AO175" s="59">
        <f t="shared" si="144"/>
        <v>410.85213343666396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26.075757963363227</v>
      </c>
      <c r="AV175" s="21">
        <f>EXP(-LN(2)/25)*AV174+(1-EXP(-LN(2)/25))/(LN(2)/25)*Calculateur!AQ175*Calculateur!AS175*VLOOKUP('Données projet'!$B$10,Paramètres!$A$1:$I$89,3,0)*0.475*44/12</f>
        <v>5.9385629086284357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32.014320871991664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68.915583067269836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-9.9316821433603781E-14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433.6995276469014</v>
      </c>
      <c r="BJ175" s="59">
        <f t="shared" si="146"/>
        <v>306.37969720280557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24.194550681701216</v>
      </c>
      <c r="BQ175" s="21">
        <f>EXP(-LN(2)/25)*BQ174+(1-EXP(-LN(2)/25))/(LN(2)/25)*Calculateur!BL175*Calculateur!BN175*VLOOKUP('Données projet'!$B$11,Paramètres!$A$1:$I$89,3,0)*0.475*44/12</f>
        <v>5.6312545272432484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29.825805208944466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68.915583067269836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6</v>
      </c>
      <c r="BY175" s="12">
        <f>IF('Données projet'!$A$114&gt;35,BY174+BX175-CG174,IF(A175&lt;'Données projet'!$A$114,$BV$205^A175,IF(A175='Données projet'!$A$114,'Données projet'!$B$114,BY174+BX175-CG174)))</f>
        <v>360.00000000000023</v>
      </c>
      <c r="BZ175" s="13">
        <f>BY175*VLOOKUP('Données projet'!$B$12,Paramètres!$A$1:$I$89,3,0)*VLOOKUP('Données projet'!$B$12,Paramètres!$A$1:$I$89,5,0)</f>
        <v>348.19200000000023</v>
      </c>
      <c r="CA175" s="13">
        <f t="shared" si="170"/>
        <v>81.190113119538722</v>
      </c>
      <c r="CB175" s="20">
        <f t="shared" si="171"/>
        <v>747.84051368319706</v>
      </c>
      <c r="CC175" s="59">
        <f t="shared" si="119"/>
        <v>1037.1976515965198</v>
      </c>
      <c r="CD175" s="59">
        <f ca="1">AVERAGE(OFFSET($CC$3,0,0,'Données projet'!$E$12+1,1))-AVERAGE(OFFSET($H$3,0,0,'Données projet'!$E$12+1,1))</f>
        <v>455.95436253828132</v>
      </c>
      <c r="CE175" s="59">
        <f t="shared" si="148"/>
        <v>64.829921296688497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46.011648197148233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46.011648197148233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68.915583067269836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5.6843418860808015E-14</v>
      </c>
      <c r="CU175" s="17">
        <f>CT175*VLOOKUP('Données projet'!$B$13,Paramètres!$A$1:$I$89,3,0)*VLOOKUP('Données projet'!$B$13,Paramètres!$A$1:$I$89,5,0)</f>
        <v>4.4337866711430253E-14</v>
      </c>
      <c r="CV175" s="13">
        <f t="shared" si="173"/>
        <v>7.3222115536967035E-13</v>
      </c>
      <c r="CW175" s="20">
        <f t="shared" si="174"/>
        <v>1.3525069634579169E-12</v>
      </c>
      <c r="CX175" s="59">
        <f t="shared" si="122"/>
        <v>289.3571379133241</v>
      </c>
      <c r="CY175" s="59">
        <f ca="1">AVERAGE(OFFSET($CX$3,0,0,'Données projet'!$E$13+1,1))-AVERAGE(OFFSET($H$3,0,0,'Données projet'!$E$13+1,1))</f>
        <v>306.44760579759713</v>
      </c>
      <c r="CZ175" s="59">
        <f t="shared" si="150"/>
        <v>300.30192123221718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11.502377089992715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11.502377089992715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68.915583067269836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68.915583067269836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68.915583067269836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68.915583067269836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68.915583067269836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4.4000000000000004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16.133333333333336</v>
      </c>
      <c r="H176" s="67">
        <f t="shared" si="110"/>
        <v>192.13333333333333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68.934395276659643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1.1368683772161603E-13</v>
      </c>
      <c r="O176" s="13">
        <f>N176*VLOOKUP('Données projet'!$B$9,Paramètres!$A$1:$I$89,3,0)*VLOOKUP('Données projet'!$B$9,Paramètres!$A$1:$I$89,5,0)</f>
        <v>6.7984728957526396E-14</v>
      </c>
      <c r="P176" s="13">
        <f t="shared" si="141"/>
        <v>1.0682447123141398E-12</v>
      </c>
      <c r="Q176" s="20">
        <f t="shared" si="162"/>
        <v>1.978932943548152E-12</v>
      </c>
      <c r="R176" s="59">
        <f t="shared" si="109"/>
        <v>289.4261160144207</v>
      </c>
      <c r="S176" s="59">
        <f ca="1">AVERAGE(OFFSET($R$3,0,0,'Données projet'!$E$9+1,1))-AVERAGE(OFFSET($H$3,0,0,'Données projet'!$E$9+1,1))</f>
        <v>299.45724561493057</v>
      </c>
      <c r="T176" s="59">
        <f t="shared" si="142"/>
        <v>297.63369027443196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12.72537707816395</v>
      </c>
      <c r="AA176" s="21">
        <f>EXP(-LN(2)/25)*AA175+(1-EXP(-LN(2)/25))/(LN(2)/25)*Calculateur!V176*Calculateur!X176*VLOOKUP('Données projet'!$B$9,Paramètres!$A$1:$I$89,3,0)*0.475*44/12</f>
        <v>3.1822998183331381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15.907676896497088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68.934395276659643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3.4106051316484809E-13</v>
      </c>
      <c r="AJ176" s="13">
        <f>AI176*VLOOKUP('Données projet'!$B$10,Paramètres!$A$1:$I$89,3,0)*VLOOKUP('Données projet'!$B$10,Paramètres!$A$1:$I$89,5,0)</f>
        <v>1.9065282685915009E-13</v>
      </c>
      <c r="AK176" s="13">
        <f t="shared" si="164"/>
        <v>2.6568987209435707E-12</v>
      </c>
      <c r="AL176" s="20">
        <f t="shared" si="165"/>
        <v>4.959485612423072E-12</v>
      </c>
      <c r="AM176" s="59">
        <f t="shared" si="113"/>
        <v>289.42611601442366</v>
      </c>
      <c r="AN176" s="59">
        <f ca="1">AVERAGE(OFFSET($AM$3,0,0,'Données projet'!$E$10+1,1))-AVERAGE(OFFSET($H$3,0,0,'Données projet'!$E$10+1,1))</f>
        <v>363.98181065114898</v>
      </c>
      <c r="AO176" s="59">
        <f t="shared" si="144"/>
        <v>410.85213343666396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25.564428254343579</v>
      </c>
      <c r="AV176" s="21">
        <f>EXP(-LN(2)/25)*AV175+(1-EXP(-LN(2)/25))/(LN(2)/25)*Calculateur!AQ176*Calculateur!AS176*VLOOKUP('Données projet'!$B$10,Paramètres!$A$1:$I$89,3,0)*0.475*44/12</f>
        <v>5.7761725935965407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31.34060084794012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68.934395276659643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-9.9316821433603781E-14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433.6995276469014</v>
      </c>
      <c r="BJ176" s="59">
        <f t="shared" si="146"/>
        <v>306.37969720280557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23.720110300051818</v>
      </c>
      <c r="BQ176" s="21">
        <f>EXP(-LN(2)/25)*BQ175+(1-EXP(-LN(2)/25))/(LN(2)/25)*Calculateur!BL176*Calculateur!BN176*VLOOKUP('Données projet'!$B$11,Paramètres!$A$1:$I$89,3,0)*0.475*44/12</f>
        <v>5.4772675760609761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29.197377876112796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68.934395276659643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6</v>
      </c>
      <c r="BY176" s="12">
        <f>IF('Données projet'!$A$114&gt;35,BY175+BX176-CG175,IF(A176&lt;'Données projet'!$A$114,$BV$205^A176,IF(A176='Données projet'!$A$114,'Données projet'!$B$114,BY175+BX176-CG175)))</f>
        <v>366.00000000000023</v>
      </c>
      <c r="BZ176" s="13">
        <f>BY176*VLOOKUP('Données projet'!$B$12,Paramètres!$A$1:$I$89,3,0)*VLOOKUP('Données projet'!$B$12,Paramètres!$A$1:$I$89,5,0)</f>
        <v>353.99520000000024</v>
      </c>
      <c r="CA176" s="13">
        <f t="shared" si="170"/>
        <v>82.384620192632312</v>
      </c>
      <c r="CB176" s="20">
        <f t="shared" si="171"/>
        <v>760.02818683550174</v>
      </c>
      <c r="CC176" s="59">
        <f t="shared" si="119"/>
        <v>1049.4543028499204</v>
      </c>
      <c r="CD176" s="59">
        <f ca="1">AVERAGE(OFFSET($CC$3,0,0,'Données projet'!$E$12+1,1))-AVERAGE(OFFSET($H$3,0,0,'Données projet'!$E$12+1,1))</f>
        <v>455.95436253828132</v>
      </c>
      <c r="CE176" s="59">
        <f t="shared" si="148"/>
        <v>64.829921296688497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45.109387840336431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45.109387840336431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68.934395276659643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5.6843418860808015E-14</v>
      </c>
      <c r="CU176" s="17">
        <f>CT176*VLOOKUP('Données projet'!$B$13,Paramètres!$A$1:$I$89,3,0)*VLOOKUP('Données projet'!$B$13,Paramètres!$A$1:$I$89,5,0)</f>
        <v>4.4337866711430253E-14</v>
      </c>
      <c r="CV176" s="13">
        <f t="shared" si="173"/>
        <v>7.3222115536967035E-13</v>
      </c>
      <c r="CW176" s="20">
        <f t="shared" si="174"/>
        <v>1.3525069634579169E-12</v>
      </c>
      <c r="CX176" s="59">
        <f t="shared" si="122"/>
        <v>289.42611601442007</v>
      </c>
      <c r="CY176" s="59">
        <f ca="1">AVERAGE(OFFSET($CX$3,0,0,'Données projet'!$E$13+1,1))-AVERAGE(OFFSET($H$3,0,0,'Données projet'!$E$13+1,1))</f>
        <v>306.44760579759713</v>
      </c>
      <c r="CZ176" s="59">
        <f t="shared" si="150"/>
        <v>300.30192123221718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11.276822491015235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11.276822491015235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68.934395276659643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68.934395276659643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68.934395276659643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68.934395276659643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68.934395276659643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4.4000000000000004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16.133333333333336</v>
      </c>
      <c r="H177" s="67">
        <f t="shared" si="110"/>
        <v>192.13333333333333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68.952881136274343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1.1368683772161603E-13</v>
      </c>
      <c r="O177" s="13">
        <f>N177*VLOOKUP('Données projet'!$B$9,Paramètres!$A$1:$I$89,3,0)*VLOOKUP('Données projet'!$B$9,Paramètres!$A$1:$I$89,5,0)</f>
        <v>6.7984728957526396E-14</v>
      </c>
      <c r="P177" s="13">
        <f t="shared" si="141"/>
        <v>1.0682447123141398E-12</v>
      </c>
      <c r="Q177" s="20">
        <f t="shared" si="162"/>
        <v>1.978932943548152E-12</v>
      </c>
      <c r="R177" s="59">
        <f t="shared" si="109"/>
        <v>289.49389749967457</v>
      </c>
      <c r="S177" s="59">
        <f ca="1">AVERAGE(OFFSET($R$3,0,0,'Données projet'!$E$9+1,1))-AVERAGE(OFFSET($H$3,0,0,'Données projet'!$E$9+1,1))</f>
        <v>299.45724561493057</v>
      </c>
      <c r="T177" s="59">
        <f t="shared" si="142"/>
        <v>297.63369027443196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12.475840195374767</v>
      </c>
      <c r="AA177" s="21">
        <f>EXP(-LN(2)/25)*AA176+(1-EXP(-LN(2)/25))/(LN(2)/25)*Calculateur!V177*Calculateur!X177*VLOOKUP('Données projet'!$B$9,Paramètres!$A$1:$I$89,3,0)*0.475*44/12</f>
        <v>3.0952796624509444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15.57111985782571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68.952881136274343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3.4106051316484809E-13</v>
      </c>
      <c r="AJ177" s="13">
        <f>AI177*VLOOKUP('Données projet'!$B$10,Paramètres!$A$1:$I$89,3,0)*VLOOKUP('Données projet'!$B$10,Paramètres!$A$1:$I$89,5,0)</f>
        <v>1.9065282685915009E-13</v>
      </c>
      <c r="AK177" s="13">
        <f t="shared" si="164"/>
        <v>2.6568987209435707E-12</v>
      </c>
      <c r="AL177" s="20">
        <f t="shared" si="165"/>
        <v>4.959485612423072E-12</v>
      </c>
      <c r="AM177" s="59">
        <f t="shared" si="113"/>
        <v>289.49389749967753</v>
      </c>
      <c r="AN177" s="59">
        <f ca="1">AVERAGE(OFFSET($AM$3,0,0,'Données projet'!$E$10+1,1))-AVERAGE(OFFSET($H$3,0,0,'Données projet'!$E$10+1,1))</f>
        <v>363.98181065114898</v>
      </c>
      <c r="AO177" s="59">
        <f t="shared" si="144"/>
        <v>410.85213343666396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25.063125409037479</v>
      </c>
      <c r="AV177" s="21">
        <f>EXP(-LN(2)/25)*AV176+(1-EXP(-LN(2)/25))/(LN(2)/25)*Calculateur!AQ177*Calculateur!AS177*VLOOKUP('Données projet'!$B$10,Paramètres!$A$1:$I$89,3,0)*0.475*44/12</f>
        <v>5.6182228502689284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30.681348259306407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68.952881136274343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-9.9316821433603781E-14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433.6995276469014</v>
      </c>
      <c r="BJ177" s="59">
        <f t="shared" si="146"/>
        <v>306.37969720280557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23.254973404906504</v>
      </c>
      <c r="BQ177" s="21">
        <f>EXP(-LN(2)/25)*BQ176+(1-EXP(-LN(2)/25))/(LN(2)/25)*Calculateur!BL177*Calculateur!BN177*VLOOKUP('Données projet'!$B$11,Paramètres!$A$1:$I$89,3,0)*0.475*44/12</f>
        <v>5.3274914061566054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28.582464811063112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68.952881136274343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6</v>
      </c>
      <c r="BY177" s="12">
        <f>IF('Données projet'!$A$114&gt;35,BY176+BX177-CG176,IF(A177&lt;'Données projet'!$A$114,$BV$205^A177,IF(A177='Données projet'!$A$114,'Données projet'!$B$114,BY176+BX177-CG176)))</f>
        <v>372.00000000000023</v>
      </c>
      <c r="BZ177" s="13">
        <f>BY177*VLOOKUP('Données projet'!$B$12,Paramètres!$A$1:$I$89,3,0)*VLOOKUP('Données projet'!$B$12,Paramètres!$A$1:$I$89,5,0)</f>
        <v>359.79840000000019</v>
      </c>
      <c r="CA177" s="13">
        <f t="shared" si="170"/>
        <v>83.57684997674896</v>
      </c>
      <c r="CB177" s="20">
        <f t="shared" si="171"/>
        <v>772.21189370950481</v>
      </c>
      <c r="CC177" s="59">
        <f t="shared" si="119"/>
        <v>1061.7057912091773</v>
      </c>
      <c r="CD177" s="59">
        <f ca="1">AVERAGE(OFFSET($CC$3,0,0,'Données projet'!$E$12+1,1))-AVERAGE(OFFSET($H$3,0,0,'Données projet'!$E$12+1,1))</f>
        <v>455.95436253828132</v>
      </c>
      <c r="CE177" s="59">
        <f t="shared" si="148"/>
        <v>64.829921296688497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44.224820258797237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44.224820258797237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68.952881136274343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5.6843418860808015E-14</v>
      </c>
      <c r="CU177" s="17">
        <f>CT177*VLOOKUP('Données projet'!$B$13,Paramètres!$A$1:$I$89,3,0)*VLOOKUP('Données projet'!$B$13,Paramètres!$A$1:$I$89,5,0)</f>
        <v>4.4337866711430253E-14</v>
      </c>
      <c r="CV177" s="13">
        <f t="shared" si="173"/>
        <v>7.3222115536967035E-13</v>
      </c>
      <c r="CW177" s="20">
        <f t="shared" si="174"/>
        <v>1.3525069634579169E-12</v>
      </c>
      <c r="CX177" s="59">
        <f t="shared" si="122"/>
        <v>289.49389749967395</v>
      </c>
      <c r="CY177" s="59">
        <f ca="1">AVERAGE(OFFSET($CX$3,0,0,'Données projet'!$E$13+1,1))-AVERAGE(OFFSET($H$3,0,0,'Données projet'!$E$13+1,1))</f>
        <v>306.44760579759713</v>
      </c>
      <c r="CZ177" s="59">
        <f t="shared" si="150"/>
        <v>300.30192123221718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11.055690880148981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11.055690880148981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68.952881136274343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68.952881136274343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68.952881136274343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68.952881136274343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68.952881136274343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4.4000000000000004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16.133333333333336</v>
      </c>
      <c r="H178" s="67">
        <f t="shared" si="110"/>
        <v>192.13333333333333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68.971046307552896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1.1368683772161603E-13</v>
      </c>
      <c r="O178" s="13">
        <f>N178*VLOOKUP('Données projet'!$B$9,Paramètres!$A$1:$I$89,3,0)*VLOOKUP('Données projet'!$B$9,Paramètres!$A$1:$I$89,5,0)</f>
        <v>6.7984728957526396E-14</v>
      </c>
      <c r="P178" s="13">
        <f t="shared" si="141"/>
        <v>1.0682447123141398E-12</v>
      </c>
      <c r="Q178" s="20">
        <f t="shared" si="162"/>
        <v>1.978932943548152E-12</v>
      </c>
      <c r="R178" s="59">
        <f t="shared" si="109"/>
        <v>289.56050312769594</v>
      </c>
      <c r="S178" s="59">
        <f ca="1">AVERAGE(OFFSET($R$3,0,0,'Données projet'!$E$9+1,1))-AVERAGE(OFFSET($H$3,0,0,'Données projet'!$E$9+1,1))</f>
        <v>299.45724561493057</v>
      </c>
      <c r="T178" s="59">
        <f t="shared" si="142"/>
        <v>297.63369027443196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12.231196578654609</v>
      </c>
      <c r="AA178" s="21">
        <f>EXP(-LN(2)/25)*AA177+(1-EXP(-LN(2)/25))/(LN(2)/25)*Calculateur!V178*Calculateur!X178*VLOOKUP('Données projet'!$B$9,Paramètres!$A$1:$I$89,3,0)*0.475*44/12</f>
        <v>3.0106390773075402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15.241835655962149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68.971046307552896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3.4106051316484809E-13</v>
      </c>
      <c r="AJ178" s="13">
        <f>AI178*VLOOKUP('Données projet'!$B$10,Paramètres!$A$1:$I$89,3,0)*VLOOKUP('Données projet'!$B$10,Paramètres!$A$1:$I$89,5,0)</f>
        <v>1.9065282685915009E-13</v>
      </c>
      <c r="AK178" s="13">
        <f t="shared" si="164"/>
        <v>2.6568987209435707E-12</v>
      </c>
      <c r="AL178" s="20">
        <f t="shared" si="165"/>
        <v>4.959485612423072E-12</v>
      </c>
      <c r="AM178" s="59">
        <f t="shared" si="113"/>
        <v>289.56050312769889</v>
      </c>
      <c r="AN178" s="59">
        <f ca="1">AVERAGE(OFFSET($AM$3,0,0,'Données projet'!$E$10+1,1))-AVERAGE(OFFSET($H$3,0,0,'Données projet'!$E$10+1,1))</f>
        <v>363.98181065114898</v>
      </c>
      <c r="AO178" s="59">
        <f t="shared" si="144"/>
        <v>410.85213343666396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24.571652806763289</v>
      </c>
      <c r="AV178" s="21">
        <f>EXP(-LN(2)/25)*AV177+(1-EXP(-LN(2)/25))/(LN(2)/25)*Calculateur!AQ178*Calculateur!AS178*VLOOKUP('Données projet'!$B$10,Paramètres!$A$1:$I$89,3,0)*0.475*44/12</f>
        <v>5.4645922509788258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30.036245057742114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68.971046307552896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-9.9316821433603781E-14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433.6995276469014</v>
      </c>
      <c r="BJ178" s="59">
        <f t="shared" si="146"/>
        <v>306.37969720280557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22.798957560569498</v>
      </c>
      <c r="BQ178" s="21">
        <f>EXP(-LN(2)/25)*BQ177+(1-EXP(-LN(2)/25))/(LN(2)/25)*Calculateur!BL178*Calculateur!BN178*VLOOKUP('Données projet'!$B$11,Paramètres!$A$1:$I$89,3,0)*0.475*44/12</f>
        <v>5.1818108734946557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27.980768434064153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68.971046307552896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6</v>
      </c>
      <c r="BY178" s="12">
        <f>IF('Données projet'!$A$114&gt;35,BY177+BX178-CG177,IF(A178&lt;'Données projet'!$A$114,$BV$205^A178,IF(A178='Données projet'!$A$114,'Données projet'!$B$114,BY177+BX178-CG177)))</f>
        <v>378.00000000000023</v>
      </c>
      <c r="BZ178" s="13">
        <f>BY178*VLOOKUP('Données projet'!$B$12,Paramètres!$A$1:$I$89,3,0)*VLOOKUP('Données projet'!$B$12,Paramètres!$A$1:$I$89,5,0)</f>
        <v>365.60160000000019</v>
      </c>
      <c r="CA178" s="13">
        <f t="shared" si="170"/>
        <v>84.766843442892664</v>
      </c>
      <c r="CB178" s="20">
        <f t="shared" si="171"/>
        <v>784.39170566303835</v>
      </c>
      <c r="CC178" s="59">
        <f t="shared" si="119"/>
        <v>1073.9522087907324</v>
      </c>
      <c r="CD178" s="59">
        <f ca="1">AVERAGE(OFFSET($CC$3,0,0,'Données projet'!$E$12+1,1))-AVERAGE(OFFSET($H$3,0,0,'Données projet'!$E$12+1,1))</f>
        <v>455.95436253828132</v>
      </c>
      <c r="CE178" s="59">
        <f t="shared" si="148"/>
        <v>64.829921296688497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43.357598507999072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43.357598507999072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68.971046307552896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5.6843418860808015E-14</v>
      </c>
      <c r="CU178" s="17">
        <f>CT178*VLOOKUP('Données projet'!$B$13,Paramètres!$A$1:$I$89,3,0)*VLOOKUP('Données projet'!$B$13,Paramètres!$A$1:$I$89,5,0)</f>
        <v>4.4337866711430253E-14</v>
      </c>
      <c r="CV178" s="13">
        <f t="shared" si="173"/>
        <v>7.3222115536967035E-13</v>
      </c>
      <c r="CW178" s="20">
        <f t="shared" si="174"/>
        <v>1.3525069634579169E-12</v>
      </c>
      <c r="CX178" s="59">
        <f t="shared" si="122"/>
        <v>289.56050312769531</v>
      </c>
      <c r="CY178" s="59">
        <f ca="1">AVERAGE(OFFSET($CX$3,0,0,'Données projet'!$E$13+1,1))-AVERAGE(OFFSET($H$3,0,0,'Données projet'!$E$13+1,1))</f>
        <v>306.44760579759713</v>
      </c>
      <c r="CZ178" s="59">
        <f t="shared" si="150"/>
        <v>300.30192123221718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10.83889552529485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10.83889552529485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68.971046307552896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68.971046307552896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68.971046307552896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68.971046307552896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68.971046307552896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4.4000000000000004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16.133333333333336</v>
      </c>
      <c r="H179" s="67">
        <f t="shared" si="110"/>
        <v>192.13333333333333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68.988896353721032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1.1368683772161603E-13</v>
      </c>
      <c r="O179" s="13">
        <f>N179*VLOOKUP('Données projet'!$B$9,Paramètres!$A$1:$I$89,3,0)*VLOOKUP('Données projet'!$B$9,Paramètres!$A$1:$I$89,5,0)</f>
        <v>6.7984728957526396E-14</v>
      </c>
      <c r="P179" s="13">
        <f t="shared" si="141"/>
        <v>1.0682447123141398E-12</v>
      </c>
      <c r="Q179" s="20">
        <f t="shared" si="162"/>
        <v>1.978932943548152E-12</v>
      </c>
      <c r="R179" s="59">
        <f t="shared" si="109"/>
        <v>289.62595329697911</v>
      </c>
      <c r="S179" s="59">
        <f ca="1">AVERAGE(OFFSET($R$3,0,0,'Données projet'!$E$9+1,1))-AVERAGE(OFFSET($H$3,0,0,'Données projet'!$E$9+1,1))</f>
        <v>299.45724561493057</v>
      </c>
      <c r="T179" s="59">
        <f t="shared" si="142"/>
        <v>297.63369027443196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11.991350274040462</v>
      </c>
      <c r="AA179" s="21">
        <f>EXP(-LN(2)/25)*AA178+(1-EXP(-LN(2)/25))/(LN(2)/25)*Calculateur!V179*Calculateur!X179*VLOOKUP('Données projet'!$B$9,Paramètres!$A$1:$I$89,3,0)*0.475*44/12</f>
        <v>2.9283129934159375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14.9196632674564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68.988896353721032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3.4106051316484809E-13</v>
      </c>
      <c r="AJ179" s="13">
        <f>AI179*VLOOKUP('Données projet'!$B$10,Paramètres!$A$1:$I$89,3,0)*VLOOKUP('Données projet'!$B$10,Paramètres!$A$1:$I$89,5,0)</f>
        <v>1.9065282685915009E-13</v>
      </c>
      <c r="AK179" s="13">
        <f t="shared" si="164"/>
        <v>2.6568987209435707E-12</v>
      </c>
      <c r="AL179" s="20">
        <f t="shared" si="165"/>
        <v>4.959485612423072E-12</v>
      </c>
      <c r="AM179" s="59">
        <f t="shared" si="113"/>
        <v>289.62595329698206</v>
      </c>
      <c r="AN179" s="59">
        <f ca="1">AVERAGE(OFFSET($AM$3,0,0,'Données projet'!$E$10+1,1))-AVERAGE(OFFSET($H$3,0,0,'Données projet'!$E$10+1,1))</f>
        <v>363.98181065114898</v>
      </c>
      <c r="AO179" s="59">
        <f t="shared" si="144"/>
        <v>410.85213343666396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24.089817682451006</v>
      </c>
      <c r="AV179" s="21">
        <f>EXP(-LN(2)/25)*AV178+(1-EXP(-LN(2)/25))/(LN(2)/25)*Calculateur!AQ179*Calculateur!AS179*VLOOKUP('Données projet'!$B$10,Paramètres!$A$1:$I$89,3,0)*0.475*44/12</f>
        <v>5.3151626885053931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29.404980370956398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68.988896353721032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-9.9316821433603781E-14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433.6995276469014</v>
      </c>
      <c r="BJ179" s="59">
        <f t="shared" si="146"/>
        <v>306.37969720280557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22.351883908797738</v>
      </c>
      <c r="BQ179" s="21">
        <f>EXP(-LN(2)/25)*BQ178+(1-EXP(-LN(2)/25))/(LN(2)/25)*Calculateur!BL179*Calculateur!BN179*VLOOKUP('Données projet'!$B$11,Paramètres!$A$1:$I$89,3,0)*0.475*44/12</f>
        <v>5.0401139826593537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27.391997891457091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68.988896353721032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6</v>
      </c>
      <c r="BY179" s="12">
        <f>IF('Données projet'!$A$114&gt;35,BY178+BX179-CG178,IF(A179&lt;'Données projet'!$A$114,$BV$205^A179,IF(A179='Données projet'!$A$114,'Données projet'!$B$114,BY178+BX179-CG178)))</f>
        <v>384.00000000000023</v>
      </c>
      <c r="BZ179" s="13">
        <f>BY179*VLOOKUP('Données projet'!$B$12,Paramètres!$A$1:$I$89,3,0)*VLOOKUP('Données projet'!$B$12,Paramètres!$A$1:$I$89,5,0)</f>
        <v>371.40480000000019</v>
      </c>
      <c r="CA179" s="13">
        <f t="shared" si="170"/>
        <v>85.954640186800034</v>
      </c>
      <c r="CB179" s="20">
        <f t="shared" si="171"/>
        <v>796.56769165867706</v>
      </c>
      <c r="CC179" s="59">
        <f t="shared" si="119"/>
        <v>1086.1936449556542</v>
      </c>
      <c r="CD179" s="59">
        <f ca="1">AVERAGE(OFFSET($CC$3,0,0,'Données projet'!$E$12+1,1))-AVERAGE(OFFSET($H$3,0,0,'Données projet'!$E$12+1,1))</f>
        <v>455.95436253828132</v>
      </c>
      <c r="CE179" s="59">
        <f t="shared" si="148"/>
        <v>64.829921296688497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42.507382446781023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42.507382446781023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68.988896353721032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5.6843418860808015E-14</v>
      </c>
      <c r="CU179" s="17">
        <f>CT179*VLOOKUP('Données projet'!$B$13,Paramètres!$A$1:$I$89,3,0)*VLOOKUP('Données projet'!$B$13,Paramètres!$A$1:$I$89,5,0)</f>
        <v>4.4337866711430253E-14</v>
      </c>
      <c r="CV179" s="13">
        <f t="shared" si="173"/>
        <v>7.3222115536967035E-13</v>
      </c>
      <c r="CW179" s="20">
        <f t="shared" si="174"/>
        <v>1.3525069634579169E-12</v>
      </c>
      <c r="CX179" s="59">
        <f t="shared" si="122"/>
        <v>289.62595329697848</v>
      </c>
      <c r="CY179" s="59">
        <f ca="1">AVERAGE(OFFSET($CX$3,0,0,'Données projet'!$E$13+1,1))-AVERAGE(OFFSET($H$3,0,0,'Données projet'!$E$13+1,1))</f>
        <v>306.44760579759713</v>
      </c>
      <c r="CZ179" s="59">
        <f t="shared" si="150"/>
        <v>300.30192123221718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10.626351395117299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10.626351395117299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68.988896353721032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68.988896353721032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68.988896353721032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68.988896353721032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68.988896353721032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4.4000000000000004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16.133333333333336</v>
      </c>
      <c r="H180" s="67">
        <f t="shared" si="110"/>
        <v>192.13333333333333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69.006436741494866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1.1368683772161603E-13</v>
      </c>
      <c r="O180" s="13">
        <f>N180*VLOOKUP('Données projet'!$B$9,Paramètres!$A$1:$I$89,3,0)*VLOOKUP('Données projet'!$B$9,Paramètres!$A$1:$I$89,5,0)</f>
        <v>6.7984728957526396E-14</v>
      </c>
      <c r="P180" s="13">
        <f t="shared" si="141"/>
        <v>1.0682447123141398E-12</v>
      </c>
      <c r="Q180" s="20">
        <f t="shared" si="162"/>
        <v>1.978932943548152E-12</v>
      </c>
      <c r="R180" s="59">
        <f t="shared" si="109"/>
        <v>289.6902680521498</v>
      </c>
      <c r="S180" s="59">
        <f ca="1">AVERAGE(OFFSET($R$3,0,0,'Données projet'!$E$9+1,1))-AVERAGE(OFFSET($H$3,0,0,'Données projet'!$E$9+1,1))</f>
        <v>299.45724561493057</v>
      </c>
      <c r="T180" s="59">
        <f t="shared" si="142"/>
        <v>297.63369027443196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11.756207209167998</v>
      </c>
      <c r="AA180" s="21">
        <f>EXP(-LN(2)/25)*AA179+(1-EXP(-LN(2)/25))/(LN(2)/25)*Calculateur!V180*Calculateur!X180*VLOOKUP('Données projet'!$B$9,Paramètres!$A$1:$I$89,3,0)*0.475*44/12</f>
        <v>2.8482381206176912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14.60444532978569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69.006436741494866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3.4106051316484809E-13</v>
      </c>
      <c r="AJ180" s="13">
        <f>AI180*VLOOKUP('Données projet'!$B$10,Paramètres!$A$1:$I$89,3,0)*VLOOKUP('Données projet'!$B$10,Paramètres!$A$1:$I$89,5,0)</f>
        <v>1.9065282685915009E-13</v>
      </c>
      <c r="AK180" s="13">
        <f t="shared" si="164"/>
        <v>2.6568987209435707E-12</v>
      </c>
      <c r="AL180" s="20">
        <f t="shared" si="165"/>
        <v>4.959485612423072E-12</v>
      </c>
      <c r="AM180" s="59">
        <f t="shared" si="113"/>
        <v>289.69026805215276</v>
      </c>
      <c r="AN180" s="59">
        <f ca="1">AVERAGE(OFFSET($AM$3,0,0,'Données projet'!$E$10+1,1))-AVERAGE(OFFSET($H$3,0,0,'Données projet'!$E$10+1,1))</f>
        <v>363.98181065114898</v>
      </c>
      <c r="AO180" s="59">
        <f t="shared" si="144"/>
        <v>410.85213343666396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23.617431051036082</v>
      </c>
      <c r="AV180" s="21">
        <f>EXP(-LN(2)/25)*AV179+(1-EXP(-LN(2)/25))/(LN(2)/25)*Calculateur!AQ180*Calculateur!AS180*VLOOKUP('Données projet'!$B$10,Paramètres!$A$1:$I$89,3,0)*0.475*44/12</f>
        <v>5.1698192852759552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28.787250336312038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69.006436741494866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-9.9316821433603781E-14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433.6995276469014</v>
      </c>
      <c r="BJ180" s="59">
        <f t="shared" si="146"/>
        <v>306.37969720280557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21.91357709864922</v>
      </c>
      <c r="BQ180" s="21">
        <f>EXP(-LN(2)/25)*BQ179+(1-EXP(-LN(2)/25))/(LN(2)/25)*Calculateur!BL180*Calculateur!BN180*VLOOKUP('Données projet'!$B$11,Paramètres!$A$1:$I$89,3,0)*0.475*44/12</f>
        <v>4.9022918007554583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26.815868899404677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69.006436741494866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6</v>
      </c>
      <c r="BY180" s="12">
        <f>IF('Données projet'!$A$114&gt;35,BY179+BX180-CG179,IF(A180&lt;'Données projet'!$A$114,$BV$205^A180,IF(A180='Données projet'!$A$114,'Données projet'!$B$114,BY179+BX180-CG179)))</f>
        <v>390.00000000000023</v>
      </c>
      <c r="BZ180" s="13">
        <f>BY180*VLOOKUP('Données projet'!$B$12,Paramètres!$A$1:$I$89,3,0)*VLOOKUP('Données projet'!$B$12,Paramètres!$A$1:$I$89,5,0)</f>
        <v>377.2080000000002</v>
      </c>
      <c r="CA180" s="13">
        <f t="shared" si="170"/>
        <v>87.140278495857203</v>
      </c>
      <c r="CB180" s="20">
        <f t="shared" si="171"/>
        <v>808.73991838028496</v>
      </c>
      <c r="CC180" s="59">
        <f t="shared" si="119"/>
        <v>1098.4301864324327</v>
      </c>
      <c r="CD180" s="59">
        <f ca="1">AVERAGE(OFFSET($CC$3,0,0,'Données projet'!$E$12+1,1))-AVERAGE(OFFSET($H$3,0,0,'Données projet'!$E$12+1,1))</f>
        <v>455.95436253828132</v>
      </c>
      <c r="CE180" s="59">
        <f t="shared" si="148"/>
        <v>64.829921296688497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41.673838603942869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41.673838603942869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69.006436741494866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5.6843418860808015E-14</v>
      </c>
      <c r="CU180" s="17">
        <f>CT180*VLOOKUP('Données projet'!$B$13,Paramètres!$A$1:$I$89,3,0)*VLOOKUP('Données projet'!$B$13,Paramètres!$A$1:$I$89,5,0)</f>
        <v>4.4337866711430253E-14</v>
      </c>
      <c r="CV180" s="13">
        <f t="shared" si="173"/>
        <v>7.3222115536967035E-13</v>
      </c>
      <c r="CW180" s="20">
        <f t="shared" si="174"/>
        <v>1.3525069634579169E-12</v>
      </c>
      <c r="CX180" s="59">
        <f t="shared" si="122"/>
        <v>289.69026805214918</v>
      </c>
      <c r="CY180" s="59">
        <f ca="1">AVERAGE(OFFSET($CX$3,0,0,'Données projet'!$E$13+1,1))-AVERAGE(OFFSET($H$3,0,0,'Données projet'!$E$13+1,1))</f>
        <v>306.44760579759713</v>
      </c>
      <c r="CZ180" s="59">
        <f t="shared" si="150"/>
        <v>300.30192123221718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10.417975125693411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10.417975125693411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69.006436741494866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69.006436741494866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69.006436741494866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69.006436741494866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69.006436741494866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4.4000000000000004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16.133333333333336</v>
      </c>
      <c r="H181" s="67">
        <f t="shared" si="110"/>
        <v>192.13333333333333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69.023672842755246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1.1368683772161603E-13</v>
      </c>
      <c r="O181" s="13">
        <f>N181*VLOOKUP('Données projet'!$B$9,Paramètres!$A$1:$I$89,3,0)*VLOOKUP('Données projet'!$B$9,Paramètres!$A$1:$I$89,5,0)</f>
        <v>6.7984728957526396E-14</v>
      </c>
      <c r="P181" s="13">
        <f t="shared" si="141"/>
        <v>1.0682447123141398E-12</v>
      </c>
      <c r="Q181" s="20">
        <f t="shared" si="162"/>
        <v>1.978932943548152E-12</v>
      </c>
      <c r="R181" s="59">
        <f t="shared" si="109"/>
        <v>289.75346709010455</v>
      </c>
      <c r="S181" s="59">
        <f ca="1">AVERAGE(OFFSET($R$3,0,0,'Données projet'!$E$9+1,1))-AVERAGE(OFFSET($H$3,0,0,'Données projet'!$E$9+1,1))</f>
        <v>299.45724561493057</v>
      </c>
      <c r="T181" s="59">
        <f t="shared" si="142"/>
        <v>297.63369027443196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11.525675156374575</v>
      </c>
      <c r="AA181" s="21">
        <f>EXP(-LN(2)/25)*AA180+(1-EXP(-LN(2)/25))/(LN(2)/25)*Calculateur!V181*Calculateur!X181*VLOOKUP('Données projet'!$B$9,Paramètres!$A$1:$I$89,3,0)*0.475*44/12</f>
        <v>2.7703528994270674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14.296028055801642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69.023672842755246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3.4106051316484809E-13</v>
      </c>
      <c r="AJ181" s="13">
        <f>AI181*VLOOKUP('Données projet'!$B$10,Paramètres!$A$1:$I$89,3,0)*VLOOKUP('Données projet'!$B$10,Paramètres!$A$1:$I$89,5,0)</f>
        <v>1.9065282685915009E-13</v>
      </c>
      <c r="AK181" s="13">
        <f t="shared" si="164"/>
        <v>2.6568987209435707E-12</v>
      </c>
      <c r="AL181" s="20">
        <f t="shared" si="165"/>
        <v>4.959485612423072E-12</v>
      </c>
      <c r="AM181" s="59">
        <f t="shared" si="113"/>
        <v>289.75346709010751</v>
      </c>
      <c r="AN181" s="59">
        <f ca="1">AVERAGE(OFFSET($AM$3,0,0,'Données projet'!$E$10+1,1))-AVERAGE(OFFSET($H$3,0,0,'Données projet'!$E$10+1,1))</f>
        <v>363.98181065114898</v>
      </c>
      <c r="AO181" s="59">
        <f t="shared" si="144"/>
        <v>410.85213343666396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23.154307633335808</v>
      </c>
      <c r="AV181" s="21">
        <f>EXP(-LN(2)/25)*AV180+(1-EXP(-LN(2)/25))/(LN(2)/25)*Calculateur!AQ181*Calculateur!AS181*VLOOKUP('Données projet'!$B$10,Paramètres!$A$1:$I$89,3,0)*0.475*44/12</f>
        <v>5.0284503050511038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28.182757938386914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69.023672842755246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-9.9316821433603781E-14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433.6995276469014</v>
      </c>
      <c r="BJ181" s="59">
        <f t="shared" si="146"/>
        <v>306.37969720280557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21.48386521770696</v>
      </c>
      <c r="BQ181" s="21">
        <f>EXP(-LN(2)/25)*BQ180+(1-EXP(-LN(2)/25))/(LN(2)/25)*Calculateur!BL181*Calculateur!BN181*VLOOKUP('Données projet'!$B$11,Paramètres!$A$1:$I$89,3,0)*0.475*44/12</f>
        <v>4.768238373663479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26.252103591370439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69.023672842755246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6</v>
      </c>
      <c r="BY181" s="12">
        <f>IF('Données projet'!$A$114&gt;35,BY180+BX181-CG180,IF(A181&lt;'Données projet'!$A$114,$BV$205^A181,IF(A181='Données projet'!$A$114,'Données projet'!$B$114,BY180+BX181-CG180)))</f>
        <v>396.00000000000023</v>
      </c>
      <c r="BZ181" s="13">
        <f>BY181*VLOOKUP('Données projet'!$B$12,Paramètres!$A$1:$I$89,3,0)*VLOOKUP('Données projet'!$B$12,Paramètres!$A$1:$I$89,5,0)</f>
        <v>383.01120000000026</v>
      </c>
      <c r="CA181" s="13">
        <f t="shared" si="170"/>
        <v>88.323795411781802</v>
      </c>
      <c r="CB181" s="20">
        <f t="shared" si="171"/>
        <v>820.90845034218717</v>
      </c>
      <c r="CC181" s="59">
        <f t="shared" si="119"/>
        <v>1110.6619174322898</v>
      </c>
      <c r="CD181" s="59">
        <f ca="1">AVERAGE(OFFSET($CC$3,0,0,'Données projet'!$E$12+1,1))-AVERAGE(OFFSET($H$3,0,0,'Données projet'!$E$12+1,1))</f>
        <v>455.95436253828132</v>
      </c>
      <c r="CE181" s="59">
        <f t="shared" si="148"/>
        <v>64.829921296688497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40.856640047451229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40.856640047451229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69.023672842755246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5.6843418860808015E-14</v>
      </c>
      <c r="CU181" s="17">
        <f>CT181*VLOOKUP('Données projet'!$B$13,Paramètres!$A$1:$I$89,3,0)*VLOOKUP('Données projet'!$B$13,Paramètres!$A$1:$I$89,5,0)</f>
        <v>4.4337866711430253E-14</v>
      </c>
      <c r="CV181" s="13">
        <f t="shared" si="173"/>
        <v>7.3222115536967035E-13</v>
      </c>
      <c r="CW181" s="20">
        <f t="shared" si="174"/>
        <v>1.3525069634579169E-12</v>
      </c>
      <c r="CX181" s="59">
        <f t="shared" si="122"/>
        <v>289.75346709010392</v>
      </c>
      <c r="CY181" s="59">
        <f ca="1">AVERAGE(OFFSET($CX$3,0,0,'Données projet'!$E$13+1,1))-AVERAGE(OFFSET($H$3,0,0,'Données projet'!$E$13+1,1))</f>
        <v>306.44760579759713</v>
      </c>
      <c r="CZ181" s="59">
        <f t="shared" si="150"/>
        <v>300.30192123221718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10.213684987815952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10.213684987815952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69.023672842755246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69.023672842755246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69.023672842755246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69.023672842755246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69.023672842755246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4.4000000000000004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16.133333333333336</v>
      </c>
      <c r="H182" s="67">
        <f t="shared" si="110"/>
        <v>192.13333333333333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69.040609936192922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1.1368683772161603E-13</v>
      </c>
      <c r="O182" s="13">
        <f>N182*VLOOKUP('Données projet'!$B$9,Paramètres!$A$1:$I$89,3,0)*VLOOKUP('Données projet'!$B$9,Paramètres!$A$1:$I$89,5,0)</f>
        <v>6.7984728957526396E-14</v>
      </c>
      <c r="P182" s="13">
        <f t="shared" si="141"/>
        <v>1.0682447123141398E-12</v>
      </c>
      <c r="Q182" s="20">
        <f t="shared" si="162"/>
        <v>1.978932943548152E-12</v>
      </c>
      <c r="R182" s="59">
        <f t="shared" si="109"/>
        <v>289.8155697660427</v>
      </c>
      <c r="S182" s="59">
        <f ca="1">AVERAGE(OFFSET($R$3,0,0,'Données projet'!$E$9+1,1))-AVERAGE(OFFSET($H$3,0,0,'Données projet'!$E$9+1,1))</f>
        <v>299.45724561493057</v>
      </c>
      <c r="T182" s="59">
        <f t="shared" si="142"/>
        <v>297.63369027443196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11.299663696525764</v>
      </c>
      <c r="AA182" s="21">
        <f>EXP(-LN(2)/25)*AA181+(1-EXP(-LN(2)/25))/(LN(2)/25)*Calculateur!V182*Calculateur!X182*VLOOKUP('Données projet'!$B$9,Paramètres!$A$1:$I$89,3,0)*0.475*44/12</f>
        <v>2.6945974537057071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13.994261150231472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69.040609936192922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3.4106051316484809E-13</v>
      </c>
      <c r="AJ182" s="13">
        <f>AI182*VLOOKUP('Données projet'!$B$10,Paramètres!$A$1:$I$89,3,0)*VLOOKUP('Données projet'!$B$10,Paramètres!$A$1:$I$89,5,0)</f>
        <v>1.9065282685915009E-13</v>
      </c>
      <c r="AK182" s="13">
        <f t="shared" si="164"/>
        <v>2.6568987209435707E-12</v>
      </c>
      <c r="AL182" s="20">
        <f t="shared" si="165"/>
        <v>4.959485612423072E-12</v>
      </c>
      <c r="AM182" s="59">
        <f t="shared" si="113"/>
        <v>289.81556976604566</v>
      </c>
      <c r="AN182" s="59">
        <f ca="1">AVERAGE(OFFSET($AM$3,0,0,'Données projet'!$E$10+1,1))-AVERAGE(OFFSET($H$3,0,0,'Données projet'!$E$10+1,1))</f>
        <v>363.98181065114898</v>
      </c>
      <c r="AO182" s="59">
        <f t="shared" si="144"/>
        <v>410.85213343666396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22.700265783379244</v>
      </c>
      <c r="AV182" s="21">
        <f>EXP(-LN(2)/25)*AV181+(1-EXP(-LN(2)/25))/(LN(2)/25)*Calculateur!AQ182*Calculateur!AS182*VLOOKUP('Données projet'!$B$10,Paramètres!$A$1:$I$89,3,0)*0.475*44/12</f>
        <v>4.8909470670247721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27.591212850404016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69.040609936192922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-9.9316821433603781E-14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433.6995276469014</v>
      </c>
      <c r="BJ182" s="59">
        <f t="shared" si="146"/>
        <v>306.37969720280557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21.062579724651609</v>
      </c>
      <c r="BQ182" s="21">
        <f>EXP(-LN(2)/25)*BQ181+(1-EXP(-LN(2)/25))/(LN(2)/25)*Calculateur!BL182*Calculateur!BN182*VLOOKUP('Données projet'!$B$11,Paramètres!$A$1:$I$89,3,0)*0.475*44/12</f>
        <v>4.6378506445848933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25.700430369236503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69.040609936192922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6</v>
      </c>
      <c r="BY182" s="12">
        <f>IF('Données projet'!$A$114&gt;35,BY181+BX182-CG181,IF(A182&lt;'Données projet'!$A$114,$BV$205^A182,IF(A182='Données projet'!$A$114,'Données projet'!$B$114,BY181+BX182-CG181)))</f>
        <v>402.00000000000023</v>
      </c>
      <c r="BZ182" s="13">
        <f>BY182*VLOOKUP('Données projet'!$B$12,Paramètres!$A$1:$I$89,3,0)*VLOOKUP('Données projet'!$B$12,Paramètres!$A$1:$I$89,5,0)</f>
        <v>388.81440000000026</v>
      </c>
      <c r="CA182" s="13">
        <f t="shared" si="170"/>
        <v>89.505226789398094</v>
      </c>
      <c r="CB182" s="20">
        <f t="shared" si="171"/>
        <v>833.07334999153534</v>
      </c>
      <c r="CC182" s="59">
        <f t="shared" si="119"/>
        <v>1122.8889197575761</v>
      </c>
      <c r="CD182" s="59">
        <f ca="1">AVERAGE(OFFSET($CC$3,0,0,'Données projet'!$E$12+1,1))-AVERAGE(OFFSET($H$3,0,0,'Données projet'!$E$12+1,1))</f>
        <v>455.95436253828132</v>
      </c>
      <c r="CE182" s="59">
        <f t="shared" si="148"/>
        <v>64.829921296688497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40.055466256210487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40.055466256210487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69.040609936192922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5.6843418860808015E-14</v>
      </c>
      <c r="CU182" s="17">
        <f>CT182*VLOOKUP('Données projet'!$B$13,Paramètres!$A$1:$I$89,3,0)*VLOOKUP('Données projet'!$B$13,Paramètres!$A$1:$I$89,5,0)</f>
        <v>4.4337866711430253E-14</v>
      </c>
      <c r="CV182" s="13">
        <f t="shared" si="173"/>
        <v>7.3222115536967035E-13</v>
      </c>
      <c r="CW182" s="20">
        <f t="shared" si="174"/>
        <v>1.3525069634579169E-12</v>
      </c>
      <c r="CX182" s="59">
        <f t="shared" si="122"/>
        <v>289.81556976604207</v>
      </c>
      <c r="CY182" s="59">
        <f ca="1">AVERAGE(OFFSET($CX$3,0,0,'Données projet'!$E$13+1,1))-AVERAGE(OFFSET($H$3,0,0,'Données projet'!$E$13+1,1))</f>
        <v>306.44760579759713</v>
      </c>
      <c r="CZ182" s="59">
        <f t="shared" si="150"/>
        <v>300.30192123221718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10.01340085493759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10.01340085493759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69.040609936192922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69.040609936192922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69.040609936192922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69.040609936192922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69.040609936192922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4.4000000000000004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16.133333333333336</v>
      </c>
      <c r="H183" s="67">
        <f t="shared" si="110"/>
        <v>192.13333333333333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69.057253208925118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1.1368683772161603E-13</v>
      </c>
      <c r="O183" s="13">
        <f>N183*VLOOKUP('Données projet'!$B$9,Paramètres!$A$1:$I$89,3,0)*VLOOKUP('Données projet'!$B$9,Paramètres!$A$1:$I$89,5,0)</f>
        <v>6.7984728957526396E-14</v>
      </c>
      <c r="P183" s="13">
        <f t="shared" si="141"/>
        <v>1.0682447123141398E-12</v>
      </c>
      <c r="Q183" s="20">
        <f t="shared" si="162"/>
        <v>1.978932943548152E-12</v>
      </c>
      <c r="R183" s="59">
        <f t="shared" si="109"/>
        <v>289.87659509939408</v>
      </c>
      <c r="S183" s="59">
        <f ca="1">AVERAGE(OFFSET($R$3,0,0,'Données projet'!$E$9+1,1))-AVERAGE(OFFSET($H$3,0,0,'Données projet'!$E$9+1,1))</f>
        <v>299.45724561493057</v>
      </c>
      <c r="T183" s="59">
        <f t="shared" si="142"/>
        <v>297.63369027443196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11.078084183551208</v>
      </c>
      <c r="AA183" s="21">
        <f>EXP(-LN(2)/25)*AA182+(1-EXP(-LN(2)/25))/(LN(2)/25)*Calculateur!V183*Calculateur!X183*VLOOKUP('Données projet'!$B$9,Paramètres!$A$1:$I$89,3,0)*0.475*44/12</f>
        <v>2.6209135446314029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13.698997728182611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69.057253208925118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3.4106051316484809E-13</v>
      </c>
      <c r="AJ183" s="13">
        <f>AI183*VLOOKUP('Données projet'!$B$10,Paramètres!$A$1:$I$89,3,0)*VLOOKUP('Données projet'!$B$10,Paramètres!$A$1:$I$89,5,0)</f>
        <v>1.9065282685915009E-13</v>
      </c>
      <c r="AK183" s="13">
        <f t="shared" si="164"/>
        <v>2.6568987209435707E-12</v>
      </c>
      <c r="AL183" s="20">
        <f t="shared" si="165"/>
        <v>4.959485612423072E-12</v>
      </c>
      <c r="AM183" s="59">
        <f t="shared" si="113"/>
        <v>289.87659509939704</v>
      </c>
      <c r="AN183" s="59">
        <f ca="1">AVERAGE(OFFSET($AM$3,0,0,'Données projet'!$E$10+1,1))-AVERAGE(OFFSET($H$3,0,0,'Données projet'!$E$10+1,1))</f>
        <v>363.98181065114898</v>
      </c>
      <c r="AO183" s="59">
        <f t="shared" si="144"/>
        <v>410.85213343666396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22.255127417162146</v>
      </c>
      <c r="AV183" s="21">
        <f>EXP(-LN(2)/25)*AV182+(1-EXP(-LN(2)/25))/(LN(2)/25)*Calculateur!AQ183*Calculateur!AS183*VLOOKUP('Données projet'!$B$10,Paramètres!$A$1:$I$89,3,0)*0.475*44/12</f>
        <v>4.7572038622732515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27.012331279435397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69.057253208925118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-9.9316821433603781E-14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433.6995276469014</v>
      </c>
      <c r="BJ183" s="59">
        <f t="shared" si="146"/>
        <v>306.37969720280557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20.649555383156297</v>
      </c>
      <c r="BQ183" s="21">
        <f>EXP(-LN(2)/25)*BQ182+(1-EXP(-LN(2)/25))/(LN(2)/25)*Calculateur!BL183*Calculateur!BN183*VLOOKUP('Données projet'!$B$11,Paramètres!$A$1:$I$89,3,0)*0.475*44/12</f>
        <v>4.5110283748147539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25.16058375797105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69.057253208925118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408</v>
      </c>
      <c r="BW183" s="12">
        <f>VLOOKUP(A183,'Données projet'!$A$113:$I$133,9,0)</f>
        <v>6</v>
      </c>
      <c r="BX183" s="12">
        <f t="array" ref="BX183">INDEX(BW:BW,MIN(IF(ISNUMBER(BW183:BW379),ROW(BW183:BW379),"")))</f>
        <v>6</v>
      </c>
      <c r="BY183" s="12">
        <f>IF('Données projet'!$A$114&gt;35,BY182+BX183-CG182,IF(A183&lt;'Données projet'!$A$114,$BV$205^A183,IF(A183='Données projet'!$A$114,'Données projet'!$B$114,BY182+BX183-CG182)))</f>
        <v>408.00000000000023</v>
      </c>
      <c r="BZ183" s="13">
        <f>BY183*VLOOKUP('Données projet'!$B$12,Paramètres!$A$1:$I$89,3,0)*VLOOKUP('Données projet'!$B$12,Paramètres!$A$1:$I$89,5,0)</f>
        <v>394.61760000000027</v>
      </c>
      <c r="CA183" s="13">
        <f t="shared" si="170"/>
        <v>90.684607351804445</v>
      </c>
      <c r="CB183" s="20">
        <f t="shared" si="171"/>
        <v>845.2346778043933</v>
      </c>
      <c r="CC183" s="59">
        <f t="shared" si="119"/>
        <v>1135.1112729037854</v>
      </c>
      <c r="CD183" s="59">
        <f ca="1">AVERAGE(OFFSET($CC$3,0,0,'Données projet'!$E$12+1,1))-AVERAGE(OFFSET($H$3,0,0,'Données projet'!$E$12+1,1))</f>
        <v>455.95436253828132</v>
      </c>
      <c r="CE183" s="59">
        <f t="shared" si="148"/>
        <v>64.829921296688497</v>
      </c>
      <c r="CF183" s="15">
        <f>IF(ISNA(VLOOKUP(A183,'Données projet'!$A$113:$I$133,3,0)),0,VLOOKUP(A183,'Données projet'!$A$113:$I$133,3,0))</f>
        <v>16</v>
      </c>
      <c r="CG183" s="15">
        <f>IF(ISNA(VLOOKUP(A183,'Données projet'!$A$113:$I$133,4,0)),0,VLOOKUP(A183,'Données projet'!$A$113:$I$133,4,0))</f>
        <v>408</v>
      </c>
      <c r="CH183" s="16">
        <f>IF(ISNA(VLOOKUP(A183,'Données projet'!$A$113:$I$133,5,0)),0%,VLOOKUP(A183,'Données projet'!$A$113:$I$133,5,0)*VLOOKUP('Données projet'!$B$12,Paramètres!$A$1:$I$89,7,0))</f>
        <v>0.25800000000000001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151.81942454928276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151.81942454928276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69.057253208925118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5.6843418860808015E-14</v>
      </c>
      <c r="CU183" s="17">
        <f>CT183*VLOOKUP('Données projet'!$B$13,Paramètres!$A$1:$I$89,3,0)*VLOOKUP('Données projet'!$B$13,Paramètres!$A$1:$I$89,5,0)</f>
        <v>4.4337866711430253E-14</v>
      </c>
      <c r="CV183" s="13">
        <f t="shared" si="173"/>
        <v>7.3222115536967035E-13</v>
      </c>
      <c r="CW183" s="20">
        <f t="shared" si="174"/>
        <v>1.3525069634579169E-12</v>
      </c>
      <c r="CX183" s="59">
        <f t="shared" si="122"/>
        <v>289.87659509939346</v>
      </c>
      <c r="CY183" s="59">
        <f ca="1">AVERAGE(OFFSET($CX$3,0,0,'Données projet'!$E$13+1,1))-AVERAGE(OFFSET($H$3,0,0,'Données projet'!$E$13+1,1))</f>
        <v>306.44760579759713</v>
      </c>
      <c r="CZ183" s="59">
        <f t="shared" si="150"/>
        <v>300.30192123221718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9.8170441717437136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9.8170441717437136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69.057253208925118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69.057253208925118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69.057253208925118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69.057253208925118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69.057253208925118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4.4000000000000004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16.133333333333336</v>
      </c>
      <c r="H184" s="67">
        <f t="shared" si="110"/>
        <v>192.13333333333333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69.073607758084194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1.1368683772161603E-13</v>
      </c>
      <c r="O184" s="13">
        <f>N184*VLOOKUP('Données projet'!$B$9,Paramètres!$A$1:$I$89,3,0)*VLOOKUP('Données projet'!$B$9,Paramètres!$A$1:$I$89,5,0)</f>
        <v>6.7984728957526396E-14</v>
      </c>
      <c r="P184" s="13">
        <f t="shared" si="141"/>
        <v>1.0682447123141398E-12</v>
      </c>
      <c r="Q184" s="20">
        <f t="shared" si="162"/>
        <v>1.978932943548152E-12</v>
      </c>
      <c r="R184" s="59">
        <f t="shared" si="109"/>
        <v>289.93656177964402</v>
      </c>
      <c r="S184" s="59">
        <f ca="1">AVERAGE(OFFSET($R$3,0,0,'Données projet'!$E$9+1,1))-AVERAGE(OFFSET($H$3,0,0,'Données projet'!$E$9+1,1))</f>
        <v>299.45724561493057</v>
      </c>
      <c r="T184" s="59">
        <f t="shared" si="142"/>
        <v>297.63369027443196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10.860849709675927</v>
      </c>
      <c r="AA184" s="21">
        <f>EXP(-LN(2)/25)*AA183+(1-EXP(-LN(2)/25))/(LN(2)/25)*Calculateur!V184*Calculateur!X184*VLOOKUP('Données projet'!$B$9,Paramètres!$A$1:$I$89,3,0)*0.475*44/12</f>
        <v>2.5492445259256042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13.41009423560153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69.073607758084194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3.4106051316484809E-13</v>
      </c>
      <c r="AJ184" s="13">
        <f>AI184*VLOOKUP('Données projet'!$B$10,Paramètres!$A$1:$I$89,3,0)*VLOOKUP('Données projet'!$B$10,Paramètres!$A$1:$I$89,5,0)</f>
        <v>1.9065282685915009E-13</v>
      </c>
      <c r="AK184" s="13">
        <f t="shared" si="164"/>
        <v>2.6568987209435707E-12</v>
      </c>
      <c r="AL184" s="20">
        <f t="shared" si="165"/>
        <v>4.959485612423072E-12</v>
      </c>
      <c r="AM184" s="59">
        <f t="shared" si="113"/>
        <v>289.93656177964698</v>
      </c>
      <c r="AN184" s="59">
        <f ca="1">AVERAGE(OFFSET($AM$3,0,0,'Données projet'!$E$10+1,1))-AVERAGE(OFFSET($H$3,0,0,'Données projet'!$E$10+1,1))</f>
        <v>363.98181065114898</v>
      </c>
      <c r="AO184" s="59">
        <f t="shared" si="144"/>
        <v>410.85213343666396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21.818717942798973</v>
      </c>
      <c r="AV184" s="21">
        <f>EXP(-LN(2)/25)*AV183+(1-EXP(-LN(2)/25))/(LN(2)/25)*Calculateur!AQ184*Calculateur!AS184*VLOOKUP('Données projet'!$B$10,Paramètres!$A$1:$I$89,3,0)*0.475*44/12</f>
        <v>4.6271178724889115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26.445835815287886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69.073607758084194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-9.9316821433603781E-14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433.6995276469014</v>
      </c>
      <c r="BJ184" s="59">
        <f t="shared" si="146"/>
        <v>306.37969720280557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20.244630197077736</v>
      </c>
      <c r="BQ184" s="21">
        <f>EXP(-LN(2)/25)*BQ183+(1-EXP(-LN(2)/25))/(LN(2)/25)*Calculateur!BL184*Calculateur!BN184*VLOOKUP('Données projet'!$B$11,Paramètres!$A$1:$I$89,3,0)*0.475*44/12</f>
        <v>4.3876740666807725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24.63230426375851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69.073607758084194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2.2737367544323206E-13</v>
      </c>
      <c r="BZ184" s="13">
        <f>BY184*VLOOKUP('Données projet'!$B$12,Paramètres!$A$1:$I$89,3,0)*VLOOKUP('Données projet'!$B$12,Paramètres!$A$1:$I$89,5,0)</f>
        <v>2.1991581888869406E-13</v>
      </c>
      <c r="CA184" s="13">
        <f t="shared" si="170"/>
        <v>3.0141848436827279E-12</v>
      </c>
      <c r="CB184" s="20">
        <f t="shared" si="171"/>
        <v>5.6327253206452266E-12</v>
      </c>
      <c r="CC184" s="59">
        <f t="shared" si="119"/>
        <v>289.93656177964766</v>
      </c>
      <c r="CD184" s="59">
        <f ca="1">AVERAGE(OFFSET($CC$3,0,0,'Données projet'!$E$12+1,1))-AVERAGE(OFFSET($H$3,0,0,'Données projet'!$E$12+1,1))</f>
        <v>455.95436253828132</v>
      </c>
      <c r="CE184" s="59">
        <f t="shared" si="148"/>
        <v>64.829921296688497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148.84233823457674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148.84233823457674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69.073607758084194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5.6843418860808015E-14</v>
      </c>
      <c r="CU184" s="17">
        <f>CT184*VLOOKUP('Données projet'!$B$13,Paramètres!$A$1:$I$89,3,0)*VLOOKUP('Données projet'!$B$13,Paramètres!$A$1:$I$89,5,0)</f>
        <v>4.4337866711430253E-14</v>
      </c>
      <c r="CV184" s="13">
        <f t="shared" si="173"/>
        <v>7.3222115536967035E-13</v>
      </c>
      <c r="CW184" s="20">
        <f t="shared" si="174"/>
        <v>1.3525069634579169E-12</v>
      </c>
      <c r="CX184" s="59">
        <f t="shared" si="122"/>
        <v>289.9365617796434</v>
      </c>
      <c r="CY184" s="59">
        <f ca="1">AVERAGE(OFFSET($CX$3,0,0,'Données projet'!$E$13+1,1))-AVERAGE(OFFSET($H$3,0,0,'Données projet'!$E$13+1,1))</f>
        <v>306.44760579759713</v>
      </c>
      <c r="CZ184" s="59">
        <f t="shared" si="150"/>
        <v>300.30192123221718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9.6245379233415171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9.6245379233415171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69.073607758084194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69.073607758084194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69.073607758084194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69.073607758084194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69.073607758084194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4.4000000000000004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16.133333333333336</v>
      </c>
      <c r="H185" s="67">
        <f t="shared" si="110"/>
        <v>192.13333333333333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69.089678592378661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1.1368683772161603E-13</v>
      </c>
      <c r="O185" s="13">
        <f>N185*VLOOKUP('Données projet'!$B$9,Paramètres!$A$1:$I$89,3,0)*VLOOKUP('Données projet'!$B$9,Paramètres!$A$1:$I$89,5,0)</f>
        <v>6.7984728957526396E-14</v>
      </c>
      <c r="P185" s="13">
        <f t="shared" si="141"/>
        <v>1.0682447123141398E-12</v>
      </c>
      <c r="Q185" s="20">
        <f t="shared" si="162"/>
        <v>1.978932943548152E-12</v>
      </c>
      <c r="R185" s="59">
        <f t="shared" si="109"/>
        <v>289.99548817205709</v>
      </c>
      <c r="S185" s="59">
        <f ca="1">AVERAGE(OFFSET($R$3,0,0,'Données projet'!$E$9+1,1))-AVERAGE(OFFSET($H$3,0,0,'Données projet'!$E$9+1,1))</f>
        <v>299.45724561493057</v>
      </c>
      <c r="T185" s="59">
        <f t="shared" si="142"/>
        <v>297.63369027443196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10.647875071333393</v>
      </c>
      <c r="AA185" s="21">
        <f>EXP(-LN(2)/25)*AA184+(1-EXP(-LN(2)/25))/(LN(2)/25)*Calculateur!V185*Calculateur!X185*VLOOKUP('Données projet'!$B$9,Paramètres!$A$1:$I$89,3,0)*0.475*44/12</f>
        <v>2.4795353003052254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13.127410371638618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69.089678592378661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3.4106051316484809E-13</v>
      </c>
      <c r="AJ185" s="13">
        <f>AI185*VLOOKUP('Données projet'!$B$10,Paramètres!$A$1:$I$89,3,0)*VLOOKUP('Données projet'!$B$10,Paramètres!$A$1:$I$89,5,0)</f>
        <v>1.9065282685915009E-13</v>
      </c>
      <c r="AK185" s="13">
        <f t="shared" si="164"/>
        <v>2.6568987209435707E-12</v>
      </c>
      <c r="AL185" s="20">
        <f t="shared" si="165"/>
        <v>4.959485612423072E-12</v>
      </c>
      <c r="AM185" s="59">
        <f t="shared" si="113"/>
        <v>289.99548817206005</v>
      </c>
      <c r="AN185" s="59">
        <f ca="1">AVERAGE(OFFSET($AM$3,0,0,'Données projet'!$E$10+1,1))-AVERAGE(OFFSET($H$3,0,0,'Données projet'!$E$10+1,1))</f>
        <v>363.98181065114898</v>
      </c>
      <c r="AO185" s="59">
        <f t="shared" si="144"/>
        <v>410.85213343666396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21.390866192044562</v>
      </c>
      <c r="AV185" s="21">
        <f>EXP(-LN(2)/25)*AV184+(1-EXP(-LN(2)/25))/(LN(2)/25)*Calculateur!AQ185*Calculateur!AS185*VLOOKUP('Données projet'!$B$10,Paramètres!$A$1:$I$89,3,0)*0.475*44/12</f>
        <v>4.500589090936149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25.891455282980711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69.089678592378661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-9.9316821433603781E-14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433.6995276469014</v>
      </c>
      <c r="BJ185" s="59">
        <f t="shared" si="146"/>
        <v>306.37969720280557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19.847645346918199</v>
      </c>
      <c r="BQ185" s="21">
        <f>EXP(-LN(2)/25)*BQ184+(1-EXP(-LN(2)/25))/(LN(2)/25)*Calculateur!BL185*Calculateur!BN185*VLOOKUP('Données projet'!$B$11,Paramètres!$A$1:$I$89,3,0)*0.475*44/12</f>
        <v>4.2676928885896359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24.115338235507835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69.089678592378661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2.2737367544323206E-13</v>
      </c>
      <c r="BZ185" s="13">
        <f>BY185*VLOOKUP('Données projet'!$B$12,Paramètres!$A$1:$I$89,3,0)*VLOOKUP('Données projet'!$B$12,Paramètres!$A$1:$I$89,5,0)</f>
        <v>2.1991581888869406E-13</v>
      </c>
      <c r="CA185" s="13">
        <f t="shared" si="170"/>
        <v>3.0141848436827279E-12</v>
      </c>
      <c r="CB185" s="20">
        <f t="shared" si="171"/>
        <v>5.6327253206452266E-12</v>
      </c>
      <c r="CC185" s="59">
        <f t="shared" si="119"/>
        <v>289.99548817206073</v>
      </c>
      <c r="CD185" s="59">
        <f ca="1">AVERAGE(OFFSET($CC$3,0,0,'Données projet'!$E$12+1,1))-AVERAGE(OFFSET($H$3,0,0,'Données projet'!$E$12+1,1))</f>
        <v>455.95436253828132</v>
      </c>
      <c r="CE185" s="59">
        <f t="shared" si="148"/>
        <v>64.829921296688497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145.92363076665876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145.92363076665876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69.089678592378661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5.6843418860808015E-14</v>
      </c>
      <c r="CU185" s="17">
        <f>CT185*VLOOKUP('Données projet'!$B$13,Paramètres!$A$1:$I$89,3,0)*VLOOKUP('Données projet'!$B$13,Paramètres!$A$1:$I$89,5,0)</f>
        <v>4.4337866711430253E-14</v>
      </c>
      <c r="CV185" s="13">
        <f t="shared" si="173"/>
        <v>7.3222115536967035E-13</v>
      </c>
      <c r="CW185" s="20">
        <f t="shared" si="174"/>
        <v>1.3525069634579169E-12</v>
      </c>
      <c r="CX185" s="59">
        <f t="shared" si="122"/>
        <v>289.99548817205647</v>
      </c>
      <c r="CY185" s="59">
        <f ca="1">AVERAGE(OFFSET($CX$3,0,0,'Données projet'!$E$13+1,1))-AVERAGE(OFFSET($H$3,0,0,'Données projet'!$E$13+1,1))</f>
        <v>306.44760579759713</v>
      </c>
      <c r="CZ185" s="59">
        <f t="shared" si="150"/>
        <v>300.30192123221718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9.435806605053271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9.435806605053271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69.089678592378661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69.089678592378661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69.089678592378661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69.089678592378661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69.089678592378661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4.4000000000000004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16.133333333333336</v>
      </c>
      <c r="H186" s="67">
        <f t="shared" si="110"/>
        <v>192.13333333333333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69.105470633627107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1.1368683772161603E-13</v>
      </c>
      <c r="O186" s="13">
        <f>N186*VLOOKUP('Données projet'!$B$9,Paramètres!$A$1:$I$89,3,0)*VLOOKUP('Données projet'!$B$9,Paramètres!$A$1:$I$89,5,0)</f>
        <v>6.7984728957526396E-14</v>
      </c>
      <c r="P186" s="13">
        <f t="shared" si="141"/>
        <v>1.0682447123141398E-12</v>
      </c>
      <c r="Q186" s="20">
        <f t="shared" si="162"/>
        <v>1.978932943548152E-12</v>
      </c>
      <c r="R186" s="59">
        <f t="shared" si="109"/>
        <v>290.05339232330141</v>
      </c>
      <c r="S186" s="59">
        <f ca="1">AVERAGE(OFFSET($R$3,0,0,'Données projet'!$E$9+1,1))-AVERAGE(OFFSET($H$3,0,0,'Données projet'!$E$9+1,1))</f>
        <v>299.45724561493057</v>
      </c>
      <c r="T186" s="59">
        <f t="shared" si="142"/>
        <v>297.63369027443196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10.439076735747054</v>
      </c>
      <c r="AA186" s="21">
        <f>EXP(-LN(2)/25)*AA185+(1-EXP(-LN(2)/25))/(LN(2)/25)*Calculateur!V186*Calculateur!X186*VLOOKUP('Données projet'!$B$9,Paramètres!$A$1:$I$89,3,0)*0.475*44/12</f>
        <v>2.4117322771252847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12.85080901287234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69.105470633627107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3.4106051316484809E-13</v>
      </c>
      <c r="AJ186" s="13">
        <f>AI186*VLOOKUP('Données projet'!$B$10,Paramètres!$A$1:$I$89,3,0)*VLOOKUP('Données projet'!$B$10,Paramètres!$A$1:$I$89,5,0)</f>
        <v>1.9065282685915009E-13</v>
      </c>
      <c r="AK186" s="13">
        <f t="shared" si="164"/>
        <v>2.6568987209435707E-12</v>
      </c>
      <c r="AL186" s="20">
        <f t="shared" si="165"/>
        <v>4.959485612423072E-12</v>
      </c>
      <c r="AM186" s="59">
        <f t="shared" si="113"/>
        <v>290.05339232330437</v>
      </c>
      <c r="AN186" s="59">
        <f ca="1">AVERAGE(OFFSET($AM$3,0,0,'Données projet'!$E$10+1,1))-AVERAGE(OFFSET($H$3,0,0,'Données projet'!$E$10+1,1))</f>
        <v>363.98181065114898</v>
      </c>
      <c r="AO186" s="59">
        <f t="shared" si="144"/>
        <v>410.85213343666396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20.971404353158647</v>
      </c>
      <c r="AV186" s="21">
        <f>EXP(-LN(2)/25)*AV185+(1-EXP(-LN(2)/25))/(LN(2)/25)*Calculateur!AQ186*Calculateur!AS186*VLOOKUP('Données projet'!$B$10,Paramètres!$A$1:$I$89,3,0)*0.475*44/12</f>
        <v>4.3775202455688058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25.348924598727454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69.105470633627107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-9.9316821433603781E-14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433.6995276469014</v>
      </c>
      <c r="BJ186" s="59">
        <f t="shared" si="146"/>
        <v>306.37969720280557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19.458445127533441</v>
      </c>
      <c r="BQ186" s="21">
        <f>EXP(-LN(2)/25)*BQ185+(1-EXP(-LN(2)/25))/(LN(2)/25)*Calculateur!BL186*Calculateur!BN186*VLOOKUP('Données projet'!$B$11,Paramètres!$A$1:$I$89,3,0)*0.475*44/12</f>
        <v>4.1509926021229369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23.609437729656378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69.105470633627107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2.2737367544323206E-13</v>
      </c>
      <c r="BZ186" s="13">
        <f>BY186*VLOOKUP('Données projet'!$B$12,Paramètres!$A$1:$I$89,3,0)*VLOOKUP('Données projet'!$B$12,Paramètres!$A$1:$I$89,5,0)</f>
        <v>2.1991581888869406E-13</v>
      </c>
      <c r="CA186" s="13">
        <f t="shared" si="170"/>
        <v>3.0141848436827279E-12</v>
      </c>
      <c r="CB186" s="20">
        <f t="shared" si="171"/>
        <v>5.6327253206452266E-12</v>
      </c>
      <c r="CC186" s="59">
        <f t="shared" si="119"/>
        <v>290.05339232330505</v>
      </c>
      <c r="CD186" s="59">
        <f ca="1">AVERAGE(OFFSET($CC$3,0,0,'Données projet'!$E$12+1,1))-AVERAGE(OFFSET($H$3,0,0,'Données projet'!$E$12+1,1))</f>
        <v>455.95436253828132</v>
      </c>
      <c r="CE186" s="59">
        <f t="shared" si="148"/>
        <v>64.829921296688497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143.06215737195086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143.06215737195086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69.105470633627107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5.6843418860808015E-14</v>
      </c>
      <c r="CU186" s="17">
        <f>CT186*VLOOKUP('Données projet'!$B$13,Paramètres!$A$1:$I$89,3,0)*VLOOKUP('Données projet'!$B$13,Paramètres!$A$1:$I$89,5,0)</f>
        <v>4.4337866711430253E-14</v>
      </c>
      <c r="CV186" s="13">
        <f t="shared" si="173"/>
        <v>7.3222115536967035E-13</v>
      </c>
      <c r="CW186" s="20">
        <f t="shared" si="174"/>
        <v>1.3525069634579169E-12</v>
      </c>
      <c r="CX186" s="59">
        <f t="shared" si="122"/>
        <v>290.05339232330078</v>
      </c>
      <c r="CY186" s="59">
        <f ca="1">AVERAGE(OFFSET($CX$3,0,0,'Données projet'!$E$13+1,1))-AVERAGE(OFFSET($H$3,0,0,'Données projet'!$E$13+1,1))</f>
        <v>306.44760579759713</v>
      </c>
      <c r="CZ186" s="59">
        <f t="shared" si="150"/>
        <v>300.30192123221718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9.2507761928019185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9.2507761928019185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69.105470633627107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69.105470633627107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69.105470633627107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69.105470633627107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69.105470633627107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4.4000000000000004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16.133333333333336</v>
      </c>
      <c r="H187" s="67">
        <f t="shared" si="110"/>
        <v>192.13333333333333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69.120988718265622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1.1368683772161603E-13</v>
      </c>
      <c r="O187" s="13">
        <f>N187*VLOOKUP('Données projet'!$B$9,Paramètres!$A$1:$I$89,3,0)*VLOOKUP('Données projet'!$B$9,Paramètres!$A$1:$I$89,5,0)</f>
        <v>6.7984728957526396E-14</v>
      </c>
      <c r="P187" s="13">
        <f t="shared" si="141"/>
        <v>1.0682447123141398E-12</v>
      </c>
      <c r="Q187" s="20">
        <f t="shared" si="162"/>
        <v>1.978932943548152E-12</v>
      </c>
      <c r="R187" s="59">
        <f t="shared" si="109"/>
        <v>290.11029196697592</v>
      </c>
      <c r="S187" s="59">
        <f ca="1">AVERAGE(OFFSET($R$3,0,0,'Données projet'!$E$9+1,1))-AVERAGE(OFFSET($H$3,0,0,'Données projet'!$E$9+1,1))</f>
        <v>299.45724561493057</v>
      </c>
      <c r="T187" s="59">
        <f t="shared" si="142"/>
        <v>297.63369027443196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10.234372808167153</v>
      </c>
      <c r="AA187" s="21">
        <f>EXP(-LN(2)/25)*AA186+(1-EXP(-LN(2)/25))/(LN(2)/25)*Calculateur!V187*Calculateur!X187*VLOOKUP('Données projet'!$B$9,Paramètres!$A$1:$I$89,3,0)*0.475*44/12</f>
        <v>2.3457833311798053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12.580156139346958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69.120988718265622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3.4106051316484809E-13</v>
      </c>
      <c r="AJ187" s="13">
        <f>AI187*VLOOKUP('Données projet'!$B$10,Paramètres!$A$1:$I$89,3,0)*VLOOKUP('Données projet'!$B$10,Paramètres!$A$1:$I$89,5,0)</f>
        <v>1.9065282685915009E-13</v>
      </c>
      <c r="AK187" s="13">
        <f t="shared" si="164"/>
        <v>2.6568987209435707E-12</v>
      </c>
      <c r="AL187" s="20">
        <f t="shared" si="165"/>
        <v>4.959485612423072E-12</v>
      </c>
      <c r="AM187" s="59">
        <f t="shared" si="113"/>
        <v>290.11029196697888</v>
      </c>
      <c r="AN187" s="59">
        <f ca="1">AVERAGE(OFFSET($AM$3,0,0,'Données projet'!$E$10+1,1))-AVERAGE(OFFSET($H$3,0,0,'Données projet'!$E$10+1,1))</f>
        <v>363.98181065114898</v>
      </c>
      <c r="AO187" s="59">
        <f t="shared" si="144"/>
        <v>410.85213343666396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20.560167905086825</v>
      </c>
      <c r="AV187" s="21">
        <f>EXP(-LN(2)/25)*AV186+(1-EXP(-LN(2)/25))/(LN(2)/25)*Calculateur!AQ187*Calculateur!AS187*VLOOKUP('Données projet'!$B$10,Paramètres!$A$1:$I$89,3,0)*0.475*44/12</f>
        <v>4.2578167242499418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24.817984629336767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69.120988718265622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-9.9316821433603781E-14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433.6995276469014</v>
      </c>
      <c r="BJ187" s="59">
        <f t="shared" si="146"/>
        <v>306.37969720280557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19.076876887062124</v>
      </c>
      <c r="BQ187" s="21">
        <f>EXP(-LN(2)/25)*BQ186+(1-EXP(-LN(2)/25))/(LN(2)/25)*Calculateur!BL187*Calculateur!BN187*VLOOKUP('Données projet'!$B$11,Paramètres!$A$1:$I$89,3,0)*0.475*44/12</f>
        <v>4.0374834911266717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23.114360378188795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69.120988718265622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2.2737367544323206E-13</v>
      </c>
      <c r="BZ187" s="13">
        <f>BY187*VLOOKUP('Données projet'!$B$12,Paramètres!$A$1:$I$89,3,0)*VLOOKUP('Données projet'!$B$12,Paramètres!$A$1:$I$89,5,0)</f>
        <v>2.1991581888869406E-13</v>
      </c>
      <c r="CA187" s="13">
        <f t="shared" si="170"/>
        <v>3.0141848436827279E-12</v>
      </c>
      <c r="CB187" s="20">
        <f t="shared" si="171"/>
        <v>5.6327253206452266E-12</v>
      </c>
      <c r="CC187" s="59">
        <f t="shared" si="119"/>
        <v>290.11029196697956</v>
      </c>
      <c r="CD187" s="59">
        <f ca="1">AVERAGE(OFFSET($CC$3,0,0,'Données projet'!$E$12+1,1))-AVERAGE(OFFSET($H$3,0,0,'Données projet'!$E$12+1,1))</f>
        <v>455.95436253828132</v>
      </c>
      <c r="CE187" s="59">
        <f t="shared" si="148"/>
        <v>64.829921296688497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140.25679572518675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140.25679572518675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69.120988718265622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5.6843418860808015E-14</v>
      </c>
      <c r="CU187" s="17">
        <f>CT187*VLOOKUP('Données projet'!$B$13,Paramètres!$A$1:$I$89,3,0)*VLOOKUP('Données projet'!$B$13,Paramètres!$A$1:$I$89,5,0)</f>
        <v>4.4337866711430253E-14</v>
      </c>
      <c r="CV187" s="13">
        <f t="shared" si="173"/>
        <v>7.3222115536967035E-13</v>
      </c>
      <c r="CW187" s="20">
        <f t="shared" si="174"/>
        <v>1.3525069634579169E-12</v>
      </c>
      <c r="CX187" s="59">
        <f t="shared" si="122"/>
        <v>290.1102919669753</v>
      </c>
      <c r="CY187" s="59">
        <f ca="1">AVERAGE(OFFSET($CX$3,0,0,'Données projet'!$E$13+1,1))-AVERAGE(OFFSET($H$3,0,0,'Données projet'!$E$13+1,1))</f>
        <v>306.44760579759713</v>
      </c>
      <c r="CZ187" s="59">
        <f t="shared" si="150"/>
        <v>300.30192123221718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9.0693741140774087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9.0693741140774087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69.120988718265622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69.120988718265622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69.120988718265622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69.120988718265622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69.120988718265622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4.4000000000000004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16.133333333333336</v>
      </c>
      <c r="H188" s="67">
        <f t="shared" si="110"/>
        <v>192.13333333333333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69.136237598828899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1.1368683772161603E-13</v>
      </c>
      <c r="O188" s="13">
        <f>N188*VLOOKUP('Données projet'!$B$9,Paramètres!$A$1:$I$89,3,0)*VLOOKUP('Données projet'!$B$9,Paramètres!$A$1:$I$89,5,0)</f>
        <v>6.7984728957526396E-14</v>
      </c>
      <c r="P188" s="13">
        <f t="shared" si="141"/>
        <v>1.0682447123141398E-12</v>
      </c>
      <c r="Q188" s="20">
        <f t="shared" si="162"/>
        <v>1.978932943548152E-12</v>
      </c>
      <c r="R188" s="59">
        <f t="shared" si="109"/>
        <v>290.16620452904129</v>
      </c>
      <c r="S188" s="59">
        <f ca="1">AVERAGE(OFFSET($R$3,0,0,'Données projet'!$E$9+1,1))-AVERAGE(OFFSET($H$3,0,0,'Données projet'!$E$9+1,1))</f>
        <v>299.45724561493057</v>
      </c>
      <c r="T188" s="59">
        <f t="shared" si="142"/>
        <v>297.63369027443196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10.033682999750027</v>
      </c>
      <c r="AA188" s="21">
        <f>EXP(-LN(2)/25)*AA187+(1-EXP(-LN(2)/25))/(LN(2)/25)*Calculateur!V188*Calculateur!X188*VLOOKUP('Données projet'!$B$9,Paramètres!$A$1:$I$89,3,0)*0.475*44/12</f>
        <v>2.2816377626293094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12.315320762379336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69.136237598828899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3.4106051316484809E-13</v>
      </c>
      <c r="AJ188" s="13">
        <f>AI188*VLOOKUP('Données projet'!$B$10,Paramètres!$A$1:$I$89,3,0)*VLOOKUP('Données projet'!$B$10,Paramètres!$A$1:$I$89,5,0)</f>
        <v>1.9065282685915009E-13</v>
      </c>
      <c r="AK188" s="13">
        <f t="shared" si="164"/>
        <v>2.6568987209435707E-12</v>
      </c>
      <c r="AL188" s="20">
        <f t="shared" si="165"/>
        <v>4.959485612423072E-12</v>
      </c>
      <c r="AM188" s="59">
        <f t="shared" si="113"/>
        <v>290.16620452904425</v>
      </c>
      <c r="AN188" s="59">
        <f ca="1">AVERAGE(OFFSET($AM$3,0,0,'Données projet'!$E$10+1,1))-AVERAGE(OFFSET($H$3,0,0,'Données projet'!$E$10+1,1))</f>
        <v>363.98181065114898</v>
      </c>
      <c r="AO188" s="59">
        <f t="shared" si="144"/>
        <v>410.85213343666396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20.156995552932226</v>
      </c>
      <c r="AV188" s="21">
        <f>EXP(-LN(2)/25)*AV187+(1-EXP(-LN(2)/25))/(LN(2)/25)*Calculateur!AQ188*Calculateur!AS188*VLOOKUP('Données projet'!$B$10,Paramètres!$A$1:$I$89,3,0)*0.475*44/12</f>
        <v>4.1413865020164771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24.298382054948704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69.136237598828899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-9.9316821433603781E-14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433.6995276469014</v>
      </c>
      <c r="BJ188" s="59">
        <f t="shared" si="146"/>
        <v>306.37969720280557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18.702790967052803</v>
      </c>
      <c r="BQ188" s="21">
        <f>EXP(-LN(2)/25)*BQ187+(1-EXP(-LN(2)/25))/(LN(2)/25)*Calculateur!BL188*Calculateur!BN188*VLOOKUP('Données projet'!$B$11,Paramètres!$A$1:$I$89,3,0)*0.475*44/12</f>
        <v>3.9270782927397838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22.629869259792585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69.136237598828899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2.2737367544323206E-13</v>
      </c>
      <c r="BZ188" s="13">
        <f>BY188*VLOOKUP('Données projet'!$B$12,Paramètres!$A$1:$I$89,3,0)*VLOOKUP('Données projet'!$B$12,Paramètres!$A$1:$I$89,5,0)</f>
        <v>2.1991581888869406E-13</v>
      </c>
      <c r="CA188" s="13">
        <f t="shared" si="170"/>
        <v>3.0141848436827279E-12</v>
      </c>
      <c r="CB188" s="20">
        <f t="shared" si="171"/>
        <v>5.6327253206452266E-12</v>
      </c>
      <c r="CC188" s="59">
        <f t="shared" si="119"/>
        <v>290.16620452904493</v>
      </c>
      <c r="CD188" s="59">
        <f ca="1">AVERAGE(OFFSET($CC$3,0,0,'Données projet'!$E$12+1,1))-AVERAGE(OFFSET($H$3,0,0,'Données projet'!$E$12+1,1))</f>
        <v>455.95436253828132</v>
      </c>
      <c r="CE188" s="59">
        <f t="shared" si="148"/>
        <v>64.829921296688497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137.50644550921405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137.50644550921405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69.136237598828899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5.6843418860808015E-14</v>
      </c>
      <c r="CU188" s="17">
        <f>CT188*VLOOKUP('Données projet'!$B$13,Paramètres!$A$1:$I$89,3,0)*VLOOKUP('Données projet'!$B$13,Paramètres!$A$1:$I$89,5,0)</f>
        <v>4.4337866711430253E-14</v>
      </c>
      <c r="CV188" s="13">
        <f t="shared" si="173"/>
        <v>7.3222115536967035E-13</v>
      </c>
      <c r="CW188" s="20">
        <f t="shared" si="174"/>
        <v>1.3525069634579169E-12</v>
      </c>
      <c r="CX188" s="59">
        <f t="shared" si="122"/>
        <v>290.16620452904067</v>
      </c>
      <c r="CY188" s="59">
        <f ca="1">AVERAGE(OFFSET($CX$3,0,0,'Données projet'!$E$13+1,1))-AVERAGE(OFFSET($H$3,0,0,'Données projet'!$E$13+1,1))</f>
        <v>306.44760579759713</v>
      </c>
      <c r="CZ188" s="59">
        <f t="shared" si="150"/>
        <v>300.30192123221718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8.8915292194723428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8.8915292194723428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69.136237598828899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69.136237598828899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69.136237598828899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69.136237598828899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69.136237598828899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4.4000000000000004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16.133333333333336</v>
      </c>
      <c r="H189" s="67">
        <f t="shared" si="110"/>
        <v>192.13333333333333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69.15122194540578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1.1368683772161603E-13</v>
      </c>
      <c r="O189" s="13">
        <f>N189*VLOOKUP('Données projet'!$B$9,Paramètres!$A$1:$I$89,3,0)*VLOOKUP('Données projet'!$B$9,Paramètres!$A$1:$I$89,5,0)</f>
        <v>6.7984728957526396E-14</v>
      </c>
      <c r="P189" s="13">
        <f t="shared" si="141"/>
        <v>1.0682447123141398E-12</v>
      </c>
      <c r="Q189" s="20">
        <f t="shared" si="162"/>
        <v>1.978932943548152E-12</v>
      </c>
      <c r="R189" s="59">
        <f t="shared" si="109"/>
        <v>290.22114713315653</v>
      </c>
      <c r="S189" s="59">
        <f ca="1">AVERAGE(OFFSET($R$3,0,0,'Données projet'!$E$9+1,1))-AVERAGE(OFFSET($H$3,0,0,'Données projet'!$E$9+1,1))</f>
        <v>299.45724561493057</v>
      </c>
      <c r="T189" s="59">
        <f t="shared" si="142"/>
        <v>297.63369027443196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9.8369285960672652</v>
      </c>
      <c r="AA189" s="21">
        <f>EXP(-LN(2)/25)*AA188+(1-EXP(-LN(2)/25))/(LN(2)/25)*Calculateur!V189*Calculateur!X189*VLOOKUP('Données projet'!$B$9,Paramètres!$A$1:$I$89,3,0)*0.475*44/12</f>
        <v>2.2192462580240959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12.056174854091362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69.15122194540578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3.4106051316484809E-13</v>
      </c>
      <c r="AJ189" s="13">
        <f>AI189*VLOOKUP('Données projet'!$B$10,Paramètres!$A$1:$I$89,3,0)*VLOOKUP('Données projet'!$B$10,Paramètres!$A$1:$I$89,5,0)</f>
        <v>1.9065282685915009E-13</v>
      </c>
      <c r="AK189" s="13">
        <f t="shared" si="164"/>
        <v>2.6568987209435707E-12</v>
      </c>
      <c r="AL189" s="20">
        <f t="shared" si="165"/>
        <v>4.959485612423072E-12</v>
      </c>
      <c r="AM189" s="59">
        <f t="shared" si="113"/>
        <v>290.22114713315949</v>
      </c>
      <c r="AN189" s="59">
        <f ca="1">AVERAGE(OFFSET($AM$3,0,0,'Données projet'!$E$10+1,1))-AVERAGE(OFFSET($H$3,0,0,'Données projet'!$E$10+1,1))</f>
        <v>363.98181065114898</v>
      </c>
      <c r="AO189" s="59">
        <f t="shared" si="144"/>
        <v>410.85213343666396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19.761729164692525</v>
      </c>
      <c r="AV189" s="21">
        <f>EXP(-LN(2)/25)*AV188+(1-EXP(-LN(2)/25))/(LN(2)/25)*Calculateur!AQ189*Calculateur!AS189*VLOOKUP('Données projet'!$B$10,Paramètres!$A$1:$I$89,3,0)*0.475*44/12</f>
        <v>4.0281400703327854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23.789869235025311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69.15122194540578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-9.9316821433603781E-14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433.6995276469014</v>
      </c>
      <c r="BJ189" s="59">
        <f t="shared" si="146"/>
        <v>306.37969720280557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18.336040643764981</v>
      </c>
      <c r="BQ189" s="21">
        <f>EXP(-LN(2)/25)*BQ188+(1-EXP(-LN(2)/25))/(LN(2)/25)*Calculateur!BL189*Calculateur!BN189*VLOOKUP('Données projet'!$B$11,Paramètres!$A$1:$I$89,3,0)*0.475*44/12</f>
        <v>3.8196921303087423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22.155732774073723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69.15122194540578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2.2737367544323206E-13</v>
      </c>
      <c r="BZ189" s="13">
        <f>BY189*VLOOKUP('Données projet'!$B$12,Paramètres!$A$1:$I$89,3,0)*VLOOKUP('Données projet'!$B$12,Paramètres!$A$1:$I$89,5,0)</f>
        <v>2.1991581888869406E-13</v>
      </c>
      <c r="CA189" s="13">
        <f t="shared" si="170"/>
        <v>3.0141848436827279E-12</v>
      </c>
      <c r="CB189" s="20">
        <f t="shared" si="171"/>
        <v>5.6327253206452266E-12</v>
      </c>
      <c r="CC189" s="59">
        <f t="shared" si="119"/>
        <v>290.22114713316017</v>
      </c>
      <c r="CD189" s="59">
        <f ca="1">AVERAGE(OFFSET($CC$3,0,0,'Données projet'!$E$12+1,1))-AVERAGE(OFFSET($H$3,0,0,'Données projet'!$E$12+1,1))</f>
        <v>455.95436253828132</v>
      </c>
      <c r="CE189" s="59">
        <f t="shared" si="148"/>
        <v>64.829921296688497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134.81002798342857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134.81002798342857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69.15122194540578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5.6843418860808015E-14</v>
      </c>
      <c r="CU189" s="17">
        <f>CT189*VLOOKUP('Données projet'!$B$13,Paramètres!$A$1:$I$89,3,0)*VLOOKUP('Données projet'!$B$13,Paramètres!$A$1:$I$89,5,0)</f>
        <v>4.4337866711430253E-14</v>
      </c>
      <c r="CV189" s="13">
        <f t="shared" si="173"/>
        <v>7.3222115536967035E-13</v>
      </c>
      <c r="CW189" s="20">
        <f t="shared" si="174"/>
        <v>1.3525069634579169E-12</v>
      </c>
      <c r="CX189" s="59">
        <f t="shared" si="122"/>
        <v>290.22114713315591</v>
      </c>
      <c r="CY189" s="59">
        <f ca="1">AVERAGE(OFFSET($CX$3,0,0,'Données projet'!$E$13+1,1))-AVERAGE(OFFSET($H$3,0,0,'Données projet'!$E$13+1,1))</f>
        <v>306.44760579759713</v>
      </c>
      <c r="CZ189" s="59">
        <f t="shared" si="150"/>
        <v>300.30192123221718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8.7171717547758085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8.7171717547758085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69.15122194540578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69.15122194540578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69.15122194540578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69.15122194540578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69.15122194540578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4.4000000000000004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16.133333333333336</v>
      </c>
      <c r="H190" s="67">
        <f t="shared" si="110"/>
        <v>192.13333333333333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69.165946347069536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1.1368683772161603E-13</v>
      </c>
      <c r="O190" s="13">
        <f>N190*VLOOKUP('Données projet'!$B$9,Paramètres!$A$1:$I$89,3,0)*VLOOKUP('Données projet'!$B$9,Paramètres!$A$1:$I$89,5,0)</f>
        <v>6.7984728957526396E-14</v>
      </c>
      <c r="P190" s="13">
        <f t="shared" si="141"/>
        <v>1.0682447123141398E-12</v>
      </c>
      <c r="Q190" s="20">
        <f t="shared" si="162"/>
        <v>1.978932943548152E-12</v>
      </c>
      <c r="R190" s="59">
        <f t="shared" si="109"/>
        <v>290.27513660592365</v>
      </c>
      <c r="S190" s="59">
        <f ca="1">AVERAGE(OFFSET($R$3,0,0,'Données projet'!$E$9+1,1))-AVERAGE(OFFSET($H$3,0,0,'Données projet'!$E$9+1,1))</f>
        <v>299.45724561493057</v>
      </c>
      <c r="T190" s="59">
        <f t="shared" si="142"/>
        <v>297.63369027443196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9.6440324262323855</v>
      </c>
      <c r="AA190" s="21">
        <f>EXP(-LN(2)/25)*AA189+(1-EXP(-LN(2)/25))/(LN(2)/25)*Calculateur!V190*Calculateur!X190*VLOOKUP('Données projet'!$B$9,Paramètres!$A$1:$I$89,3,0)*0.475*44/12</f>
        <v>2.1585608523933386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11.802593278625725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69.165946347069536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3.4106051316484809E-13</v>
      </c>
      <c r="AJ190" s="13">
        <f>AI190*VLOOKUP('Données projet'!$B$10,Paramètres!$A$1:$I$89,3,0)*VLOOKUP('Données projet'!$B$10,Paramètres!$A$1:$I$89,5,0)</f>
        <v>1.9065282685915009E-13</v>
      </c>
      <c r="AK190" s="13">
        <f t="shared" si="164"/>
        <v>2.6568987209435707E-12</v>
      </c>
      <c r="AL190" s="20">
        <f t="shared" si="165"/>
        <v>4.959485612423072E-12</v>
      </c>
      <c r="AM190" s="59">
        <f t="shared" si="113"/>
        <v>290.2751366059266</v>
      </c>
      <c r="AN190" s="59">
        <f ca="1">AVERAGE(OFFSET($AM$3,0,0,'Données projet'!$E$10+1,1))-AVERAGE(OFFSET($H$3,0,0,'Données projet'!$E$10+1,1))</f>
        <v>363.98181065114898</v>
      </c>
      <c r="AO190" s="59">
        <f t="shared" si="144"/>
        <v>410.85213343666396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19.374213709237516</v>
      </c>
      <c r="AV190" s="21">
        <f>EXP(-LN(2)/25)*AV189+(1-EXP(-LN(2)/25))/(LN(2)/25)*Calculateur!AQ190*Calculateur!AS190*VLOOKUP('Données projet'!$B$10,Paramètres!$A$1:$I$89,3,0)*0.475*44/12</f>
        <v>3.9179903682788555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23.29220407751637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69.165946347069536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-9.9316821433603781E-14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433.6995276469014</v>
      </c>
      <c r="BJ190" s="59">
        <f t="shared" si="146"/>
        <v>306.37969720280557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17.976482070621227</v>
      </c>
      <c r="BQ190" s="21">
        <f>EXP(-LN(2)/25)*BQ189+(1-EXP(-LN(2)/25))/(LN(2)/25)*Calculateur!BL190*Calculateur!BN190*VLOOKUP('Données projet'!$B$11,Paramètres!$A$1:$I$89,3,0)*0.475*44/12</f>
        <v>3.7152424481365705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21.691724518757798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69.165946347069536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2.2737367544323206E-13</v>
      </c>
      <c r="BZ190" s="13">
        <f>BY190*VLOOKUP('Données projet'!$B$12,Paramètres!$A$1:$I$89,3,0)*VLOOKUP('Données projet'!$B$12,Paramètres!$A$1:$I$89,5,0)</f>
        <v>2.1991581888869406E-13</v>
      </c>
      <c r="CA190" s="13">
        <f t="shared" si="170"/>
        <v>3.0141848436827279E-12</v>
      </c>
      <c r="CB190" s="20">
        <f t="shared" si="171"/>
        <v>5.6327253206452266E-12</v>
      </c>
      <c r="CC190" s="59">
        <f t="shared" si="119"/>
        <v>290.27513660592729</v>
      </c>
      <c r="CD190" s="59">
        <f ca="1">AVERAGE(OFFSET($CC$3,0,0,'Données projet'!$E$12+1,1))-AVERAGE(OFFSET($H$3,0,0,'Données projet'!$E$12+1,1))</f>
        <v>455.95436253828132</v>
      </c>
      <c r="CE190" s="59">
        <f t="shared" si="148"/>
        <v>64.829921296688497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132.16648556067148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132.16648556067148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69.165946347069536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5.6843418860808015E-14</v>
      </c>
      <c r="CU190" s="17">
        <f>CT190*VLOOKUP('Données projet'!$B$13,Paramètres!$A$1:$I$89,3,0)*VLOOKUP('Données projet'!$B$13,Paramètres!$A$1:$I$89,5,0)</f>
        <v>4.4337866711430253E-14</v>
      </c>
      <c r="CV190" s="13">
        <f t="shared" si="173"/>
        <v>7.3222115536967035E-13</v>
      </c>
      <c r="CW190" s="20">
        <f t="shared" si="174"/>
        <v>1.3525069634579169E-12</v>
      </c>
      <c r="CX190" s="59">
        <f t="shared" si="122"/>
        <v>290.27513660592302</v>
      </c>
      <c r="CY190" s="59">
        <f ca="1">AVERAGE(OFFSET($CX$3,0,0,'Données projet'!$E$13+1,1))-AVERAGE(OFFSET($H$3,0,0,'Données projet'!$E$13+1,1))</f>
        <v>306.44760579759713</v>
      </c>
      <c r="CZ190" s="59">
        <f t="shared" si="150"/>
        <v>300.30192123221718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8.5462333336144205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8.5462333336144205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69.165946347069536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69.165946347069536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69.165946347069536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69.165946347069536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69.165946347069536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4.4000000000000004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16.133333333333336</v>
      </c>
      <c r="H191" s="67">
        <f t="shared" si="110"/>
        <v>192.13333333333333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69.180415313283262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1.1368683772161603E-13</v>
      </c>
      <c r="O191" s="13">
        <f>N191*VLOOKUP('Données projet'!$B$9,Paramètres!$A$1:$I$89,3,0)*VLOOKUP('Données projet'!$B$9,Paramètres!$A$1:$I$89,5,0)</f>
        <v>6.7984728957526396E-14</v>
      </c>
      <c r="P191" s="13">
        <f t="shared" si="141"/>
        <v>1.0682447123141398E-12</v>
      </c>
      <c r="Q191" s="20">
        <f t="shared" si="162"/>
        <v>1.978932943548152E-12</v>
      </c>
      <c r="R191" s="59">
        <f t="shared" si="109"/>
        <v>290.32818948204061</v>
      </c>
      <c r="S191" s="59">
        <f ca="1">AVERAGE(OFFSET($R$3,0,0,'Données projet'!$E$9+1,1))-AVERAGE(OFFSET($H$3,0,0,'Données projet'!$E$9+1,1))</f>
        <v>299.45724561493057</v>
      </c>
      <c r="T191" s="59">
        <f t="shared" si="142"/>
        <v>297.63369027443196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9.4549188326329219</v>
      </c>
      <c r="AA191" s="21">
        <f>EXP(-LN(2)/25)*AA190+(1-EXP(-LN(2)/25))/(LN(2)/25)*Calculateur!V191*Calculateur!X191*VLOOKUP('Données projet'!$B$9,Paramètres!$A$1:$I$89,3,0)*0.475*44/12</f>
        <v>2.099534892370861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11.554453725003782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69.180415313283262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3.4106051316484809E-13</v>
      </c>
      <c r="AJ191" s="13">
        <f>AI191*VLOOKUP('Données projet'!$B$10,Paramètres!$A$1:$I$89,3,0)*VLOOKUP('Données projet'!$B$10,Paramètres!$A$1:$I$89,5,0)</f>
        <v>1.9065282685915009E-13</v>
      </c>
      <c r="AK191" s="13">
        <f t="shared" si="164"/>
        <v>2.6568987209435707E-12</v>
      </c>
      <c r="AL191" s="20">
        <f t="shared" si="165"/>
        <v>4.959485612423072E-12</v>
      </c>
      <c r="AM191" s="59">
        <f t="shared" si="113"/>
        <v>290.32818948204357</v>
      </c>
      <c r="AN191" s="59">
        <f ca="1">AVERAGE(OFFSET($AM$3,0,0,'Données projet'!$E$10+1,1))-AVERAGE(OFFSET($H$3,0,0,'Données projet'!$E$10+1,1))</f>
        <v>363.98181065114898</v>
      </c>
      <c r="AO191" s="59">
        <f t="shared" si="144"/>
        <v>410.85213343666396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18.994297195502888</v>
      </c>
      <c r="AV191" s="21">
        <f>EXP(-LN(2)/25)*AV190+(1-EXP(-LN(2)/25))/(LN(2)/25)*Calculateur!AQ191*Calculateur!AS191*VLOOKUP('Données projet'!$B$10,Paramètres!$A$1:$I$89,3,0)*0.475*44/12</f>
        <v>3.8108527156201113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22.805149911122999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69.180415313283262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-9.9316821433603781E-14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433.6995276469014</v>
      </c>
      <c r="BJ191" s="59">
        <f t="shared" si="146"/>
        <v>306.37969720280557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17.623974221787748</v>
      </c>
      <c r="BQ191" s="21">
        <f>EXP(-LN(2)/25)*BQ190+(1-EXP(-LN(2)/25))/(LN(2)/25)*Calculateur!BL191*Calculateur!BN191*VLOOKUP('Données projet'!$B$11,Paramètres!$A$1:$I$89,3,0)*0.475*44/12</f>
        <v>3.6136489480161669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21.237623169803914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69.180415313283262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2.2737367544323206E-13</v>
      </c>
      <c r="BZ191" s="13">
        <f>BY191*VLOOKUP('Données projet'!$B$12,Paramètres!$A$1:$I$89,3,0)*VLOOKUP('Données projet'!$B$12,Paramètres!$A$1:$I$89,5,0)</f>
        <v>2.1991581888869406E-13</v>
      </c>
      <c r="CA191" s="13">
        <f t="shared" si="170"/>
        <v>3.0141848436827279E-12</v>
      </c>
      <c r="CB191" s="20">
        <f t="shared" si="171"/>
        <v>5.6327253206452266E-12</v>
      </c>
      <c r="CC191" s="59">
        <f t="shared" si="119"/>
        <v>290.32818948204425</v>
      </c>
      <c r="CD191" s="59">
        <f ca="1">AVERAGE(OFFSET($CC$3,0,0,'Données projet'!$E$12+1,1))-AVERAGE(OFFSET($H$3,0,0,'Données projet'!$E$12+1,1))</f>
        <v>455.95436253828132</v>
      </c>
      <c r="CE191" s="59">
        <f t="shared" si="148"/>
        <v>64.829921296688497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129.57478139242298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129.57478139242298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69.180415313283262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5.6843418860808015E-14</v>
      </c>
      <c r="CU191" s="17">
        <f>CT191*VLOOKUP('Données projet'!$B$13,Paramètres!$A$1:$I$89,3,0)*VLOOKUP('Données projet'!$B$13,Paramètres!$A$1:$I$89,5,0)</f>
        <v>4.4337866711430253E-14</v>
      </c>
      <c r="CV191" s="13">
        <f t="shared" si="173"/>
        <v>7.3222115536967035E-13</v>
      </c>
      <c r="CW191" s="20">
        <f t="shared" si="174"/>
        <v>1.3525069634579169E-12</v>
      </c>
      <c r="CX191" s="59">
        <f t="shared" si="122"/>
        <v>290.32818948203999</v>
      </c>
      <c r="CY191" s="59">
        <f ca="1">AVERAGE(OFFSET($CX$3,0,0,'Données projet'!$E$13+1,1))-AVERAGE(OFFSET($H$3,0,0,'Données projet'!$E$13+1,1))</f>
        <v>306.44760579759713</v>
      </c>
      <c r="CZ191" s="59">
        <f t="shared" si="150"/>
        <v>300.30192123221718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8.3786469106298647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8.3786469106298647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69.180415313283262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69.180415313283262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69.180415313283262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69.180415313283262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69.180415313283262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4.4000000000000004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16.133333333333336</v>
      </c>
      <c r="H192" s="67">
        <f t="shared" si="110"/>
        <v>192.13333333333333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69.194633275280935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1.1368683772161603E-13</v>
      </c>
      <c r="O192" s="13">
        <f>N192*VLOOKUP('Données projet'!$B$9,Paramètres!$A$1:$I$89,3,0)*VLOOKUP('Données projet'!$B$9,Paramètres!$A$1:$I$89,5,0)</f>
        <v>6.7984728957526396E-14</v>
      </c>
      <c r="P192" s="13">
        <f t="shared" si="141"/>
        <v>1.0682447123141398E-12</v>
      </c>
      <c r="Q192" s="20">
        <f t="shared" si="162"/>
        <v>1.978932943548152E-12</v>
      </c>
      <c r="R192" s="59">
        <f t="shared" si="109"/>
        <v>290.38032200936539</v>
      </c>
      <c r="S192" s="59">
        <f ca="1">AVERAGE(OFFSET($R$3,0,0,'Données projet'!$E$9+1,1))-AVERAGE(OFFSET($H$3,0,0,'Données projet'!$E$9+1,1))</f>
        <v>299.45724561493057</v>
      </c>
      <c r="T192" s="59">
        <f t="shared" si="142"/>
        <v>297.63369027443196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9.2695136412560402</v>
      </c>
      <c r="AA192" s="21">
        <f>EXP(-LN(2)/25)*AA191+(1-EXP(-LN(2)/25))/(LN(2)/25)*Calculateur!V192*Calculateur!X192*VLOOKUP('Données projet'!$B$9,Paramètres!$A$1:$I$89,3,0)*0.475*44/12</f>
        <v>2.0421230003292385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11.311636641585279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69.194633275280935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3.4106051316484809E-13</v>
      </c>
      <c r="AJ192" s="13">
        <f>AI192*VLOOKUP('Données projet'!$B$10,Paramètres!$A$1:$I$89,3,0)*VLOOKUP('Données projet'!$B$10,Paramètres!$A$1:$I$89,5,0)</f>
        <v>1.9065282685915009E-13</v>
      </c>
      <c r="AK192" s="13">
        <f t="shared" si="164"/>
        <v>2.6568987209435707E-12</v>
      </c>
      <c r="AL192" s="20">
        <f t="shared" si="165"/>
        <v>4.959485612423072E-12</v>
      </c>
      <c r="AM192" s="59">
        <f t="shared" si="113"/>
        <v>290.38032200936834</v>
      </c>
      <c r="AN192" s="59">
        <f ca="1">AVERAGE(OFFSET($AM$3,0,0,'Données projet'!$E$10+1,1))-AVERAGE(OFFSET($H$3,0,0,'Données projet'!$E$10+1,1))</f>
        <v>363.98181065114898</v>
      </c>
      <c r="AO192" s="59">
        <f t="shared" si="144"/>
        <v>410.85213343666396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18.621830612876405</v>
      </c>
      <c r="AV192" s="21">
        <f>EXP(-LN(2)/25)*AV191+(1-EXP(-LN(2)/25))/(LN(2)/25)*Calculateur!AQ192*Calculateur!AS192*VLOOKUP('Données projet'!$B$10,Paramètres!$A$1:$I$89,3,0)*0.475*44/12</f>
        <v>3.7066447477074447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22.328475360583848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69.194633275280935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-9.9316821433603781E-14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433.6995276469014</v>
      </c>
      <c r="BJ192" s="59">
        <f t="shared" si="146"/>
        <v>306.37969720280557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17.278378836861336</v>
      </c>
      <c r="BQ192" s="21">
        <f>EXP(-LN(2)/25)*BQ191+(1-EXP(-LN(2)/25))/(LN(2)/25)*Calculateur!BL192*Calculateur!BN192*VLOOKUP('Données projet'!$B$11,Paramètres!$A$1:$I$89,3,0)*0.475*44/12</f>
        <v>3.5148335274991256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20.79321236436046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69.194633275280935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2.2737367544323206E-13</v>
      </c>
      <c r="BZ192" s="13">
        <f>BY192*VLOOKUP('Données projet'!$B$12,Paramètres!$A$1:$I$89,3,0)*VLOOKUP('Données projet'!$B$12,Paramètres!$A$1:$I$89,5,0)</f>
        <v>2.1991581888869406E-13</v>
      </c>
      <c r="CA192" s="13">
        <f t="shared" si="170"/>
        <v>3.0141848436827279E-12</v>
      </c>
      <c r="CB192" s="20">
        <f t="shared" si="171"/>
        <v>5.6327253206452266E-12</v>
      </c>
      <c r="CC192" s="59">
        <f t="shared" si="119"/>
        <v>290.38032200936902</v>
      </c>
      <c r="CD192" s="59">
        <f ca="1">AVERAGE(OFFSET($CC$3,0,0,'Données projet'!$E$12+1,1))-AVERAGE(OFFSET($H$3,0,0,'Données projet'!$E$12+1,1))</f>
        <v>455.95436253828132</v>
      </c>
      <c r="CE192" s="59">
        <f t="shared" si="148"/>
        <v>64.829921296688497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127.03389896213037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127.03389896213037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69.194633275280935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5.6843418860808015E-14</v>
      </c>
      <c r="CU192" s="17">
        <f>CT192*VLOOKUP('Données projet'!$B$13,Paramètres!$A$1:$I$89,3,0)*VLOOKUP('Données projet'!$B$13,Paramètres!$A$1:$I$89,5,0)</f>
        <v>4.4337866711430253E-14</v>
      </c>
      <c r="CV192" s="13">
        <f t="shared" si="173"/>
        <v>7.3222115536967035E-13</v>
      </c>
      <c r="CW192" s="20">
        <f t="shared" si="174"/>
        <v>1.3525069634579169E-12</v>
      </c>
      <c r="CX192" s="59">
        <f t="shared" si="122"/>
        <v>290.38032200936476</v>
      </c>
      <c r="CY192" s="59">
        <f ca="1">AVERAGE(OFFSET($CX$3,0,0,'Données projet'!$E$13+1,1))-AVERAGE(OFFSET($H$3,0,0,'Données projet'!$E$13+1,1))</f>
        <v>306.44760579759713</v>
      </c>
      <c r="CZ192" s="59">
        <f t="shared" si="150"/>
        <v>300.30192123221718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8.2143467551824116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8.2143467551824116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69.194633275280935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69.194633275280935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69.194633275280935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69.194633275280935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69.194633275280935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4.4000000000000004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16.133333333333336</v>
      </c>
      <c r="H193" s="67">
        <f t="shared" si="110"/>
        <v>192.13333333333333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69.208604587424546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1.1368683772161603E-13</v>
      </c>
      <c r="O193" s="13">
        <f>N193*VLOOKUP('Données projet'!$B$9,Paramètres!$A$1:$I$89,3,0)*VLOOKUP('Données projet'!$B$9,Paramètres!$A$1:$I$89,5,0)</f>
        <v>6.7984728957526396E-14</v>
      </c>
      <c r="P193" s="13">
        <f t="shared" si="141"/>
        <v>1.0682447123141398E-12</v>
      </c>
      <c r="Q193" s="20">
        <f t="shared" si="162"/>
        <v>1.978932943548152E-12</v>
      </c>
      <c r="R193" s="59">
        <f t="shared" si="109"/>
        <v>290.43155015389198</v>
      </c>
      <c r="S193" s="59">
        <f ca="1">AVERAGE(OFFSET($R$3,0,0,'Données projet'!$E$9+1,1))-AVERAGE(OFFSET($H$3,0,0,'Données projet'!$E$9+1,1))</f>
        <v>299.45724561493057</v>
      </c>
      <c r="T193" s="59">
        <f t="shared" si="142"/>
        <v>297.63369027443196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9.0877441325960593</v>
      </c>
      <c r="AA193" s="21">
        <f>EXP(-LN(2)/25)*AA192+(1-EXP(-LN(2)/25))/(LN(2)/25)*Calculateur!V193*Calculateur!X193*VLOOKUP('Données projet'!$B$9,Paramètres!$A$1:$I$89,3,0)*0.475*44/12</f>
        <v>1.9862810394946542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11.074025172090714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69.208604587424546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3.4106051316484809E-13</v>
      </c>
      <c r="AJ193" s="13">
        <f>AI193*VLOOKUP('Données projet'!$B$10,Paramètres!$A$1:$I$89,3,0)*VLOOKUP('Données projet'!$B$10,Paramètres!$A$1:$I$89,5,0)</f>
        <v>1.9065282685915009E-13</v>
      </c>
      <c r="AK193" s="13">
        <f t="shared" si="164"/>
        <v>2.6568987209435707E-12</v>
      </c>
      <c r="AL193" s="20">
        <f t="shared" si="165"/>
        <v>4.959485612423072E-12</v>
      </c>
      <c r="AM193" s="59">
        <f t="shared" si="113"/>
        <v>290.43155015389493</v>
      </c>
      <c r="AN193" s="59">
        <f ca="1">AVERAGE(OFFSET($AM$3,0,0,'Données projet'!$E$10+1,1))-AVERAGE(OFFSET($H$3,0,0,'Données projet'!$E$10+1,1))</f>
        <v>363.98181065114898</v>
      </c>
      <c r="AO193" s="59">
        <f t="shared" si="144"/>
        <v>410.85213343666396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18.256667872753045</v>
      </c>
      <c r="AV193" s="21">
        <f>EXP(-LN(2)/25)*AV192+(1-EXP(-LN(2)/25))/(LN(2)/25)*Calculateur!AQ193*Calculateur!AS193*VLOOKUP('Données projet'!$B$10,Paramètres!$A$1:$I$89,3,0)*0.475*44/12</f>
        <v>3.605286352157409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21.861954224910455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69.208604587424546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-9.9316821433603781E-14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433.6995276469014</v>
      </c>
      <c r="BJ193" s="59">
        <f t="shared" si="146"/>
        <v>306.37969720280557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16.939560366640958</v>
      </c>
      <c r="BQ193" s="21">
        <f>EXP(-LN(2)/25)*BQ192+(1-EXP(-LN(2)/25))/(LN(2)/25)*Calculateur!BL193*Calculateur!BN193*VLOOKUP('Données projet'!$B$11,Paramètres!$A$1:$I$89,3,0)*0.475*44/12</f>
        <v>3.4187202198526001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20.358280586493557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69.208604587424546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2.2737367544323206E-13</v>
      </c>
      <c r="BZ193" s="13">
        <f>BY193*VLOOKUP('Données projet'!$B$12,Paramètres!$A$1:$I$89,3,0)*VLOOKUP('Données projet'!$B$12,Paramètres!$A$1:$I$89,5,0)</f>
        <v>2.1991581888869406E-13</v>
      </c>
      <c r="CA193" s="13">
        <f t="shared" si="170"/>
        <v>3.0141848436827279E-12</v>
      </c>
      <c r="CB193" s="20">
        <f t="shared" si="171"/>
        <v>5.6327253206452266E-12</v>
      </c>
      <c r="CC193" s="59">
        <f t="shared" si="119"/>
        <v>290.43155015389561</v>
      </c>
      <c r="CD193" s="59">
        <f ca="1">AVERAGE(OFFSET($CC$3,0,0,'Données projet'!$E$12+1,1))-AVERAGE(OFFSET($H$3,0,0,'Données projet'!$E$12+1,1))</f>
        <v>455.95436253828132</v>
      </c>
      <c r="CE193" s="59">
        <f t="shared" si="148"/>
        <v>64.829921296688497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124.54284168651054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124.54284168651054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69.208604587424546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5.6843418860808015E-14</v>
      </c>
      <c r="CU193" s="17">
        <f>CT193*VLOOKUP('Données projet'!$B$13,Paramètres!$A$1:$I$89,3,0)*VLOOKUP('Données projet'!$B$13,Paramètres!$A$1:$I$89,5,0)</f>
        <v>4.4337866711430253E-14</v>
      </c>
      <c r="CV193" s="13">
        <f t="shared" si="173"/>
        <v>7.3222115536967035E-13</v>
      </c>
      <c r="CW193" s="20">
        <f t="shared" si="174"/>
        <v>1.3525069634579169E-12</v>
      </c>
      <c r="CX193" s="59">
        <f t="shared" si="122"/>
        <v>290.43155015389135</v>
      </c>
      <c r="CY193" s="59">
        <f ca="1">AVERAGE(OFFSET($CX$3,0,0,'Données projet'!$E$13+1,1))-AVERAGE(OFFSET($H$3,0,0,'Données projet'!$E$13+1,1))</f>
        <v>306.44760579759713</v>
      </c>
      <c r="CZ193" s="59">
        <f t="shared" si="150"/>
        <v>300.30192123221718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8.0532684255700833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8.0532684255700833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69.208604587424546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69.208604587424546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69.208604587424546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69.208604587424546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69.208604587424546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4.4000000000000004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16.133333333333336</v>
      </c>
      <c r="H194" s="67">
        <f t="shared" si="110"/>
        <v>192.13333333333333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69.222333528537646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1.1368683772161603E-13</v>
      </c>
      <c r="O194" s="13">
        <f>N194*VLOOKUP('Données projet'!$B$9,Paramètres!$A$1:$I$89,3,0)*VLOOKUP('Données projet'!$B$9,Paramètres!$A$1:$I$89,5,0)</f>
        <v>6.7984728957526396E-14</v>
      </c>
      <c r="P194" s="13">
        <f t="shared" si="141"/>
        <v>1.0682447123141398E-12</v>
      </c>
      <c r="Q194" s="20">
        <f t="shared" si="162"/>
        <v>1.978932943548152E-12</v>
      </c>
      <c r="R194" s="59">
        <f t="shared" si="109"/>
        <v>290.48188960464006</v>
      </c>
      <c r="S194" s="59">
        <f ca="1">AVERAGE(OFFSET($R$3,0,0,'Données projet'!$E$9+1,1))-AVERAGE(OFFSET($H$3,0,0,'Données projet'!$E$9+1,1))</f>
        <v>299.45724561493057</v>
      </c>
      <c r="T194" s="59">
        <f t="shared" si="142"/>
        <v>297.63369027443196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8.9095390131324486</v>
      </c>
      <c r="AA194" s="21">
        <f>EXP(-LN(2)/25)*AA193+(1-EXP(-LN(2)/25))/(LN(2)/25)*Calculateur!V194*Calculateur!X194*VLOOKUP('Données projet'!$B$9,Paramètres!$A$1:$I$89,3,0)*0.475*44/12</f>
        <v>1.9319660800156926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10.841505093148141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69.222333528537646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3.4106051316484809E-13</v>
      </c>
      <c r="AJ194" s="13">
        <f>AI194*VLOOKUP('Données projet'!$B$10,Paramètres!$A$1:$I$89,3,0)*VLOOKUP('Données projet'!$B$10,Paramètres!$A$1:$I$89,5,0)</f>
        <v>1.9065282685915009E-13</v>
      </c>
      <c r="AK194" s="13">
        <f t="shared" si="164"/>
        <v>2.6568987209435707E-12</v>
      </c>
      <c r="AL194" s="20">
        <f t="shared" si="165"/>
        <v>4.959485612423072E-12</v>
      </c>
      <c r="AM194" s="59">
        <f t="shared" si="113"/>
        <v>290.48188960464302</v>
      </c>
      <c r="AN194" s="59">
        <f ca="1">AVERAGE(OFFSET($AM$3,0,0,'Données projet'!$E$10+1,1))-AVERAGE(OFFSET($H$3,0,0,'Données projet'!$E$10+1,1))</f>
        <v>363.98181065114898</v>
      </c>
      <c r="AO194" s="59">
        <f t="shared" si="144"/>
        <v>410.85213343666396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17.898665751236223</v>
      </c>
      <c r="AV194" s="21">
        <f>EXP(-LN(2)/25)*AV193+(1-EXP(-LN(2)/25))/(LN(2)/25)*Calculateur!AQ194*Calculateur!AS194*VLOOKUP('Données projet'!$B$10,Paramètres!$A$1:$I$89,3,0)*0.475*44/12</f>
        <v>3.5066996072638954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21.40536535850012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69.222333528537646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-9.9316821433603781E-14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433.6995276469014</v>
      </c>
      <c r="BJ194" s="59">
        <f t="shared" si="146"/>
        <v>306.37969720280557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16.607385919962741</v>
      </c>
      <c r="BQ194" s="21">
        <f>EXP(-LN(2)/25)*BQ193+(1-EXP(-LN(2)/25))/(LN(2)/25)*Calculateur!BL194*Calculateur!BN194*VLOOKUP('Données projet'!$B$11,Paramètres!$A$1:$I$89,3,0)*0.475*44/12</f>
        <v>3.3252351356580481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19.932621055620789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69.222333528537646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2.2737367544323206E-13</v>
      </c>
      <c r="BZ194" s="13">
        <f>BY194*VLOOKUP('Données projet'!$B$12,Paramètres!$A$1:$I$89,3,0)*VLOOKUP('Données projet'!$B$12,Paramètres!$A$1:$I$89,5,0)</f>
        <v>2.1991581888869406E-13</v>
      </c>
      <c r="CA194" s="13">
        <f t="shared" si="170"/>
        <v>3.0141848436827279E-12</v>
      </c>
      <c r="CB194" s="20">
        <f t="shared" si="171"/>
        <v>5.6327253206452266E-12</v>
      </c>
      <c r="CC194" s="59">
        <f t="shared" si="119"/>
        <v>290.4818896046437</v>
      </c>
      <c r="CD194" s="59">
        <f ca="1">AVERAGE(OFFSET($CC$3,0,0,'Données projet'!$E$12+1,1))-AVERAGE(OFFSET($H$3,0,0,'Données projet'!$E$12+1,1))</f>
        <v>455.95436253828132</v>
      </c>
      <c r="CE194" s="59">
        <f t="shared" si="148"/>
        <v>64.829921296688497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122.10063252467071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122.10063252467071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69.222333528537646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5.6843418860808015E-14</v>
      </c>
      <c r="CU194" s="17">
        <f>CT194*VLOOKUP('Données projet'!$B$13,Paramètres!$A$1:$I$89,3,0)*VLOOKUP('Données projet'!$B$13,Paramètres!$A$1:$I$89,5,0)</f>
        <v>4.4337866711430253E-14</v>
      </c>
      <c r="CV194" s="13">
        <f t="shared" si="173"/>
        <v>7.3222115536967035E-13</v>
      </c>
      <c r="CW194" s="20">
        <f t="shared" si="174"/>
        <v>1.3525069634579169E-12</v>
      </c>
      <c r="CX194" s="59">
        <f t="shared" si="122"/>
        <v>290.48188960463943</v>
      </c>
      <c r="CY194" s="59">
        <f ca="1">AVERAGE(OFFSET($CX$3,0,0,'Données projet'!$E$13+1,1))-AVERAGE(OFFSET($H$3,0,0,'Données projet'!$E$13+1,1))</f>
        <v>306.44760579759713</v>
      </c>
      <c r="CZ194" s="59">
        <f t="shared" si="150"/>
        <v>300.30192123221718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7.8953487437533729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7.8953487437533729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69.222333528537646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69.222333528537646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69.222333528537646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69.222333528537646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69.222333528537646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4.4000000000000004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16.133333333333336</v>
      </c>
      <c r="H195" s="67">
        <f t="shared" si="110"/>
        <v>192.13333333333333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69.235824303215765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1.1368683772161603E-13</v>
      </c>
      <c r="O195" s="13">
        <f>N195*VLOOKUP('Données projet'!$B$9,Paramètres!$A$1:$I$89,3,0)*VLOOKUP('Données projet'!$B$9,Paramètres!$A$1:$I$89,5,0)</f>
        <v>6.7984728957526396E-14</v>
      </c>
      <c r="P195" s="13">
        <f t="shared" si="141"/>
        <v>1.0682447123141398E-12</v>
      </c>
      <c r="Q195" s="20">
        <f t="shared" si="162"/>
        <v>1.978932943548152E-12</v>
      </c>
      <c r="R195" s="59">
        <f t="shared" ref="R195:R203" si="191">Q195+(I195+J195)*44/12</f>
        <v>290.53135577845978</v>
      </c>
      <c r="S195" s="59">
        <f ca="1">AVERAGE(OFFSET($R$3,0,0,'Données projet'!$E$9+1,1))-AVERAGE(OFFSET($H$3,0,0,'Données projet'!$E$9+1,1))</f>
        <v>299.45724561493057</v>
      </c>
      <c r="T195" s="59">
        <f t="shared" si="142"/>
        <v>297.63369027443196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8.7348283873671289</v>
      </c>
      <c r="AA195" s="21">
        <f>EXP(-LN(2)/25)*AA194+(1-EXP(-LN(2)/25))/(LN(2)/25)*Calculateur!V195*Calculateur!X195*VLOOKUP('Données projet'!$B$9,Paramètres!$A$1:$I$89,3,0)*0.475*44/12</f>
        <v>1.8791363659599829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10.613964753327112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69.235824303215765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3.4106051316484809E-13</v>
      </c>
      <c r="AJ195" s="13">
        <f>AI195*VLOOKUP('Données projet'!$B$10,Paramètres!$A$1:$I$89,3,0)*VLOOKUP('Données projet'!$B$10,Paramètres!$A$1:$I$89,5,0)</f>
        <v>1.9065282685915009E-13</v>
      </c>
      <c r="AK195" s="13">
        <f t="shared" si="164"/>
        <v>2.6568987209435707E-12</v>
      </c>
      <c r="AL195" s="20">
        <f t="shared" si="165"/>
        <v>4.959485612423072E-12</v>
      </c>
      <c r="AM195" s="59">
        <f t="shared" si="113"/>
        <v>290.53135577846274</v>
      </c>
      <c r="AN195" s="59">
        <f ca="1">AVERAGE(OFFSET($AM$3,0,0,'Données projet'!$E$10+1,1))-AVERAGE(OFFSET($H$3,0,0,'Données projet'!$E$10+1,1))</f>
        <v>363.98181065114898</v>
      </c>
      <c r="AO195" s="59">
        <f t="shared" si="144"/>
        <v>410.85213343666396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17.547683832962615</v>
      </c>
      <c r="AV195" s="21">
        <f>EXP(-LN(2)/25)*AV194+(1-EXP(-LN(2)/25))/(LN(2)/25)*Calculateur!AQ195*Calculateur!AS195*VLOOKUP('Données projet'!$B$10,Paramètres!$A$1:$I$89,3,0)*0.475*44/12</f>
        <v>3.4108087220939467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20.958492555056562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69.235824303215765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-9.9316821433603781E-14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433.6995276469014</v>
      </c>
      <c r="BJ195" s="59">
        <f t="shared" si="146"/>
        <v>306.37969720280557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16.281725211577477</v>
      </c>
      <c r="BQ195" s="21">
        <f>EXP(-LN(2)/25)*BQ194+(1-EXP(-LN(2)/25))/(LN(2)/25)*Calculateur!BL195*Calculateur!BN195*VLOOKUP('Données projet'!$B$11,Paramètres!$A$1:$I$89,3,0)*0.475*44/12</f>
        <v>3.2343064060069628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19.516031617584439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69.235824303215765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2.2737367544323206E-13</v>
      </c>
      <c r="BZ195" s="13">
        <f>BY195*VLOOKUP('Données projet'!$B$12,Paramètres!$A$1:$I$89,3,0)*VLOOKUP('Données projet'!$B$12,Paramètres!$A$1:$I$89,5,0)</f>
        <v>2.1991581888869406E-13</v>
      </c>
      <c r="CA195" s="13">
        <f t="shared" si="170"/>
        <v>3.0141848436827279E-12</v>
      </c>
      <c r="CB195" s="20">
        <f t="shared" si="171"/>
        <v>5.6327253206452266E-12</v>
      </c>
      <c r="CC195" s="59">
        <f t="shared" si="119"/>
        <v>290.53135577846342</v>
      </c>
      <c r="CD195" s="59">
        <f ca="1">AVERAGE(OFFSET($CC$3,0,0,'Données projet'!$E$12+1,1))-AVERAGE(OFFSET($H$3,0,0,'Données projet'!$E$12+1,1))</f>
        <v>455.95436253828132</v>
      </c>
      <c r="CE195" s="59">
        <f t="shared" si="148"/>
        <v>64.829921296688497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119.70631359489406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119.70631359489406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69.235824303215765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5.6843418860808015E-14</v>
      </c>
      <c r="CU195" s="17">
        <f>CT195*VLOOKUP('Données projet'!$B$13,Paramètres!$A$1:$I$89,3,0)*VLOOKUP('Données projet'!$B$13,Paramètres!$A$1:$I$89,5,0)</f>
        <v>4.4337866711430253E-14</v>
      </c>
      <c r="CV195" s="13">
        <f t="shared" si="173"/>
        <v>7.3222115536967035E-13</v>
      </c>
      <c r="CW195" s="20">
        <f t="shared" si="174"/>
        <v>1.3525069634579169E-12</v>
      </c>
      <c r="CX195" s="59">
        <f t="shared" si="122"/>
        <v>290.53135577845916</v>
      </c>
      <c r="CY195" s="59">
        <f ca="1">AVERAGE(OFFSET($CX$3,0,0,'Données projet'!$E$13+1,1))-AVERAGE(OFFSET($H$3,0,0,'Données projet'!$E$13+1,1))</f>
        <v>306.44760579759713</v>
      </c>
      <c r="CZ195" s="59">
        <f t="shared" si="150"/>
        <v>300.30192123221718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7.7405257705755934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7.7405257705755934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69.235824303215765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69.235824303215765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69.235824303215765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69.235824303215765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69.235824303215765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4.4000000000000004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16.133333333333336</v>
      </c>
      <c r="H196" s="67">
        <f t="shared" ref="H196:H203" si="192">(B196+E196+F196)*44/12+(C196+D196)*0.475*44/12</f>
        <v>192.13333333333333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69.249081043114046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1.1368683772161603E-13</v>
      </c>
      <c r="O196" s="13">
        <f>N196*VLOOKUP('Données projet'!$B$9,Paramètres!$A$1:$I$89,3,0)*VLOOKUP('Données projet'!$B$9,Paramètres!$A$1:$I$89,5,0)</f>
        <v>6.7984728957526396E-14</v>
      </c>
      <c r="P196" s="13">
        <f t="shared" si="141"/>
        <v>1.0682447123141398E-12</v>
      </c>
      <c r="Q196" s="20">
        <f t="shared" si="162"/>
        <v>1.978932943548152E-12</v>
      </c>
      <c r="R196" s="59">
        <f t="shared" si="191"/>
        <v>290.57996382475346</v>
      </c>
      <c r="S196" s="59">
        <f ca="1">AVERAGE(OFFSET($R$3,0,0,'Données projet'!$E$9+1,1))-AVERAGE(OFFSET($H$3,0,0,'Données projet'!$E$9+1,1))</f>
        <v>299.45724561493057</v>
      </c>
      <c r="T196" s="59">
        <f t="shared" si="142"/>
        <v>297.63369027443196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8.5635437304101067</v>
      </c>
      <c r="AA196" s="21">
        <f>EXP(-LN(2)/25)*AA195+(1-EXP(-LN(2)/25))/(LN(2)/25)*Calculateur!V196*Calculateur!X196*VLOOKUP('Données projet'!$B$9,Paramètres!$A$1:$I$89,3,0)*0.475*44/12</f>
        <v>1.8277512832133205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10.391295013623427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69.249081043114046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3.4106051316484809E-13</v>
      </c>
      <c r="AJ196" s="13">
        <f>AI196*VLOOKUP('Données projet'!$B$10,Paramètres!$A$1:$I$89,3,0)*VLOOKUP('Données projet'!$B$10,Paramètres!$A$1:$I$89,5,0)</f>
        <v>1.9065282685915009E-13</v>
      </c>
      <c r="AK196" s="13">
        <f t="shared" si="164"/>
        <v>2.6568987209435707E-12</v>
      </c>
      <c r="AL196" s="20">
        <f t="shared" si="165"/>
        <v>4.959485612423072E-12</v>
      </c>
      <c r="AM196" s="59">
        <f t="shared" ref="AM196:AM203" si="193">AL196+(AD196+AE196)*44/12</f>
        <v>290.57996382475642</v>
      </c>
      <c r="AN196" s="59">
        <f ca="1">AVERAGE(OFFSET($AM$3,0,0,'Données projet'!$E$10+1,1))-AVERAGE(OFFSET($H$3,0,0,'Données projet'!$E$10+1,1))</f>
        <v>363.98181065114898</v>
      </c>
      <c r="AO196" s="59">
        <f t="shared" si="144"/>
        <v>410.85213343666396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17.203584456028519</v>
      </c>
      <c r="AV196" s="21">
        <f>EXP(-LN(2)/25)*AV195+(1-EXP(-LN(2)/25))/(LN(2)/25)*Calculateur!AQ196*Calculateur!AS196*VLOOKUP('Données projet'!$B$10,Paramètres!$A$1:$I$89,3,0)*0.475*44/12</f>
        <v>3.3175399782216526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20.521124434250172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69.249081043114046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-9.9316821433603781E-14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433.6995276469014</v>
      </c>
      <c r="BJ196" s="59">
        <f t="shared" si="146"/>
        <v>306.37969720280557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15.96245051105023</v>
      </c>
      <c r="BQ196" s="21">
        <f>EXP(-LN(2)/25)*BQ195+(1-EXP(-LN(2)/25))/(LN(2)/25)*Calculateur!BL196*Calculateur!BN196*VLOOKUP('Données projet'!$B$11,Paramètres!$A$1:$I$89,3,0)*0.475*44/12</f>
        <v>3.1458641272499208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19.108314638300151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69.249081043114046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2.2737367544323206E-13</v>
      </c>
      <c r="BZ196" s="13">
        <f>BY196*VLOOKUP('Données projet'!$B$12,Paramètres!$A$1:$I$89,3,0)*VLOOKUP('Données projet'!$B$12,Paramètres!$A$1:$I$89,5,0)</f>
        <v>2.1991581888869406E-13</v>
      </c>
      <c r="CA196" s="13">
        <f t="shared" si="170"/>
        <v>3.0141848436827279E-12</v>
      </c>
      <c r="CB196" s="20">
        <f t="shared" si="171"/>
        <v>5.6327253206452266E-12</v>
      </c>
      <c r="CC196" s="59">
        <f t="shared" ref="CC196:CC203" si="195">CB196+(BT196+BU196)*44/12</f>
        <v>290.5799638247571</v>
      </c>
      <c r="CD196" s="59">
        <f ca="1">AVERAGE(OFFSET($CC$3,0,0,'Données projet'!$E$12+1,1))-AVERAGE(OFFSET($H$3,0,0,'Données projet'!$E$12+1,1))</f>
        <v>455.95436253828132</v>
      </c>
      <c r="CE196" s="59">
        <f t="shared" si="148"/>
        <v>64.829921296688497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117.35894579893998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117.35894579893998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69.249081043114046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5.6843418860808015E-14</v>
      </c>
      <c r="CU196" s="17">
        <f>CT196*VLOOKUP('Données projet'!$B$13,Paramètres!$A$1:$I$89,3,0)*VLOOKUP('Données projet'!$B$13,Paramètres!$A$1:$I$89,5,0)</f>
        <v>4.4337866711430253E-14</v>
      </c>
      <c r="CV196" s="13">
        <f t="shared" si="173"/>
        <v>7.3222115536967035E-13</v>
      </c>
      <c r="CW196" s="20">
        <f t="shared" si="174"/>
        <v>1.3525069634579169E-12</v>
      </c>
      <c r="CX196" s="59">
        <f t="shared" ref="CX196:CX203" si="196">CW196+(CO196+CP196)*44/12</f>
        <v>290.57996382475284</v>
      </c>
      <c r="CY196" s="59">
        <f ca="1">AVERAGE(OFFSET($CX$3,0,0,'Données projet'!$E$13+1,1))-AVERAGE(OFFSET($H$3,0,0,'Données projet'!$E$13+1,1))</f>
        <v>306.44760579759713</v>
      </c>
      <c r="CZ196" s="59">
        <f t="shared" si="150"/>
        <v>300.30192123221718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7.5887387814691412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7.5887387814691412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69.249081043114046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69.249081043114046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69.249081043114046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69.249081043114046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69.249081043114046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4.4000000000000004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16.133333333333336</v>
      </c>
      <c r="H197" s="67">
        <f t="shared" si="192"/>
        <v>192.13333333333333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69.262107808212733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1.1368683772161603E-13</v>
      </c>
      <c r="O197" s="13">
        <f>N197*VLOOKUP('Données projet'!$B$9,Paramètres!$A$1:$I$89,3,0)*VLOOKUP('Données projet'!$B$9,Paramètres!$A$1:$I$89,5,0)</f>
        <v>6.7984728957526396E-14</v>
      </c>
      <c r="P197" s="13">
        <f t="shared" ref="P197:P203" si="203">EXP(-1.0587+0.8836*LN(O197)+0.284)</f>
        <v>1.0682447123141398E-12</v>
      </c>
      <c r="Q197" s="20">
        <f t="shared" si="162"/>
        <v>1.978932943548152E-12</v>
      </c>
      <c r="R197" s="59">
        <f t="shared" si="191"/>
        <v>290.62772863011537</v>
      </c>
      <c r="S197" s="59">
        <f ca="1">AVERAGE(OFFSET($R$3,0,0,'Données projet'!$E$9+1,1))-AVERAGE(OFFSET($H$3,0,0,'Données projet'!$E$9+1,1))</f>
        <v>299.45724561493057</v>
      </c>
      <c r="T197" s="59">
        <f t="shared" ref="T197:T203" si="204">$T$3</f>
        <v>297.63369027443196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8.3956178611026875</v>
      </c>
      <c r="AA197" s="21">
        <f>EXP(-LN(2)/25)*AA196+(1-EXP(-LN(2)/25))/(LN(2)/25)*Calculateur!V197*Calculateur!X197*VLOOKUP('Données projet'!$B$9,Paramètres!$A$1:$I$89,3,0)*0.475*44/12</f>
        <v>1.7777713282565897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10.173389189359277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69.262107808212733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3.4106051316484809E-13</v>
      </c>
      <c r="AJ197" s="13">
        <f>AI197*VLOOKUP('Données projet'!$B$10,Paramètres!$A$1:$I$89,3,0)*VLOOKUP('Données projet'!$B$10,Paramètres!$A$1:$I$89,5,0)</f>
        <v>1.9065282685915009E-13</v>
      </c>
      <c r="AK197" s="13">
        <f t="shared" si="164"/>
        <v>2.6568987209435707E-12</v>
      </c>
      <c r="AL197" s="20">
        <f t="shared" si="165"/>
        <v>4.959485612423072E-12</v>
      </c>
      <c r="AM197" s="59">
        <f t="shared" si="193"/>
        <v>290.62772863011833</v>
      </c>
      <c r="AN197" s="59">
        <f ca="1">AVERAGE(OFFSET($AM$3,0,0,'Données projet'!$E$10+1,1))-AVERAGE(OFFSET($H$3,0,0,'Données projet'!$E$10+1,1))</f>
        <v>363.98181065114898</v>
      </c>
      <c r="AO197" s="59">
        <f t="shared" ref="AO197:AO203" si="205">$AO$3</f>
        <v>410.85213343666396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16.866232657996207</v>
      </c>
      <c r="AV197" s="21">
        <f>EXP(-LN(2)/25)*AV196+(1-EXP(-LN(2)/25))/(LN(2)/25)*Calculateur!AQ197*Calculateur!AS197*VLOOKUP('Données projet'!$B$10,Paramètres!$A$1:$I$89,3,0)*0.475*44/12</f>
        <v>3.2268216730553365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20.093054331051544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69.262107808212733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-9.9316821433603781E-14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433.6995276469014</v>
      </c>
      <c r="BJ197" s="59">
        <f t="shared" ref="BJ197:BJ203" si="206">$BJ$3</f>
        <v>306.37969720280557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15.649436592661983</v>
      </c>
      <c r="BQ197" s="21">
        <f>EXP(-LN(2)/25)*BQ196+(1-EXP(-LN(2)/25))/(LN(2)/25)*Calculateur!BL197*Calculateur!BN197*VLOOKUP('Données projet'!$B$11,Paramètres!$A$1:$I$89,3,0)*0.475*44/12</f>
        <v>3.0598403072564673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18.70927689991845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69.262107808212733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2.2737367544323206E-13</v>
      </c>
      <c r="BZ197" s="13">
        <f>BY197*VLOOKUP('Données projet'!$B$12,Paramètres!$A$1:$I$89,3,0)*VLOOKUP('Données projet'!$B$12,Paramètres!$A$1:$I$89,5,0)</f>
        <v>2.1991581888869406E-13</v>
      </c>
      <c r="CA197" s="13">
        <f t="shared" si="170"/>
        <v>3.0141848436827279E-12</v>
      </c>
      <c r="CB197" s="20">
        <f t="shared" si="171"/>
        <v>5.6327253206452266E-12</v>
      </c>
      <c r="CC197" s="59">
        <f t="shared" si="195"/>
        <v>290.62772863011901</v>
      </c>
      <c r="CD197" s="59">
        <f ca="1">AVERAGE(OFFSET($CC$3,0,0,'Données projet'!$E$12+1,1))-AVERAGE(OFFSET($H$3,0,0,'Données projet'!$E$12+1,1))</f>
        <v>455.95436253828132</v>
      </c>
      <c r="CE197" s="59">
        <f t="shared" ref="CE197:CE203" si="207">$CE$3</f>
        <v>64.829921296688497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115.05760845371158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115.05760845371158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69.262107808212733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5.6843418860808015E-14</v>
      </c>
      <c r="CU197" s="17">
        <f>CT197*VLOOKUP('Données projet'!$B$13,Paramètres!$A$1:$I$89,3,0)*VLOOKUP('Données projet'!$B$13,Paramètres!$A$1:$I$89,5,0)</f>
        <v>4.4337866711430253E-14</v>
      </c>
      <c r="CV197" s="13">
        <f t="shared" si="173"/>
        <v>7.3222115536967035E-13</v>
      </c>
      <c r="CW197" s="20">
        <f t="shared" si="174"/>
        <v>1.3525069634579169E-12</v>
      </c>
      <c r="CX197" s="59">
        <f t="shared" si="196"/>
        <v>290.62772863011475</v>
      </c>
      <c r="CY197" s="59">
        <f ca="1">AVERAGE(OFFSET($CX$3,0,0,'Données projet'!$E$13+1,1))-AVERAGE(OFFSET($H$3,0,0,'Données projet'!$E$13+1,1))</f>
        <v>306.44760579759713</v>
      </c>
      <c r="CZ197" s="59">
        <f t="shared" ref="CZ197:CZ203" si="208">$CZ$3</f>
        <v>300.30192123221718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7.4399282426381443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7.4399282426381443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69.262107808212733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69.262107808212733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69.262107808212733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69.262107808212733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69.262107808212733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4.4000000000000004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16.133333333333336</v>
      </c>
      <c r="H198" s="67">
        <f t="shared" si="192"/>
        <v>192.13333333333333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69.274908588060441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1.1368683772161603E-13</v>
      </c>
      <c r="O198" s="13">
        <f>N198*VLOOKUP('Données projet'!$B$9,Paramètres!$A$1:$I$89,3,0)*VLOOKUP('Données projet'!$B$9,Paramètres!$A$1:$I$89,5,0)</f>
        <v>6.7984728957526396E-14</v>
      </c>
      <c r="P198" s="13">
        <f t="shared" si="203"/>
        <v>1.0682447123141398E-12</v>
      </c>
      <c r="Q198" s="20">
        <f t="shared" si="162"/>
        <v>1.978932943548152E-12</v>
      </c>
      <c r="R198" s="59">
        <f t="shared" si="191"/>
        <v>290.67466482289024</v>
      </c>
      <c r="S198" s="59">
        <f ca="1">AVERAGE(OFFSET($R$3,0,0,'Données projet'!$E$9+1,1))-AVERAGE(OFFSET($H$3,0,0,'Données projet'!$E$9+1,1))</f>
        <v>299.45724561493057</v>
      </c>
      <c r="T198" s="59">
        <f t="shared" si="204"/>
        <v>297.63369027443196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8.2309849156677206</v>
      </c>
      <c r="AA198" s="21">
        <f>EXP(-LN(2)/25)*AA197+(1-EXP(-LN(2)/25))/(LN(2)/25)*Calculateur!V198*Calculateur!X198*VLOOKUP('Données projet'!$B$9,Paramètres!$A$1:$I$89,3,0)*0.475*44/12</f>
        <v>1.7291580777964823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9.9601429934642027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69.274908588060441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3.4106051316484809E-13</v>
      </c>
      <c r="AJ198" s="13">
        <f>AI198*VLOOKUP('Données projet'!$B$10,Paramètres!$A$1:$I$89,3,0)*VLOOKUP('Données projet'!$B$10,Paramètres!$A$1:$I$89,5,0)</f>
        <v>1.9065282685915009E-13</v>
      </c>
      <c r="AK198" s="13">
        <f t="shared" si="164"/>
        <v>2.6568987209435707E-12</v>
      </c>
      <c r="AL198" s="20">
        <f t="shared" si="165"/>
        <v>4.959485612423072E-12</v>
      </c>
      <c r="AM198" s="59">
        <f t="shared" si="193"/>
        <v>290.67466482289319</v>
      </c>
      <c r="AN198" s="59">
        <f ca="1">AVERAGE(OFFSET($AM$3,0,0,'Données projet'!$E$10+1,1))-AVERAGE(OFFSET($H$3,0,0,'Données projet'!$E$10+1,1))</f>
        <v>363.98181065114898</v>
      </c>
      <c r="AO198" s="59">
        <f t="shared" si="205"/>
        <v>410.85213343666396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16.535496122959028</v>
      </c>
      <c r="AV198" s="21">
        <f>EXP(-LN(2)/25)*AV197+(1-EXP(-LN(2)/25))/(LN(2)/25)*Calculateur!AQ198*Calculateur!AS198*VLOOKUP('Données projet'!$B$10,Paramètres!$A$1:$I$89,3,0)*0.475*44/12</f>
        <v>3.1385840647144616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19.674080187673489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69.274908588060441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-9.9316821433603781E-14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433.6995276469014</v>
      </c>
      <c r="BJ198" s="59">
        <f t="shared" si="206"/>
        <v>306.37969720280557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15.342560686293691</v>
      </c>
      <c r="BQ198" s="21">
        <f>EXP(-LN(2)/25)*BQ197+(1-EXP(-LN(2)/25))/(LN(2)/25)*Calculateur!BL198*Calculateur!BN198*VLOOKUP('Données projet'!$B$11,Paramètres!$A$1:$I$89,3,0)*0.475*44/12</f>
        <v>2.9761688131445307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18.31872949943822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69.274908588060441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2.2737367544323206E-13</v>
      </c>
      <c r="BZ198" s="13">
        <f>BY198*VLOOKUP('Données projet'!$B$12,Paramètres!$A$1:$I$89,3,0)*VLOOKUP('Données projet'!$B$12,Paramètres!$A$1:$I$89,5,0)</f>
        <v>2.1991581888869406E-13</v>
      </c>
      <c r="CA198" s="13">
        <f t="shared" si="170"/>
        <v>3.0141848436827279E-12</v>
      </c>
      <c r="CB198" s="20">
        <f t="shared" si="171"/>
        <v>5.6327253206452266E-12</v>
      </c>
      <c r="CC198" s="59">
        <f t="shared" si="195"/>
        <v>290.67466482289387</v>
      </c>
      <c r="CD198" s="59">
        <f ca="1">AVERAGE(OFFSET($CC$3,0,0,'Données projet'!$E$12+1,1))-AVERAGE(OFFSET($H$3,0,0,'Données projet'!$E$12+1,1))</f>
        <v>455.95436253828132</v>
      </c>
      <c r="CE198" s="59">
        <f t="shared" si="207"/>
        <v>64.829921296688497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112.80139893014594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112.80139893014594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69.274908588060441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5.6843418860808015E-14</v>
      </c>
      <c r="CU198" s="17">
        <f>CT198*VLOOKUP('Données projet'!$B$13,Paramètres!$A$1:$I$89,3,0)*VLOOKUP('Données projet'!$B$13,Paramètres!$A$1:$I$89,5,0)</f>
        <v>4.4337866711430253E-14</v>
      </c>
      <c r="CV198" s="13">
        <f t="shared" si="173"/>
        <v>7.3222115536967035E-13</v>
      </c>
      <c r="CW198" s="20">
        <f t="shared" si="174"/>
        <v>1.3525069634579169E-12</v>
      </c>
      <c r="CX198" s="59">
        <f t="shared" si="196"/>
        <v>290.67466482288961</v>
      </c>
      <c r="CY198" s="59">
        <f ca="1">AVERAGE(OFFSET($CX$3,0,0,'Données projet'!$E$13+1,1))-AVERAGE(OFFSET($H$3,0,0,'Données projet'!$E$13+1,1))</f>
        <v>306.44760579759713</v>
      </c>
      <c r="CZ198" s="59">
        <f t="shared" si="208"/>
        <v>300.30192123221718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7.2940357877081574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7.2940357877081574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69.274908588060441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69.274908588060441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69.274908588060441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69.274908588060441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69.274908588060441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4.4000000000000004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16.133333333333336</v>
      </c>
      <c r="H199" s="67">
        <f t="shared" si="192"/>
        <v>192.13333333333333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69.287487302996055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1.1368683772161603E-13</v>
      </c>
      <c r="O199" s="13">
        <f>N199*VLOOKUP('Données projet'!$B$9,Paramètres!$A$1:$I$89,3,0)*VLOOKUP('Données projet'!$B$9,Paramètres!$A$1:$I$89,5,0)</f>
        <v>6.7984728957526396E-14</v>
      </c>
      <c r="P199" s="13">
        <f t="shared" si="203"/>
        <v>1.0682447123141398E-12</v>
      </c>
      <c r="Q199" s="20">
        <f t="shared" si="162"/>
        <v>1.978932943548152E-12</v>
      </c>
      <c r="R199" s="59">
        <f t="shared" si="191"/>
        <v>290.72078677765421</v>
      </c>
      <c r="S199" s="59">
        <f ca="1">AVERAGE(OFFSET($R$3,0,0,'Données projet'!$E$9+1,1))-AVERAGE(OFFSET($H$3,0,0,'Données projet'!$E$9+1,1))</f>
        <v>299.45724561493057</v>
      </c>
      <c r="T199" s="59">
        <f t="shared" si="204"/>
        <v>297.63369027443196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8.0695803218765505</v>
      </c>
      <c r="AA199" s="21">
        <f>EXP(-LN(2)/25)*AA198+(1-EXP(-LN(2)/25))/(LN(2)/25)*Calculateur!V199*Calculateur!X199*VLOOKUP('Données projet'!$B$9,Paramètres!$A$1:$I$89,3,0)*0.475*44/12</f>
        <v>1.6818741592266662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9.7514544811032167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69.287487302996055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3.4106051316484809E-13</v>
      </c>
      <c r="AJ199" s="13">
        <f>AI199*VLOOKUP('Données projet'!$B$10,Paramètres!$A$1:$I$89,3,0)*VLOOKUP('Données projet'!$B$10,Paramètres!$A$1:$I$89,5,0)</f>
        <v>1.9065282685915009E-13</v>
      </c>
      <c r="AK199" s="13">
        <f t="shared" si="164"/>
        <v>2.6568987209435707E-12</v>
      </c>
      <c r="AL199" s="20">
        <f t="shared" si="165"/>
        <v>4.959485612423072E-12</v>
      </c>
      <c r="AM199" s="59">
        <f t="shared" si="193"/>
        <v>290.72078677765717</v>
      </c>
      <c r="AN199" s="59">
        <f ca="1">AVERAGE(OFFSET($AM$3,0,0,'Données projet'!$E$10+1,1))-AVERAGE(OFFSET($H$3,0,0,'Données projet'!$E$10+1,1))</f>
        <v>363.98181065114898</v>
      </c>
      <c r="AO199" s="59">
        <f t="shared" si="205"/>
        <v>410.85213343666396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16.21124512964456</v>
      </c>
      <c r="AV199" s="21">
        <f>EXP(-LN(2)/25)*AV198+(1-EXP(-LN(2)/25))/(LN(2)/25)*Calculateur!AQ199*Calculateur!AS199*VLOOKUP('Données projet'!$B$10,Paramètres!$A$1:$I$89,3,0)*0.475*44/12</f>
        <v>3.0527593184138819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19.264004448058444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69.287487302996055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-9.9316821433603781E-14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433.6995276469014</v>
      </c>
      <c r="BJ199" s="59">
        <f t="shared" si="206"/>
        <v>306.37969720280557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15.04170242927346</v>
      </c>
      <c r="BQ199" s="21">
        <f>EXP(-LN(2)/25)*BQ198+(1-EXP(-LN(2)/25))/(LN(2)/25)*Calculateur!BL199*Calculateur!BN199*VLOOKUP('Données projet'!$B$11,Paramètres!$A$1:$I$89,3,0)*0.475*44/12</f>
        <v>2.8947853204391776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17.936487749712636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69.287487302996055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2.2737367544323206E-13</v>
      </c>
      <c r="BZ199" s="13">
        <f>BY199*VLOOKUP('Données projet'!$B$12,Paramètres!$A$1:$I$89,3,0)*VLOOKUP('Données projet'!$B$12,Paramètres!$A$1:$I$89,5,0)</f>
        <v>2.1991581888869406E-13</v>
      </c>
      <c r="CA199" s="13">
        <f t="shared" si="170"/>
        <v>3.0141848436827279E-12</v>
      </c>
      <c r="CB199" s="20">
        <f t="shared" si="171"/>
        <v>5.6327253206452266E-12</v>
      </c>
      <c r="CC199" s="59">
        <f t="shared" si="195"/>
        <v>290.72078677765785</v>
      </c>
      <c r="CD199" s="59">
        <f ca="1">AVERAGE(OFFSET($CC$3,0,0,'Données projet'!$E$12+1,1))-AVERAGE(OFFSET($H$3,0,0,'Données projet'!$E$12+1,1))</f>
        <v>455.95436253828132</v>
      </c>
      <c r="CE199" s="59">
        <f t="shared" si="207"/>
        <v>64.829921296688497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110.58943229918549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110.58943229918549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69.287487302996055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5.6843418860808015E-14</v>
      </c>
      <c r="CU199" s="17">
        <f>CT199*VLOOKUP('Données projet'!$B$13,Paramètres!$A$1:$I$89,3,0)*VLOOKUP('Données projet'!$B$13,Paramètres!$A$1:$I$89,5,0)</f>
        <v>4.4337866711430253E-14</v>
      </c>
      <c r="CV199" s="13">
        <f t="shared" si="173"/>
        <v>7.3222115536967035E-13</v>
      </c>
      <c r="CW199" s="20">
        <f t="shared" si="174"/>
        <v>1.3525069634579169E-12</v>
      </c>
      <c r="CX199" s="59">
        <f t="shared" si="196"/>
        <v>290.72078677765359</v>
      </c>
      <c r="CY199" s="59">
        <f ca="1">AVERAGE(OFFSET($CX$3,0,0,'Données projet'!$E$13+1,1))-AVERAGE(OFFSET($H$3,0,0,'Données projet'!$E$13+1,1))</f>
        <v>306.44760579759713</v>
      </c>
      <c r="CZ199" s="59">
        <f t="shared" si="208"/>
        <v>300.30192123221718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7.1510041948337362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7.1510041948337362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69.287487302996055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69.287487302996055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69.287487302996055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69.287487302996055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69.287487302996055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4.4000000000000004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16.133333333333336</v>
      </c>
      <c r="H200" s="67">
        <f t="shared" si="192"/>
        <v>192.13333333333333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69.299847805349302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1.1368683772161603E-13</v>
      </c>
      <c r="O200" s="13">
        <f>N200*VLOOKUP('Données projet'!$B$9,Paramètres!$A$1:$I$89,3,0)*VLOOKUP('Données projet'!$B$9,Paramètres!$A$1:$I$89,5,0)</f>
        <v>6.7984728957526396E-14</v>
      </c>
      <c r="P200" s="13">
        <f t="shared" si="203"/>
        <v>1.0682447123141398E-12</v>
      </c>
      <c r="Q200" s="20">
        <f t="shared" si="162"/>
        <v>1.978932943548152E-12</v>
      </c>
      <c r="R200" s="59">
        <f t="shared" si="191"/>
        <v>290.76610861961609</v>
      </c>
      <c r="S200" s="59">
        <f ca="1">AVERAGE(OFFSET($R$3,0,0,'Données projet'!$E$9+1,1))-AVERAGE(OFFSET($H$3,0,0,'Données projet'!$E$9+1,1))</f>
        <v>299.45724561493057</v>
      </c>
      <c r="T200" s="59">
        <f t="shared" si="204"/>
        <v>297.63369027443196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7.9113407737225447</v>
      </c>
      <c r="AA200" s="21">
        <f>EXP(-LN(2)/25)*AA199+(1-EXP(-LN(2)/25))/(LN(2)/25)*Calculateur!V200*Calculateur!X200*VLOOKUP('Données projet'!$B$9,Paramètres!$A$1:$I$89,3,0)*0.475*44/12</f>
        <v>1.635883221896695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9.5472239956192393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69.299847805349302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3.4106051316484809E-13</v>
      </c>
      <c r="AJ200" s="13">
        <f>AI200*VLOOKUP('Données projet'!$B$10,Paramètres!$A$1:$I$89,3,0)*VLOOKUP('Données projet'!$B$10,Paramètres!$A$1:$I$89,5,0)</f>
        <v>1.9065282685915009E-13</v>
      </c>
      <c r="AK200" s="13">
        <f t="shared" si="164"/>
        <v>2.6568987209435707E-12</v>
      </c>
      <c r="AL200" s="20">
        <f t="shared" si="165"/>
        <v>4.959485612423072E-12</v>
      </c>
      <c r="AM200" s="59">
        <f t="shared" si="193"/>
        <v>290.76610861961905</v>
      </c>
      <c r="AN200" s="59">
        <f ca="1">AVERAGE(OFFSET($AM$3,0,0,'Données projet'!$E$10+1,1))-AVERAGE(OFFSET($H$3,0,0,'Données projet'!$E$10+1,1))</f>
        <v>363.98181065114898</v>
      </c>
      <c r="AO200" s="59">
        <f t="shared" si="205"/>
        <v>410.85213343666396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15.893352500535412</v>
      </c>
      <c r="AV200" s="21">
        <f>EXP(-LN(2)/25)*AV199+(1-EXP(-LN(2)/25))/(LN(2)/25)*Calculateur!AQ200*Calculateur!AS200*VLOOKUP('Données projet'!$B$10,Paramètres!$A$1:$I$89,3,0)*0.475*44/12</f>
        <v>2.9692814543142187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18.862633954849631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69.299847805349302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-9.9316821433603781E-14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433.6995276469014</v>
      </c>
      <c r="BJ200" s="59">
        <f t="shared" si="206"/>
        <v>306.37969720280557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14.74674381916798</v>
      </c>
      <c r="BQ200" s="21">
        <f>EXP(-LN(2)/25)*BQ199+(1-EXP(-LN(2)/25))/(LN(2)/25)*Calculateur!BL200*Calculateur!BN200*VLOOKUP('Données projet'!$B$11,Paramètres!$A$1:$I$89,3,0)*0.475*44/12</f>
        <v>2.8156272636216242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17.562371082789603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69.299847805349302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2.2737367544323206E-13</v>
      </c>
      <c r="BZ200" s="13">
        <f>BY200*VLOOKUP('Données projet'!$B$12,Paramètres!$A$1:$I$89,3,0)*VLOOKUP('Données projet'!$B$12,Paramètres!$A$1:$I$89,5,0)</f>
        <v>2.1991581888869406E-13</v>
      </c>
      <c r="CA200" s="13">
        <f t="shared" si="170"/>
        <v>3.0141848436827279E-12</v>
      </c>
      <c r="CB200" s="20">
        <f t="shared" si="171"/>
        <v>5.6327253206452266E-12</v>
      </c>
      <c r="CC200" s="59">
        <f t="shared" si="195"/>
        <v>290.76610861961973</v>
      </c>
      <c r="CD200" s="59">
        <f ca="1">AVERAGE(OFFSET($CC$3,0,0,'Données projet'!$E$12+1,1))-AVERAGE(OFFSET($H$3,0,0,'Données projet'!$E$12+1,1))</f>
        <v>455.95436253828132</v>
      </c>
      <c r="CE200" s="59">
        <f t="shared" si="207"/>
        <v>64.829921296688497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108.42084098469175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108.42084098469175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69.299847805349302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5.6843418860808015E-14</v>
      </c>
      <c r="CU200" s="17">
        <f>CT200*VLOOKUP('Données projet'!$B$13,Paramètres!$A$1:$I$89,3,0)*VLOOKUP('Données projet'!$B$13,Paramètres!$A$1:$I$89,5,0)</f>
        <v>4.4337866711430253E-14</v>
      </c>
      <c r="CV200" s="13">
        <f t="shared" si="173"/>
        <v>7.3222115536967035E-13</v>
      </c>
      <c r="CW200" s="20">
        <f t="shared" si="174"/>
        <v>1.3525069634579169E-12</v>
      </c>
      <c r="CX200" s="59">
        <f t="shared" si="196"/>
        <v>290.76610861961547</v>
      </c>
      <c r="CY200" s="59">
        <f ca="1">AVERAGE(OFFSET($CX$3,0,0,'Données projet'!$E$13+1,1))-AVERAGE(OFFSET($H$3,0,0,'Données projet'!$E$13+1,1))</f>
        <v>306.44760579759713</v>
      </c>
      <c r="CZ200" s="59">
        <f t="shared" si="208"/>
        <v>300.30192123221718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7.0107773642549249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7.0107773642549249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69.299847805349302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69.299847805349302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69.299847805349302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69.299847805349302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69.299847805349302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4.4000000000000004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16.133333333333336</v>
      </c>
      <c r="H201" s="67">
        <f t="shared" si="192"/>
        <v>192.13333333333333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69.311993880620705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1.1368683772161603E-13</v>
      </c>
      <c r="O201" s="13">
        <f>N201*VLOOKUP('Données projet'!$B$9,Paramètres!$A$1:$I$89,3,0)*VLOOKUP('Données projet'!$B$9,Paramètres!$A$1:$I$89,5,0)</f>
        <v>6.7984728957526396E-14</v>
      </c>
      <c r="P201" s="13">
        <f t="shared" si="203"/>
        <v>1.0682447123141398E-12</v>
      </c>
      <c r="Q201" s="20">
        <f t="shared" si="162"/>
        <v>1.978932943548152E-12</v>
      </c>
      <c r="R201" s="59">
        <f t="shared" si="191"/>
        <v>290.81064422894457</v>
      </c>
      <c r="S201" s="59">
        <f ca="1">AVERAGE(OFFSET($R$3,0,0,'Données projet'!$E$9+1,1))-AVERAGE(OFFSET($H$3,0,0,'Données projet'!$E$9+1,1))</f>
        <v>299.45724561493057</v>
      </c>
      <c r="T201" s="59">
        <f t="shared" si="204"/>
        <v>297.63369027443196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7.7562042065912449</v>
      </c>
      <c r="AA201" s="21">
        <f>EXP(-LN(2)/25)*AA200+(1-EXP(-LN(2)/25))/(LN(2)/25)*Calculateur!V201*Calculateur!X201*VLOOKUP('Données projet'!$B$9,Paramètres!$A$1:$I$89,3,0)*0.475*44/12</f>
        <v>1.5911499091665702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9.3473541157578151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69.311993880620705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3.4106051316484809E-13</v>
      </c>
      <c r="AJ201" s="13">
        <f>AI201*VLOOKUP('Données projet'!$B$10,Paramètres!$A$1:$I$89,3,0)*VLOOKUP('Données projet'!$B$10,Paramètres!$A$1:$I$89,5,0)</f>
        <v>1.9065282685915009E-13</v>
      </c>
      <c r="AK201" s="13">
        <f t="shared" si="164"/>
        <v>2.6568987209435707E-12</v>
      </c>
      <c r="AL201" s="20">
        <f t="shared" si="165"/>
        <v>4.959485612423072E-12</v>
      </c>
      <c r="AM201" s="59">
        <f t="shared" si="193"/>
        <v>290.81064422894752</v>
      </c>
      <c r="AN201" s="59">
        <f ca="1">AVERAGE(OFFSET($AM$3,0,0,'Données projet'!$E$10+1,1))-AVERAGE(OFFSET($H$3,0,0,'Données projet'!$E$10+1,1))</f>
        <v>363.98181065114898</v>
      </c>
      <c r="AO201" s="59">
        <f t="shared" si="205"/>
        <v>410.85213343666396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15.581693551987737</v>
      </c>
      <c r="AV201" s="21">
        <f>EXP(-LN(2)/25)*AV200+(1-EXP(-LN(2)/25))/(LN(2)/25)*Calculateur!AQ201*Calculateur!AS201*VLOOKUP('Données projet'!$B$10,Paramètres!$A$1:$I$89,3,0)*0.475*44/12</f>
        <v>2.8880862967982712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18.469779848786008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69.311993880620705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-9.9316821433603781E-14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433.6995276469014</v>
      </c>
      <c r="BJ201" s="59">
        <f t="shared" si="206"/>
        <v>306.37969720280557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14.457569167499679</v>
      </c>
      <c r="BQ201" s="21">
        <f>EXP(-LN(2)/25)*BQ200+(1-EXP(-LN(2)/25))/(LN(2)/25)*Calculateur!BL201*Calculateur!BN201*VLOOKUP('Données projet'!$B$11,Paramètres!$A$1:$I$89,3,0)*0.475*44/12</f>
        <v>2.7386337880304881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17.196202955530168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69.311993880620705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2.2737367544323206E-13</v>
      </c>
      <c r="BZ201" s="13">
        <f>BY201*VLOOKUP('Données projet'!$B$12,Paramètres!$A$1:$I$89,3,0)*VLOOKUP('Données projet'!$B$12,Paramètres!$A$1:$I$89,5,0)</f>
        <v>2.1991581888869406E-13</v>
      </c>
      <c r="CA201" s="13">
        <f t="shared" si="170"/>
        <v>3.0141848436827279E-12</v>
      </c>
      <c r="CB201" s="20">
        <f t="shared" si="171"/>
        <v>5.6327253206452266E-12</v>
      </c>
      <c r="CC201" s="59">
        <f t="shared" si="195"/>
        <v>290.81064422894821</v>
      </c>
      <c r="CD201" s="59">
        <f ca="1">AVERAGE(OFFSET($CC$3,0,0,'Données projet'!$E$12+1,1))-AVERAGE(OFFSET($H$3,0,0,'Données projet'!$E$12+1,1))</f>
        <v>455.95436253828132</v>
      </c>
      <c r="CE201" s="59">
        <f t="shared" si="207"/>
        <v>64.829921296688497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106.29477442316514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106.29477442316514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69.311993880620705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5.6843418860808015E-14</v>
      </c>
      <c r="CU201" s="17">
        <f>CT201*VLOOKUP('Données projet'!$B$13,Paramètres!$A$1:$I$89,3,0)*VLOOKUP('Données projet'!$B$13,Paramètres!$A$1:$I$89,5,0)</f>
        <v>4.4337866711430253E-14</v>
      </c>
      <c r="CV201" s="13">
        <f t="shared" si="173"/>
        <v>7.3222115536967035E-13</v>
      </c>
      <c r="CW201" s="20">
        <f t="shared" si="174"/>
        <v>1.3525069634579169E-12</v>
      </c>
      <c r="CX201" s="59">
        <f t="shared" si="196"/>
        <v>290.81064422894394</v>
      </c>
      <c r="CY201" s="59">
        <f ca="1">AVERAGE(OFFSET($CX$3,0,0,'Données projet'!$E$13+1,1))-AVERAGE(OFFSET($H$3,0,0,'Données projet'!$E$13+1,1))</f>
        <v>306.44760579759713</v>
      </c>
      <c r="CZ201" s="59">
        <f t="shared" si="208"/>
        <v>300.30192123221718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6.8733002962938432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6.8733002962938432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69.311993880620705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69.311993880620705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69.311993880620705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69.311993880620705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69.311993880620705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4.4000000000000004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16.133333333333336</v>
      </c>
      <c r="H202" s="67">
        <f t="shared" si="192"/>
        <v>192.13333333333333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69.323929248640681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1.1368683772161603E-13</v>
      </c>
      <c r="O202" s="13">
        <f>N202*VLOOKUP('Données projet'!$B$9,Paramètres!$A$1:$I$89,3,0)*VLOOKUP('Données projet'!$B$9,Paramètres!$A$1:$I$89,5,0)</f>
        <v>6.7984728957526396E-14</v>
      </c>
      <c r="P202" s="13">
        <f t="shared" si="203"/>
        <v>1.0682447123141398E-12</v>
      </c>
      <c r="Q202" s="20">
        <f t="shared" si="162"/>
        <v>1.978932943548152E-12</v>
      </c>
      <c r="R202" s="59">
        <f t="shared" si="191"/>
        <v>290.8544072450178</v>
      </c>
      <c r="S202" s="59">
        <f ca="1">AVERAGE(OFFSET($R$3,0,0,'Données projet'!$E$9+1,1))-AVERAGE(OFFSET($H$3,0,0,'Données projet'!$E$9+1,1))</f>
        <v>299.45724561493057</v>
      </c>
      <c r="T202" s="59">
        <f t="shared" si="204"/>
        <v>297.63369027443196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7.6041097729174272</v>
      </c>
      <c r="AA202" s="21">
        <f>EXP(-LN(2)/25)*AA201+(1-EXP(-LN(2)/25))/(LN(2)/25)*Calculateur!V202*Calculateur!X202*VLOOKUP('Données projet'!$B$9,Paramètres!$A$1:$I$89,3,0)*0.475*44/12</f>
        <v>1.5476398312254731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9.1517496041428998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69.323929248640681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3.4106051316484809E-13</v>
      </c>
      <c r="AJ202" s="13">
        <f>AI202*VLOOKUP('Données projet'!$B$10,Paramètres!$A$1:$I$89,3,0)*VLOOKUP('Données projet'!$B$10,Paramètres!$A$1:$I$89,5,0)</f>
        <v>1.9065282685915009E-13</v>
      </c>
      <c r="AK202" s="13">
        <f t="shared" si="164"/>
        <v>2.6568987209435707E-12</v>
      </c>
      <c r="AL202" s="20">
        <f t="shared" si="165"/>
        <v>4.959485612423072E-12</v>
      </c>
      <c r="AM202" s="59">
        <f t="shared" si="193"/>
        <v>290.85440724502075</v>
      </c>
      <c r="AN202" s="59">
        <f ca="1">AVERAGE(OFFSET($AM$3,0,0,'Données projet'!$E$10+1,1))-AVERAGE(OFFSET($H$3,0,0,'Données projet'!$E$10+1,1))</f>
        <v>363.98181065114898</v>
      </c>
      <c r="AO202" s="59">
        <f t="shared" si="205"/>
        <v>410.85213343666396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15.276146045327893</v>
      </c>
      <c r="AV202" s="21">
        <f>EXP(-LN(2)/25)*AV201+(1-EXP(-LN(2)/25))/(LN(2)/25)*Calculateur!AQ202*Calculateur!AS202*VLOOKUP('Données projet'!$B$10,Paramètres!$A$1:$I$89,3,0)*0.475*44/12</f>
        <v>2.8091114251344651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18.085257470462359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69.323929248640681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-9.9316821433603781E-14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433.6995276469014</v>
      </c>
      <c r="BJ202" s="59">
        <f t="shared" si="206"/>
        <v>306.37969720280557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14.174065054371473</v>
      </c>
      <c r="BQ202" s="21">
        <f>EXP(-LN(2)/25)*BQ201+(1-EXP(-LN(2)/25))/(LN(2)/25)*Calculateur!BL202*Calculateur!BN202*VLOOKUP('Données projet'!$B$11,Paramètres!$A$1:$I$89,3,0)*0.475*44/12</f>
        <v>2.6637457030783027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16.837810757449777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69.323929248640681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2.2737367544323206E-13</v>
      </c>
      <c r="BZ202" s="13">
        <f>BY202*VLOOKUP('Données projet'!$B$12,Paramètres!$A$1:$I$89,3,0)*VLOOKUP('Données projet'!$B$12,Paramètres!$A$1:$I$89,5,0)</f>
        <v>2.1991581888869406E-13</v>
      </c>
      <c r="CA202" s="13">
        <f t="shared" si="170"/>
        <v>3.0141848436827279E-12</v>
      </c>
      <c r="CB202" s="20">
        <f t="shared" si="171"/>
        <v>5.6327253206452266E-12</v>
      </c>
      <c r="CC202" s="59">
        <f t="shared" si="195"/>
        <v>290.85440724502143</v>
      </c>
      <c r="CD202" s="59">
        <f ca="1">AVERAGE(OFFSET($CC$3,0,0,'Données projet'!$E$12+1,1))-AVERAGE(OFFSET($H$3,0,0,'Données projet'!$E$12+1,1))</f>
        <v>455.95436253828132</v>
      </c>
      <c r="CE202" s="59">
        <f t="shared" si="207"/>
        <v>64.829921296688497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104.2103987301375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104.2103987301375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69.323929248640681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5.6843418860808015E-14</v>
      </c>
      <c r="CU202" s="17">
        <f>CT202*VLOOKUP('Données projet'!$B$13,Paramètres!$A$1:$I$89,3,0)*VLOOKUP('Données projet'!$B$13,Paramètres!$A$1:$I$89,5,0)</f>
        <v>4.4337866711430253E-14</v>
      </c>
      <c r="CV202" s="13">
        <f t="shared" si="173"/>
        <v>7.3222115536967035E-13</v>
      </c>
      <c r="CW202" s="20">
        <f t="shared" si="174"/>
        <v>1.3525069634579169E-12</v>
      </c>
      <c r="CX202" s="59">
        <f t="shared" si="196"/>
        <v>290.85440724501717</v>
      </c>
      <c r="CY202" s="59">
        <f ca="1">AVERAGE(OFFSET($CX$3,0,0,'Données projet'!$E$13+1,1))-AVERAGE(OFFSET($H$3,0,0,'Données projet'!$E$13+1,1))</f>
        <v>306.44760579759713</v>
      </c>
      <c r="CZ202" s="59">
        <f t="shared" si="208"/>
        <v>300.30192123221718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6.7385190697827468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6.7385190697827468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69.323929248640681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69.323929248640681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69.323929248640681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69.323929248640681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69.323929248640681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4.4000000000000004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48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16.133333333333336</v>
      </c>
      <c r="H203" s="67">
        <f t="shared" si="192"/>
        <v>192.13333333333333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69.335657564708995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1.1368683772161603E-13</v>
      </c>
      <c r="O203" s="13">
        <f>N203*VLOOKUP('Données projet'!$B$9,Paramètres!$A$1:$I$89,3,0)*VLOOKUP('Données projet'!$B$9,Paramètres!$A$1:$I$89,5,0)</f>
        <v>6.7984728957526396E-14</v>
      </c>
      <c r="P203" s="13">
        <f t="shared" si="203"/>
        <v>1.0682447123141398E-12</v>
      </c>
      <c r="Q203" s="20">
        <f t="shared" si="162"/>
        <v>1.978932943548152E-12</v>
      </c>
      <c r="R203" s="59">
        <f t="shared" si="191"/>
        <v>290.89741107060161</v>
      </c>
      <c r="S203" s="59">
        <f ca="1">AVERAGE(OFFSET($R$3,0,0,'Données projet'!$E$9+1,1))-AVERAGE(OFFSET($H$3,0,0,'Données projet'!$E$9+1,1))</f>
        <v>299.45724561493057</v>
      </c>
      <c r="T203" s="59">
        <f t="shared" si="204"/>
        <v>297.63369027443196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7.4549978183195087</v>
      </c>
      <c r="AA203" s="21">
        <f>EXP(-LN(2)/25)*AA202+(1-EXP(-LN(2)/25))/(LN(2)/25)*Calculateur!V203*Calculateur!X203*VLOOKUP('Données projet'!$B$9,Paramètres!$A$1:$I$89,3,0)*0.475*44/12</f>
        <v>1.505319538653771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8.9603173569732792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69.335657564708995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3.4106051316484809E-13</v>
      </c>
      <c r="AJ203" s="13">
        <f>AI203*VLOOKUP('Données projet'!$B$10,Paramètres!$A$1:$I$89,3,0)*VLOOKUP('Données projet'!$B$10,Paramètres!$A$1:$I$89,5,0)</f>
        <v>1.9065282685915009E-13</v>
      </c>
      <c r="AK203" s="13">
        <f t="shared" si="164"/>
        <v>2.6568987209435707E-12</v>
      </c>
      <c r="AL203" s="20">
        <f t="shared" si="165"/>
        <v>4.959485612423072E-12</v>
      </c>
      <c r="AM203" s="59">
        <f t="shared" si="193"/>
        <v>290.89741107060456</v>
      </c>
      <c r="AN203" s="59">
        <f ca="1">AVERAGE(OFFSET($AM$3,0,0,'Données projet'!$E$10+1,1))-AVERAGE(OFFSET($H$3,0,0,'Données projet'!$E$10+1,1))</f>
        <v>363.98181065114898</v>
      </c>
      <c r="AO203" s="59">
        <f t="shared" si="205"/>
        <v>410.85213343666396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14.976590138908071</v>
      </c>
      <c r="AV203" s="21">
        <f>EXP(-LN(2)/25)*AV202+(1-EXP(-LN(2)/25))/(LN(2)/25)*Calculateur!AQ203*Calculateur!AS203*VLOOKUP('Données projet'!$B$10,Paramètres!$A$1:$I$89,3,0)*0.475*44/12</f>
        <v>2.7322961254894138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17.708886264397485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69.335657564708995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-9.9316821433603781E-14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433.6995276469014</v>
      </c>
      <c r="BJ203" s="59">
        <f t="shared" si="206"/>
        <v>306.37969720280557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13.896120283981277</v>
      </c>
      <c r="BQ203" s="21">
        <f>EXP(-LN(2)/25)*BQ202+(1-EXP(-LN(2)/25))/(LN(2)/25)*Calculateur!BL203*Calculateur!BN203*VLOOKUP('Données projet'!$B$11,Paramètres!$A$1:$I$89,3,0)*0.475*44/12</f>
        <v>2.5909054367473279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16.487025720728607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69.335657564708995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2.2737367544323206E-13</v>
      </c>
      <c r="BZ203" s="13">
        <f>BY203*VLOOKUP('Données projet'!$B$12,Paramètres!$A$1:$I$89,3,0)*VLOOKUP('Données projet'!$B$12,Paramètres!$A$1:$I$89,5,0)</f>
        <v>2.1991581888869406E-13</v>
      </c>
      <c r="CA203" s="13">
        <f t="shared" si="170"/>
        <v>3.0141848436827279E-12</v>
      </c>
      <c r="CB203" s="20">
        <f t="shared" si="171"/>
        <v>5.6327253206452266E-12</v>
      </c>
      <c r="CC203" s="59">
        <f t="shared" si="195"/>
        <v>290.89741107060524</v>
      </c>
      <c r="CD203" s="59">
        <f ca="1">AVERAGE(OFFSET($CC$3,0,0,'Données projet'!$E$12+1,1))-AVERAGE(OFFSET($H$3,0,0,'Données projet'!$E$12+1,1))</f>
        <v>455.95436253828132</v>
      </c>
      <c r="CE203" s="59">
        <f t="shared" si="207"/>
        <v>64.829921296688497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102.1668963731065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102.1668963731065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69.335657564708995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5.6843418860808015E-14</v>
      </c>
      <c r="CU203" s="17">
        <f>CT203*VLOOKUP('Données projet'!$B$13,Paramètres!$A$1:$I$89,3,0)*VLOOKUP('Données projet'!$B$13,Paramètres!$A$1:$I$89,5,0)</f>
        <v>4.4337866711430253E-14</v>
      </c>
      <c r="CV203" s="13">
        <f t="shared" si="173"/>
        <v>7.3222115536967035E-13</v>
      </c>
      <c r="CW203" s="20">
        <f t="shared" si="174"/>
        <v>1.3525069634579169E-12</v>
      </c>
      <c r="CX203" s="59">
        <f t="shared" si="196"/>
        <v>290.89741107060098</v>
      </c>
      <c r="CY203" s="59">
        <f ca="1">AVERAGE(OFFSET($CX$3,0,0,'Données projet'!$E$13+1,1))-AVERAGE(OFFSET($H$3,0,0,'Données projet'!$E$13+1,1))</f>
        <v>306.44760579759713</v>
      </c>
      <c r="CZ203" s="59">
        <f t="shared" si="208"/>
        <v>300.30192123221718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6.6063808209151018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6.6063808209151018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69.335657564708995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69.335657564708995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69.335657564708995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69.335657564708995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69.335657564708995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1.3467515989204495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1.2477420770391454</v>
      </c>
      <c r="BA205" s="82">
        <f>EXP(LN('Données projet'!B88)/'Données projet'!A88)</f>
        <v>1.187581975428267</v>
      </c>
      <c r="BV205" s="82">
        <f>EXP(LN('Données projet'!B114)/'Données projet'!A114)</f>
        <v>1.0496176254437533</v>
      </c>
      <c r="CQ205" s="82">
        <f>EXP(LN('Données projet'!B140)/'Données projet'!A140)</f>
        <v>1.2788040393997409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8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0.99000000000000021</v>
      </c>
      <c r="C6" s="147">
        <f ca="1">IF(OR('Données projet'!B9="",'Données projet'!C9="",'Données projet'!C9=0%),0,Calculateur!S3)</f>
        <v>299.45724561493057</v>
      </c>
      <c r="D6" s="147">
        <f>IF(OR('Données projet'!B9="",'Données projet'!C9="",'Données projet'!C9=0%),0,Calculateur!T3)</f>
        <v>297.63369027443196</v>
      </c>
      <c r="E6" s="147">
        <f ca="1">MIN(C6,D6)</f>
        <v>297.63369027443196</v>
      </c>
      <c r="F6" s="147">
        <f ca="1">E6*B6</f>
        <v>294.65735337168769</v>
      </c>
      <c r="G6" s="147">
        <f ca="1">F6*(100%-'Données projet'!$C$24)*(100%-'Données projet'!$C$25)*(100%-'Données projet'!$C$26)*(100%-'Données projet'!$C$27)</f>
        <v>265.19161803451891</v>
      </c>
      <c r="H6" s="148">
        <f>IF(OR('Données projet'!B9="",'Données projet'!C9="",'Données projet'!C9=0%),0,AVERAGE(Calculateur!$AC$3:$AC$33)*B6)</f>
        <v>7.3666927913271376</v>
      </c>
      <c r="I6" s="149">
        <f>H6*(100%-'Données projet'!$C$24)*(100%-'Données projet'!$C$25)*(100%-'Données projet'!$C$26)*(100%-'Données projet'!$C$27)</f>
        <v>6.6300235121944242</v>
      </c>
      <c r="J6" s="150">
        <f>IF(OR('Données projet'!B9="",'Données projet'!C9="",'Données projet'!C9=0%),0,SUM(Calculateur!$V$3:$V$33)*VLOOKUP('Données projet'!$B$9,Paramètres!$A$1:$I$89,9,0)*B6)</f>
        <v>60.220710000000004</v>
      </c>
      <c r="K6" s="151">
        <f>J6*(100%-'Données projet'!$C$24)*(100%-'Données projet'!$C$25)*(100%-'Données projet'!$C$26)*(100%-'Données projet'!$C$27)</f>
        <v>54.198639000000007</v>
      </c>
      <c r="L6" s="152">
        <f ca="1">G6+I6+K6</f>
        <v>326.02028054671337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Douglas</v>
      </c>
      <c r="B7" s="154">
        <f>'Données projet'!D10</f>
        <v>0.60000000000000009</v>
      </c>
      <c r="C7" s="147">
        <f ca="1">IF(OR('Données projet'!B10="",'Données projet'!C10="",'Données projet'!C10=0%),0,Calculateur!AN3)</f>
        <v>363.98181065114898</v>
      </c>
      <c r="D7" s="147">
        <f>IF(OR('Données projet'!B10="",'Données projet'!C10="",'Données projet'!C10=0%),0,Calculateur!AO3)</f>
        <v>410.85213343666396</v>
      </c>
      <c r="E7" s="147">
        <f t="shared" ref="E7:E15" ca="1" si="0">MIN(C7,D7)</f>
        <v>363.98181065114898</v>
      </c>
      <c r="F7" s="147">
        <f t="shared" ref="F7:F15" ca="1" si="1">E7*B7</f>
        <v>218.38908639068941</v>
      </c>
      <c r="G7" s="147">
        <f ca="1">F7*(100%-'Données projet'!$C$24)*(100%-'Données projet'!$C$25)*(100%-'Données projet'!$C$26)*(100%-'Données projet'!$C$27)</f>
        <v>196.55017775162048</v>
      </c>
      <c r="H7" s="155">
        <f>IF(OR('Données projet'!B10="",'Données projet'!C10="",'Données projet'!C10=0%),0,AVERAGE(Calculateur!$AX$3:$AX$33)*B7)</f>
        <v>2.3460633136673246</v>
      </c>
      <c r="I7" s="149">
        <f>H7*(100%-'Données projet'!$C$24)*(100%-'Données projet'!$C$25)*(100%-'Données projet'!$C$26)*(100%-'Données projet'!$C$27)</f>
        <v>2.111456982300592</v>
      </c>
      <c r="J7" s="150">
        <f>IF(OR('Données projet'!B10="",'Données projet'!C10="",'Données projet'!C10=0%),0,SUM(Calculateur!$AQ$3:$AQ$33)*VLOOKUP('Données projet'!$B$10,Paramètres!$A$1:$I$89,9,0)*B7)</f>
        <v>15.222000000000003</v>
      </c>
      <c r="K7" s="151">
        <f>J7*(100%-'Données projet'!$C$24)*(100%-'Données projet'!$C$25)*(100%-'Données projet'!$C$26)*(100%-'Données projet'!$C$27)</f>
        <v>13.699800000000003</v>
      </c>
      <c r="L7" s="152">
        <f t="shared" ref="L7:L15" ca="1" si="2">G7+I7+K7</f>
        <v>212.36143473392107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rouge d'Amérique</v>
      </c>
      <c r="B8" s="154">
        <f>'Données projet'!D11</f>
        <v>0.60000000000000009</v>
      </c>
      <c r="C8" s="147">
        <f ca="1">IF(OR('Données projet'!B11="",'Données projet'!C11="",'Données projet'!C11=0%),0,Calculateur!BI3)</f>
        <v>433.6995276469014</v>
      </c>
      <c r="D8" s="147">
        <f>IF(OR('Données projet'!B11="",'Données projet'!C11="",'Données projet'!C11=0%),0,Calculateur!BJ3)</f>
        <v>306.37969720280557</v>
      </c>
      <c r="E8" s="147">
        <f t="shared" ca="1" si="0"/>
        <v>306.37969720280557</v>
      </c>
      <c r="F8" s="147">
        <f t="shared" ca="1" si="1"/>
        <v>183.82781832168337</v>
      </c>
      <c r="G8" s="147">
        <f ca="1">F8*(100%-'Données projet'!$C$24)*(100%-'Données projet'!$C$25)*(100%-'Données projet'!$C$26)*(100%-'Données projet'!$C$27)</f>
        <v>165.44503648951505</v>
      </c>
      <c r="H8" s="155">
        <f>IF(OR('Données projet'!B11="",'Données projet'!C11="",'Données projet'!C11=0%),0,AVERAGE(Calculateur!$BS$3:$BS$33)*B8)</f>
        <v>0.20925285592362172</v>
      </c>
      <c r="I8" s="149">
        <f>H8*(100%-'Données projet'!$C$24)*(100%-'Données projet'!$C$25)*(100%-'Données projet'!$C$26)*(100%-'Données projet'!$C$27)</f>
        <v>0.18832757033125955</v>
      </c>
      <c r="J8" s="150">
        <f>IF(OR('Données projet'!B11="",'Données projet'!C11="",'Données projet'!C11=0%),0,SUM(Calculateur!$BL$3:$BL$33)*VLOOKUP('Données projet'!$B$11,Paramètres!$A$1:$I$89,9,0)*B8)</f>
        <v>3.9750000000000005</v>
      </c>
      <c r="K8" s="151">
        <f>J8*(100%-'Données projet'!$C$24)*(100%-'Données projet'!$C$25)*(100%-'Données projet'!$C$26)*(100%-'Données projet'!$C$27)</f>
        <v>3.5775000000000006</v>
      </c>
      <c r="L8" s="152">
        <f t="shared" ca="1" si="2"/>
        <v>169.2108640598463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Alisier torminal</v>
      </c>
      <c r="B9" s="154">
        <f>'Données projet'!D12</f>
        <v>0.15000000000000002</v>
      </c>
      <c r="C9" s="147">
        <f ca="1">IF(OR('Données projet'!B12="",'Données projet'!C12="",'Données projet'!C12=0%),0,Calculateur!CD3)</f>
        <v>455.95436253828132</v>
      </c>
      <c r="D9" s="147">
        <f>IF(OR('Données projet'!B12="",'Données projet'!C12="",'Données projet'!C12=0%),0,Calculateur!CE3)</f>
        <v>64.829921296688497</v>
      </c>
      <c r="E9" s="147">
        <f t="shared" ca="1" si="0"/>
        <v>64.829921296688497</v>
      </c>
      <c r="F9" s="147">
        <f t="shared" ca="1" si="1"/>
        <v>9.7244881945032766</v>
      </c>
      <c r="G9" s="147">
        <f ca="1">F9*(100%-'Données projet'!$C$24)*(100%-'Données projet'!$C$25)*(100%-'Données projet'!$C$26)*(100%-'Données projet'!$C$27)</f>
        <v>8.7520393750529486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8.7520393750529486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Merisier</v>
      </c>
      <c r="B10" s="154">
        <f>'Données projet'!D13</f>
        <v>0.15000000000000002</v>
      </c>
      <c r="C10" s="147">
        <f ca="1">IF(OR('Données projet'!B13="",'Données projet'!C13="",'Données projet'!C13=0%),0,Calculateur!CY3)</f>
        <v>306.44760579759713</v>
      </c>
      <c r="D10" s="147">
        <f>IF(OR('Données projet'!B13="",'Données projet'!C13="",'Données projet'!C13=0%),0,Calculateur!CZ3)</f>
        <v>300.30192123221718</v>
      </c>
      <c r="E10" s="147">
        <f t="shared" ca="1" si="0"/>
        <v>300.30192123221718</v>
      </c>
      <c r="F10" s="147">
        <f t="shared" ca="1" si="1"/>
        <v>45.045288184832586</v>
      </c>
      <c r="G10" s="147">
        <f ca="1">F10*(100%-'Données projet'!$C$24)*(100%-'Données projet'!$C$25)*(100%-'Données projet'!$C$26)*(100%-'Données projet'!$C$27)</f>
        <v>40.540759366349327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2.0625000000000004</v>
      </c>
      <c r="K10" s="151">
        <f>J10*(100%-'Données projet'!$C$24)*(100%-'Données projet'!$C$25)*(100%-'Données projet'!$C$26)*(100%-'Données projet'!$C$27)</f>
        <v>1.8562500000000004</v>
      </c>
      <c r="L10" s="152">
        <f t="shared" ca="1" si="2"/>
        <v>42.39700936634933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751.64403446339622</v>
      </c>
      <c r="G16" s="166">
        <f t="shared" ca="1" si="3"/>
        <v>676.4796310170567</v>
      </c>
      <c r="H16" s="167">
        <f t="shared" si="3"/>
        <v>9.9220089609180828</v>
      </c>
      <c r="I16" s="167">
        <f t="shared" si="3"/>
        <v>8.9298080648262754</v>
      </c>
      <c r="J16" s="168">
        <f t="shared" si="3"/>
        <v>81.48021</v>
      </c>
      <c r="K16" s="168">
        <f t="shared" si="3"/>
        <v>73.332189000000014</v>
      </c>
      <c r="L16" s="169">
        <f t="shared" ca="1" si="3"/>
        <v>758.74162808188316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Alisier torminal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Merisier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" zoomScale="80" zoomScaleNormal="80" workbookViewId="0">
      <selection activeCell="T25" sqref="T25:V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-2509.0241519115621</v>
      </c>
      <c r="U10" s="178">
        <f>'Données projet'!D9</f>
        <v>0.99000000000000021</v>
      </c>
      <c r="V10" s="177">
        <f>U10*T10</f>
        <v>-2483.9339103924472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567.89779543064867</v>
      </c>
      <c r="U11" s="178">
        <f>'Données projet'!D10</f>
        <v>0.60000000000000009</v>
      </c>
      <c r="V11" s="177">
        <f t="shared" ref="V11" si="0">U11*T11</f>
        <v>340.73867725838926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rouge d'Amérique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-1299.1121363452999</v>
      </c>
      <c r="U12" s="178">
        <f>'Données projet'!D11</f>
        <v>0.60000000000000009</v>
      </c>
      <c r="V12" s="177">
        <f t="shared" ref="V12:V19" si="1">U12*T12</f>
        <v>-779.46728180718003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Alisier torminal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217.34062128376564</v>
      </c>
      <c r="U13" s="178">
        <f>'Données projet'!D12</f>
        <v>0.15000000000000002</v>
      </c>
      <c r="V13" s="177">
        <f t="shared" si="1"/>
        <v>32.601093192564853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Merisier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566.93895521390948</v>
      </c>
      <c r="U14" s="178">
        <f>'Données projet'!D13</f>
        <v>0.15000000000000002</v>
      </c>
      <c r="V14" s="177">
        <f t="shared" si="1"/>
        <v>85.040843282086428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693</v>
      </c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v>2328.48</v>
      </c>
      <c r="F18" s="230"/>
      <c r="G18" s="290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v>217.8</v>
      </c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v>396</v>
      </c>
      <c r="F20" s="230"/>
      <c r="G20" s="290"/>
      <c r="H20" s="190">
        <v>1</v>
      </c>
      <c r="I20" s="191">
        <v>18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>
        <v>217.8</v>
      </c>
      <c r="F21" s="230"/>
      <c r="H21" s="190">
        <v>2</v>
      </c>
      <c r="I21" s="191">
        <v>18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>
        <v>0</v>
      </c>
      <c r="F22" s="230"/>
      <c r="H22" s="190">
        <v>3</v>
      </c>
      <c r="I22" s="191">
        <v>18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>
        <v>0</v>
      </c>
      <c r="D23" s="182">
        <f>B23*C23</f>
        <v>0</v>
      </c>
      <c r="E23" s="193"/>
      <c r="F23" s="230"/>
      <c r="H23" s="190">
        <v>4</v>
      </c>
      <c r="I23" s="191">
        <v>18</v>
      </c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-3635.3256970570578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14.8</v>
      </c>
      <c r="C24" s="193">
        <v>5</v>
      </c>
      <c r="D24" s="182">
        <f t="shared" ref="D24:D42" si="2">B24*C24</f>
        <v>74</v>
      </c>
      <c r="E24" s="193"/>
      <c r="F24" s="233"/>
      <c r="H24" s="190">
        <v>5</v>
      </c>
      <c r="I24" s="191">
        <v>18</v>
      </c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5492.4686042409612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22.1</v>
      </c>
      <c r="C25" s="193">
        <v>8.5</v>
      </c>
      <c r="D25" s="182">
        <f t="shared" si="2"/>
        <v>187.85000000000002</v>
      </c>
      <c r="E25" s="193"/>
      <c r="F25" s="233"/>
      <c r="H25" s="190">
        <v>6</v>
      </c>
      <c r="I25" s="191">
        <v>18</v>
      </c>
      <c r="K25" s="208"/>
      <c r="L25" s="130" t="s">
        <v>285</v>
      </c>
      <c r="M25" s="130"/>
      <c r="N25" s="130"/>
      <c r="O25" s="130"/>
      <c r="P25" s="192">
        <v>100</v>
      </c>
      <c r="Q25" s="234"/>
      <c r="R25" s="23"/>
      <c r="S25" s="186" t="s">
        <v>266</v>
      </c>
      <c r="T25" s="304">
        <f ca="1">T23-T24</f>
        <v>-9127.7943012980195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30.8</v>
      </c>
      <c r="C26" s="193">
        <v>8.5</v>
      </c>
      <c r="D26" s="182">
        <f t="shared" si="2"/>
        <v>261.8</v>
      </c>
      <c r="E26" s="193"/>
      <c r="F26" s="233"/>
      <c r="G26" s="229"/>
      <c r="H26" s="190">
        <v>7</v>
      </c>
      <c r="I26" s="191">
        <v>18</v>
      </c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35.4</v>
      </c>
      <c r="C27" s="193">
        <v>8.5000000000000018</v>
      </c>
      <c r="D27" s="182">
        <f t="shared" si="2"/>
        <v>300.90000000000003</v>
      </c>
      <c r="E27" s="193"/>
      <c r="F27" s="233"/>
      <c r="G27" s="229"/>
      <c r="H27" s="190">
        <v>8</v>
      </c>
      <c r="I27" s="191">
        <v>18</v>
      </c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46.2</v>
      </c>
      <c r="C28" s="193">
        <v>15.499999999999998</v>
      </c>
      <c r="D28" s="182">
        <f t="shared" si="2"/>
        <v>716.09999999999991</v>
      </c>
      <c r="E28" s="193"/>
      <c r="F28" s="233"/>
      <c r="G28" s="205"/>
      <c r="H28" s="190">
        <v>9</v>
      </c>
      <c r="I28" s="191">
        <v>18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41.3</v>
      </c>
      <c r="C29" s="193">
        <v>15.499999999999998</v>
      </c>
      <c r="D29" s="182">
        <f t="shared" si="2"/>
        <v>640.14999999999986</v>
      </c>
      <c r="E29" s="193"/>
      <c r="F29" s="233"/>
      <c r="G29" s="203"/>
      <c r="H29" s="190">
        <v>10</v>
      </c>
      <c r="I29" s="191">
        <v>18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28.7</v>
      </c>
      <c r="C30" s="193">
        <v>15.499999999999998</v>
      </c>
      <c r="D30" s="182">
        <f t="shared" si="2"/>
        <v>444.84999999999997</v>
      </c>
      <c r="E30" s="193"/>
      <c r="F30" s="233"/>
      <c r="G30" s="203"/>
      <c r="H30" s="190">
        <v>11</v>
      </c>
      <c r="I30" s="191">
        <v>18</v>
      </c>
      <c r="K30" s="183"/>
      <c r="L30" s="36" t="s">
        <v>259</v>
      </c>
      <c r="M30" s="184">
        <f ca="1">SUM(OFFSET($P$33,0,0,MIN('Données projet'!$E$9:$E$18)+1,1))</f>
        <v>2205.810684434121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15.6</v>
      </c>
      <c r="C31" s="193">
        <v>29.500000000000004</v>
      </c>
      <c r="D31" s="182">
        <f t="shared" si="2"/>
        <v>460.20000000000005</v>
      </c>
      <c r="E31" s="193"/>
      <c r="F31" s="233"/>
      <c r="G31" s="203"/>
      <c r="H31" s="190">
        <v>12</v>
      </c>
      <c r="I31" s="191">
        <v>18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6.5</v>
      </c>
      <c r="C32" s="193">
        <v>29.500000000000004</v>
      </c>
      <c r="D32" s="182">
        <f t="shared" si="2"/>
        <v>191.75000000000003</v>
      </c>
      <c r="E32" s="193"/>
      <c r="F32" s="233"/>
      <c r="G32" s="203"/>
      <c r="H32" s="190">
        <v>13</v>
      </c>
      <c r="I32" s="191">
        <v>18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70</v>
      </c>
      <c r="B33" s="181">
        <f>'Données projet'!D46</f>
        <v>342.4</v>
      </c>
      <c r="C33" s="193">
        <v>29.5</v>
      </c>
      <c r="D33" s="182">
        <f t="shared" si="2"/>
        <v>10100.799999999999</v>
      </c>
      <c r="E33" s="193"/>
      <c r="F33" s="233"/>
      <c r="G33" s="203"/>
      <c r="H33" s="190">
        <v>14</v>
      </c>
      <c r="I33" s="191">
        <v>18</v>
      </c>
      <c r="K33" s="173"/>
      <c r="L33" s="4"/>
      <c r="M33" s="4"/>
      <c r="N33" s="4"/>
      <c r="O33" s="194">
        <v>0</v>
      </c>
      <c r="P33" s="185">
        <f t="shared" ref="P33:P64" si="3">$P$25/(1+$M$4)^O33</f>
        <v>100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18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95.693779904306226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18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91.572995123738025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18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87.629660405490938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18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83.856134359321487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18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80.245104650068413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18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76.789573827816682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18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73.482845768245625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18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70.31851269688579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18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67.290442772139514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18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64.392768203004323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18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61.619873878473044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>
        <v>26</v>
      </c>
      <c r="I45" s="191">
        <v>18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58.966386486577086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18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56.427164101987636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18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53.997286221997754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420</v>
      </c>
      <c r="F48" s="231"/>
      <c r="G48" s="203"/>
      <c r="H48" s="190">
        <v>29</v>
      </c>
      <c r="I48" s="191">
        <v>18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51.672044231576791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v>1411.2</v>
      </c>
      <c r="F49" s="231"/>
      <c r="G49" s="204"/>
      <c r="H49" s="190">
        <v>30</v>
      </c>
      <c r="I49" s="191">
        <v>18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49.446932279020878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v>132</v>
      </c>
      <c r="F50" s="231"/>
      <c r="G50" s="23"/>
      <c r="H50" s="190">
        <v>31</v>
      </c>
      <c r="I50" s="191">
        <v>18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47.317638544517585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>
        <v>240</v>
      </c>
      <c r="F51" s="231"/>
      <c r="G51" s="23"/>
      <c r="H51" s="190">
        <v>32</v>
      </c>
      <c r="I51" s="191">
        <v>18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45.280036884705829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>
        <v>132</v>
      </c>
      <c r="F52" s="231"/>
      <c r="G52" s="23"/>
      <c r="H52" s="190">
        <v>33</v>
      </c>
      <c r="I52" s="191">
        <v>18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43.330178837039071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>
        <v>0</v>
      </c>
      <c r="F53" s="231"/>
      <c r="G53" s="205"/>
      <c r="H53" s="190">
        <v>34</v>
      </c>
      <c r="I53" s="191">
        <v>18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41.464285968458455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25</v>
      </c>
      <c r="B54" s="181">
        <f>'Données projet'!D62</f>
        <v>59</v>
      </c>
      <c r="C54" s="193">
        <v>11</v>
      </c>
      <c r="D54" s="179">
        <f>B54*C54</f>
        <v>649</v>
      </c>
      <c r="E54" s="193"/>
      <c r="F54" s="232"/>
      <c r="G54" s="205"/>
      <c r="H54" s="190">
        <v>35</v>
      </c>
      <c r="I54" s="191">
        <v>18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39.678742553548759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32</v>
      </c>
      <c r="B55" s="181">
        <f>'Données projet'!D63</f>
        <v>79</v>
      </c>
      <c r="C55" s="193">
        <v>23.000000000000004</v>
      </c>
      <c r="D55" s="179">
        <f t="shared" ref="D55:D73" si="4">B55*C55</f>
        <v>1817.0000000000002</v>
      </c>
      <c r="E55" s="193"/>
      <c r="F55" s="232"/>
      <c r="G55" s="205"/>
      <c r="H55" s="190">
        <v>36</v>
      </c>
      <c r="I55" s="191">
        <v>18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37.970088567989251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39</v>
      </c>
      <c r="B56" s="181">
        <f>'Données projet'!D64</f>
        <v>80</v>
      </c>
      <c r="C56" s="193">
        <v>23.000000000000004</v>
      </c>
      <c r="D56" s="179">
        <f t="shared" si="4"/>
        <v>1840.0000000000002</v>
      </c>
      <c r="E56" s="193"/>
      <c r="F56" s="232"/>
      <c r="G56" s="205"/>
      <c r="H56" s="190">
        <v>37</v>
      </c>
      <c r="I56" s="191">
        <v>18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36.335012983721775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46</v>
      </c>
      <c r="B57" s="181">
        <f>'Données projet'!D65</f>
        <v>86</v>
      </c>
      <c r="C57" s="193">
        <v>23.000000000000004</v>
      </c>
      <c r="D57" s="179">
        <f t="shared" si="4"/>
        <v>1978.0000000000002</v>
      </c>
      <c r="E57" s="193"/>
      <c r="F57" s="232"/>
      <c r="G57" s="205"/>
      <c r="H57" s="190">
        <v>38</v>
      </c>
      <c r="I57" s="191">
        <v>18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34.770347352843807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53</v>
      </c>
      <c r="B58" s="181">
        <f>'Données projet'!D66</f>
        <v>80</v>
      </c>
      <c r="C58" s="193">
        <v>47</v>
      </c>
      <c r="D58" s="179">
        <f t="shared" si="4"/>
        <v>3760</v>
      </c>
      <c r="E58" s="193"/>
      <c r="F58" s="232"/>
      <c r="G58" s="205"/>
      <c r="H58" s="190">
        <v>39</v>
      </c>
      <c r="I58" s="191">
        <v>18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33.27305966779312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60</v>
      </c>
      <c r="B59" s="181">
        <f>'Données projet'!D67</f>
        <v>97</v>
      </c>
      <c r="C59" s="193">
        <v>47</v>
      </c>
      <c r="D59" s="179">
        <f t="shared" si="4"/>
        <v>4559</v>
      </c>
      <c r="E59" s="193"/>
      <c r="F59" s="232"/>
      <c r="G59" s="205"/>
      <c r="H59" s="190">
        <v>40</v>
      </c>
      <c r="I59" s="191">
        <v>18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31.840248485926438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67</v>
      </c>
      <c r="B60" s="181">
        <f>'Données projet'!D68</f>
        <v>521</v>
      </c>
      <c r="C60" s="193">
        <v>47</v>
      </c>
      <c r="D60" s="179">
        <f t="shared" si="4"/>
        <v>24487</v>
      </c>
      <c r="E60" s="193"/>
      <c r="F60" s="232"/>
      <c r="G60" s="206"/>
      <c r="H60" s="190">
        <v>41</v>
      </c>
      <c r="I60" s="191">
        <v>18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30.469137307106639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>
        <v>18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29.15706919340349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18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27.901501620481802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18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26.7000015507003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18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25.550240718373487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18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24.449991118060769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18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23.397120687139495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18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22.389589174296169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18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21.425444185929347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18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20.50281740280321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18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19.619920959620295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18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18.775043980497895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18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17.966549263634349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18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17.192870108741008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18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16.452507281091876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18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15.744026106308016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rouge d'Amérique</v>
      </c>
      <c r="C76" s="4"/>
      <c r="D76" s="4"/>
      <c r="E76" s="4"/>
      <c r="F76" s="230"/>
      <c r="G76" s="206"/>
      <c r="H76" s="190">
        <v>57</v>
      </c>
      <c r="I76" s="191">
        <v>18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15.066053690246907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18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14.417276258609482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18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13.79643661110955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420</v>
      </c>
      <c r="F79" s="231"/>
      <c r="G79" s="206"/>
      <c r="H79" s="190">
        <v>60</v>
      </c>
      <c r="I79" s="191">
        <v>18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13.2023316852723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v>1411.2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12.633810225140957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v>132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12.089770550374126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>
        <v>690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11.569158421410647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>
        <v>132</v>
      </c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11.070964996565214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>
        <v>0</v>
      </c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10.5942248770959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29</v>
      </c>
      <c r="B85" s="181">
        <f>'Données projet'!D88</f>
        <v>26.5</v>
      </c>
      <c r="C85" s="193">
        <v>5</v>
      </c>
      <c r="D85" s="179">
        <f>B85*C85</f>
        <v>132.5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10.138014236455408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34</v>
      </c>
      <c r="B86" s="181">
        <f>'Données projet'!D89</f>
        <v>23.1</v>
      </c>
      <c r="C86" s="193">
        <v>32</v>
      </c>
      <c r="D86" s="179">
        <f t="shared" ref="D86:D104" si="6">B86*C86</f>
        <v>739.2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9.7014490301008696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42</v>
      </c>
      <c r="B87" s="181">
        <f>'Données projet'!D90</f>
        <v>47.2</v>
      </c>
      <c r="C87" s="193">
        <v>32</v>
      </c>
      <c r="D87" s="179">
        <f t="shared" si="6"/>
        <v>1510.4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9.283683282393179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79.7</v>
      </c>
      <c r="C88" s="193">
        <v>32</v>
      </c>
      <c r="D88" s="179">
        <f t="shared" si="6"/>
        <v>2550.4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8.8839074472661999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62</v>
      </c>
      <c r="B89" s="181">
        <f>'Données projet'!D92</f>
        <v>15.5</v>
      </c>
      <c r="C89" s="193">
        <v>32</v>
      </c>
      <c r="D89" s="179">
        <f t="shared" si="6"/>
        <v>496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8.5013468394891873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78</v>
      </c>
      <c r="B90" s="181">
        <f>'Données projet'!D93</f>
        <v>534.9</v>
      </c>
      <c r="C90" s="193">
        <v>32</v>
      </c>
      <c r="D90" s="179">
        <f t="shared" si="6"/>
        <v>17116.8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8.1352601334824772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7.7849379267774923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7.4497013653373134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7.1289008280739852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6.821914668013382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6.5281480076683112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6.2470315862854635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5.9780206567325047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5.7205939298875643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5.4742525644857087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5.2385192004647925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str">
        <f>IF(O100+1&lt;=MIN('Données projet'!$E$9:$E$18),O100+1,"STOP")</f>
        <v>STOP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Alisier torminal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105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v>352.8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v>33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>
        <v>127.5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>
        <v>33</v>
      </c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>
        <v>0</v>
      </c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37</v>
      </c>
      <c r="B116" s="181">
        <f>'Données projet'!D114</f>
        <v>2</v>
      </c>
      <c r="C116" s="193">
        <v>5</v>
      </c>
      <c r="D116" s="179">
        <f>B116*C116</f>
        <v>10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45</v>
      </c>
      <c r="B117" s="181">
        <f>'Données projet'!D115</f>
        <v>7</v>
      </c>
      <c r="C117" s="193">
        <v>21.5</v>
      </c>
      <c r="D117" s="179">
        <f t="shared" ref="D117:D135" si="8">B117*C117</f>
        <v>150.5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53</v>
      </c>
      <c r="B118" s="181">
        <f>'Données projet'!D116</f>
        <v>15</v>
      </c>
      <c r="C118" s="193">
        <v>21.5</v>
      </c>
      <c r="D118" s="179">
        <f t="shared" si="8"/>
        <v>322.5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61</v>
      </c>
      <c r="B119" s="181">
        <f>'Données projet'!D117</f>
        <v>31</v>
      </c>
      <c r="C119" s="193">
        <v>38</v>
      </c>
      <c r="D119" s="179">
        <f t="shared" si="8"/>
        <v>1178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69</v>
      </c>
      <c r="B120" s="181">
        <f>'Données projet'!D118</f>
        <v>31</v>
      </c>
      <c r="C120" s="193">
        <v>38</v>
      </c>
      <c r="D120" s="179">
        <f t="shared" si="8"/>
        <v>1178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77</v>
      </c>
      <c r="B121" s="181">
        <f>'Données projet'!D119</f>
        <v>31</v>
      </c>
      <c r="C121" s="193">
        <v>38</v>
      </c>
      <c r="D121" s="179">
        <f t="shared" si="8"/>
        <v>1178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85</v>
      </c>
      <c r="B122" s="181">
        <f>'Données projet'!D120</f>
        <v>30</v>
      </c>
      <c r="C122" s="193">
        <v>38</v>
      </c>
      <c r="D122" s="179">
        <f t="shared" si="8"/>
        <v>1140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95</v>
      </c>
      <c r="B123" s="181">
        <f>'Données projet'!D121</f>
        <v>40</v>
      </c>
      <c r="C123" s="193">
        <v>38</v>
      </c>
      <c r="D123" s="179">
        <f t="shared" si="8"/>
        <v>1520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105</v>
      </c>
      <c r="B124" s="181">
        <f>'Données projet'!D122</f>
        <v>32</v>
      </c>
      <c r="C124" s="193">
        <v>38</v>
      </c>
      <c r="D124" s="179">
        <f t="shared" si="8"/>
        <v>1216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115</v>
      </c>
      <c r="B125" s="181">
        <f>'Données projet'!D123</f>
        <v>37</v>
      </c>
      <c r="C125" s="193">
        <v>38</v>
      </c>
      <c r="D125" s="179">
        <f t="shared" si="8"/>
        <v>1406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125</v>
      </c>
      <c r="B126" s="181">
        <f>'Données projet'!D124</f>
        <v>38</v>
      </c>
      <c r="C126" s="193">
        <v>38</v>
      </c>
      <c r="D126" s="179">
        <f t="shared" si="8"/>
        <v>1444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135</v>
      </c>
      <c r="B127" s="181">
        <f>'Données projet'!D125</f>
        <v>39</v>
      </c>
      <c r="C127" s="193">
        <v>38</v>
      </c>
      <c r="D127" s="179">
        <f t="shared" si="8"/>
        <v>1482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145</v>
      </c>
      <c r="B128" s="181">
        <f>'Données projet'!D126</f>
        <v>39</v>
      </c>
      <c r="C128" s="193">
        <v>38</v>
      </c>
      <c r="D128" s="179">
        <f t="shared" si="8"/>
        <v>1482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155</v>
      </c>
      <c r="B129" s="181">
        <f>'Données projet'!D127</f>
        <v>40</v>
      </c>
      <c r="C129" s="193">
        <v>38</v>
      </c>
      <c r="D129" s="179">
        <f t="shared" si="8"/>
        <v>1520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165</v>
      </c>
      <c r="B130" s="181">
        <f>'Données projet'!D128</f>
        <v>39</v>
      </c>
      <c r="C130" s="193">
        <v>38</v>
      </c>
      <c r="D130" s="179">
        <f t="shared" si="8"/>
        <v>1482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180</v>
      </c>
      <c r="B131" s="181">
        <f>'Données projet'!D129</f>
        <v>408</v>
      </c>
      <c r="C131" s="193">
        <v>38</v>
      </c>
      <c r="D131" s="179">
        <f t="shared" si="8"/>
        <v>15504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Merisier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105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>
        <v>352.8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v>33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>
        <v>127.5</v>
      </c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>
        <v>33</v>
      </c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>
        <v>0</v>
      </c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5">
        <f>'Données projet'!D140</f>
        <v>3</v>
      </c>
      <c r="C147" s="193">
        <v>5</v>
      </c>
      <c r="D147" s="182">
        <f>B147*C147</f>
        <v>15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5">
        <f>'Données projet'!D141</f>
        <v>25</v>
      </c>
      <c r="C148" s="193">
        <v>5</v>
      </c>
      <c r="D148" s="182">
        <f t="shared" ref="D148:D166" si="10">B148*C148</f>
        <v>125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25</v>
      </c>
      <c r="B149" s="175">
        <f>'Données projet'!D142</f>
        <v>27</v>
      </c>
      <c r="C149" s="193">
        <v>5</v>
      </c>
      <c r="D149" s="182">
        <f t="shared" si="10"/>
        <v>135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31</v>
      </c>
      <c r="B150" s="175">
        <f>'Données projet'!D143</f>
        <v>36</v>
      </c>
      <c r="C150" s="193">
        <v>5</v>
      </c>
      <c r="D150" s="182">
        <f t="shared" si="10"/>
        <v>180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37</v>
      </c>
      <c r="B151" s="175">
        <f>'Données projet'!D144</f>
        <v>36</v>
      </c>
      <c r="C151" s="193">
        <v>5</v>
      </c>
      <c r="D151" s="182">
        <f t="shared" si="10"/>
        <v>180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44</v>
      </c>
      <c r="B152" s="175">
        <f>'Données projet'!D145</f>
        <v>43</v>
      </c>
      <c r="C152" s="193">
        <v>21.5</v>
      </c>
      <c r="D152" s="182">
        <f t="shared" si="10"/>
        <v>924.5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52</v>
      </c>
      <c r="B153" s="175">
        <f>'Données projet'!D146</f>
        <v>48</v>
      </c>
      <c r="C153" s="193">
        <v>21.5</v>
      </c>
      <c r="D153" s="182">
        <f t="shared" si="10"/>
        <v>1032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60</v>
      </c>
      <c r="B154" s="175">
        <f>'Données projet'!D147</f>
        <v>47</v>
      </c>
      <c r="C154" s="193">
        <v>38</v>
      </c>
      <c r="D154" s="182">
        <f t="shared" si="10"/>
        <v>1786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69</v>
      </c>
      <c r="B155" s="175">
        <f>'Données projet'!D148</f>
        <v>328</v>
      </c>
      <c r="C155" s="193">
        <v>38</v>
      </c>
      <c r="D155" s="182">
        <f t="shared" si="10"/>
        <v>12464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6" ma:contentTypeDescription="Crée un document." ma:contentTypeScope="" ma:versionID="1b463674f62235156ff3623f477fff23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e5faca9408bca2fcda289e2ffaf76f9f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8F28AA-24C9-4D1A-B276-45CFB6B287CF}">
  <ds:schemaRefs>
    <ds:schemaRef ds:uri="http://schemas.microsoft.com/office/2006/metadata/properties"/>
    <ds:schemaRef ds:uri="http://schemas.microsoft.com/office/infopath/2007/PartnerControls"/>
    <ds:schemaRef ds:uri="37d24cdf-bbc6-4946-8747-982d14624cd4"/>
    <ds:schemaRef ds:uri="4a0a9159-faee-4929-bc18-6e0874945fe3"/>
  </ds:schemaRefs>
</ds:datastoreItem>
</file>

<file path=customXml/itemProps2.xml><?xml version="1.0" encoding="utf-8"?>
<ds:datastoreItem xmlns:ds="http://schemas.openxmlformats.org/officeDocument/2006/customXml" ds:itemID="{CD17757C-1D4B-4F8E-B5EE-92784A019D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romain montagne</cp:lastModifiedBy>
  <dcterms:created xsi:type="dcterms:W3CDTF">2021-02-01T08:22:39Z</dcterms:created>
  <dcterms:modified xsi:type="dcterms:W3CDTF">2022-10-18T15:55:27Z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