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DE CLERCQ - 10268786/"/>
    </mc:Choice>
  </mc:AlternateContent>
  <xr:revisionPtr revIDLastSave="237" documentId="13_ncr:1_{91C62E09-7A97-40C6-8A6D-8C8B5668C142}" xr6:coauthVersionLast="47" xr6:coauthVersionMax="47" xr10:uidLastSave="{86D827A1-6846-47AB-9725-F6CE83D04809}"/>
  <bookViews>
    <workbookView xWindow="-90" yWindow="0" windowWidth="9780" windowHeight="10170" tabRatio="866" firstSheet="2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A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G155" i="2" l="1"/>
  <c r="EA155" i="2"/>
  <c r="ED155" i="2" s="1"/>
  <c r="EW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Y159" i="2"/>
  <c r="HI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W162" i="2"/>
  <c r="EB162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H164" i="2"/>
  <c r="DI163" i="2"/>
  <c r="HH164" i="2"/>
  <c r="EA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HG165" i="2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HH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AA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FS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I179" i="2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HH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A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EX195" i="2"/>
  <c r="HI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A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FS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/>
  <c r="DI200" i="2"/>
  <c r="FS201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Z6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51" i="2" a="1"/>
  <c r="GT51" i="2" s="1"/>
  <c r="DN43" i="2" a="1"/>
  <c r="DN43" i="2" s="1"/>
  <c r="DN41" i="2" a="1"/>
  <c r="DN41" i="2" s="1"/>
  <c r="DN129" i="2" a="1"/>
  <c r="DN129" i="2" s="1"/>
  <c r="DN170" i="2" a="1"/>
  <c r="DN170" i="2" s="1"/>
  <c r="DN192" i="2" a="1"/>
  <c r="DN192" i="2" s="1"/>
  <c r="DN150" i="2" a="1"/>
  <c r="DN150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38" i="2" a="1"/>
  <c r="GT38" i="2" s="1"/>
  <c r="GT191" i="2" a="1"/>
  <c r="GT191" i="2" s="1"/>
  <c r="CS185" i="2" a="1"/>
  <c r="CS185" i="2" s="1"/>
  <c r="DN135" i="2" a="1"/>
  <c r="DN135" i="2" s="1"/>
  <c r="DN164" i="2" a="1"/>
  <c r="DN164" i="2" s="1"/>
  <c r="DN55" i="2" a="1"/>
  <c r="DN55" i="2" s="1"/>
  <c r="DN70" i="2" a="1"/>
  <c r="DN70" i="2" s="1"/>
  <c r="DN6" i="2" a="1"/>
  <c r="DN6" i="2" s="1"/>
  <c r="DO6" i="2" s="1"/>
  <c r="DN30" i="2" a="1"/>
  <c r="DN30" i="2" s="1"/>
  <c r="DN132" i="2" a="1"/>
  <c r="DN132" i="2" s="1"/>
  <c r="CS24" i="2" a="1"/>
  <c r="CS24" i="2" s="1"/>
  <c r="CS134" i="2" a="1"/>
  <c r="CS134" i="2" s="1"/>
  <c r="FD82" i="2" a="1"/>
  <c r="FD82" i="2" s="1"/>
  <c r="HJ202" i="2"/>
  <c r="EY202" i="2"/>
  <c r="AX200" i="2"/>
  <c r="DN46" i="2" l="1" a="1"/>
  <c r="DN46" i="2" s="1"/>
  <c r="DN110" i="2" a="1"/>
  <c r="DN110" i="2" s="1"/>
  <c r="DN38" i="2" a="1"/>
  <c r="DN38" i="2" s="1"/>
  <c r="GT126" i="2" a="1"/>
  <c r="GT126" i="2" s="1"/>
  <c r="DN66" i="2" a="1"/>
  <c r="DN66" i="2" s="1"/>
  <c r="DN50" i="2" a="1"/>
  <c r="DN50" i="2" s="1"/>
  <c r="DN186" i="2" a="1"/>
  <c r="DN186" i="2" s="1"/>
  <c r="DN137" i="2" a="1"/>
  <c r="DN137" i="2" s="1"/>
  <c r="DN176" i="2" a="1"/>
  <c r="DN176" i="2" s="1"/>
  <c r="DN167" i="2" a="1"/>
  <c r="DN167" i="2" s="1"/>
  <c r="DN86" i="2" a="1"/>
  <c r="DN86" i="2" s="1"/>
  <c r="DN25" i="2" a="1"/>
  <c r="DN25" i="2" s="1"/>
  <c r="DN124" i="2" a="1"/>
  <c r="DN124" i="2" s="1"/>
  <c r="DN31" i="2" a="1"/>
  <c r="DN31" i="2" s="1"/>
  <c r="DN188" i="2" a="1"/>
  <c r="DN188" i="2" s="1"/>
  <c r="DN45" i="2" a="1"/>
  <c r="DN45" i="2" s="1"/>
  <c r="DN190" i="2" a="1"/>
  <c r="DN190" i="2" s="1"/>
  <c r="DN16" i="2" a="1"/>
  <c r="DN16" i="2" s="1"/>
  <c r="DN168" i="2" a="1"/>
  <c r="DN168" i="2" s="1"/>
  <c r="DN63" i="2" a="1"/>
  <c r="DN63" i="2" s="1"/>
  <c r="DN114" i="2" a="1"/>
  <c r="DN114" i="2" s="1"/>
  <c r="DN177" i="2" a="1"/>
  <c r="DN177" i="2" s="1"/>
  <c r="DN184" i="2" a="1"/>
  <c r="DN184" i="2" s="1"/>
  <c r="DN155" i="2" a="1"/>
  <c r="DN155" i="2" s="1"/>
  <c r="DN80" i="2" a="1"/>
  <c r="DN80" i="2" s="1"/>
  <c r="DN133" i="2" a="1"/>
  <c r="DN133" i="2" s="1"/>
  <c r="DN162" i="2" a="1"/>
  <c r="DN162" i="2" s="1"/>
  <c r="EI16" i="2" a="1"/>
  <c r="EI16" i="2" s="1"/>
  <c r="DN103" i="2" a="1"/>
  <c r="DN103" i="2" s="1"/>
  <c r="DN115" i="2" a="1"/>
  <c r="DN115" i="2" s="1"/>
  <c r="DN152" i="2" a="1"/>
  <c r="DN152" i="2" s="1"/>
  <c r="GT11" i="2" a="1"/>
  <c r="GT11" i="2" s="1"/>
  <c r="DN187" i="2" a="1"/>
  <c r="DN187" i="2" s="1"/>
  <c r="DN113" i="2" a="1"/>
  <c r="DN113" i="2" s="1"/>
  <c r="DN65" i="2" a="1"/>
  <c r="DN65" i="2" s="1"/>
  <c r="DN49" i="2" a="1"/>
  <c r="DN49" i="2" s="1"/>
  <c r="EI36" i="2" a="1"/>
  <c r="EI36" i="2" s="1"/>
  <c r="DN123" i="2" a="1"/>
  <c r="DN123" i="2" s="1"/>
  <c r="DN153" i="2" a="1"/>
  <c r="DN153" i="2" s="1"/>
  <c r="DN29" i="2" a="1"/>
  <c r="DN29" i="2" s="1"/>
  <c r="GT122" i="2" a="1"/>
  <c r="GT122" i="2" s="1"/>
  <c r="EI113" i="2" a="1"/>
  <c r="EI113" i="2" s="1"/>
  <c r="EI87" i="2" a="1"/>
  <c r="EI87" i="2" s="1"/>
  <c r="EI128" i="2" a="1"/>
  <c r="EI128" i="2" s="1"/>
  <c r="EI109" i="2" a="1"/>
  <c r="EI109" i="2" s="1"/>
  <c r="EI37" i="2" a="1"/>
  <c r="EI37" i="2" s="1"/>
  <c r="EI20" i="2" a="1"/>
  <c r="EI20" i="2" s="1"/>
  <c r="EI38" i="2" a="1"/>
  <c r="EI38" i="2" s="1"/>
  <c r="EI142" i="2" a="1"/>
  <c r="EI142" i="2" s="1"/>
  <c r="EI35" i="2" a="1"/>
  <c r="EI35" i="2" s="1"/>
  <c r="EI34" i="2" a="1"/>
  <c r="EI34" i="2" s="1"/>
  <c r="EI195" i="2" a="1"/>
  <c r="EI195" i="2" s="1"/>
  <c r="EI106" i="2" a="1"/>
  <c r="EI106" i="2" s="1"/>
  <c r="EI139" i="2" a="1"/>
  <c r="EI139" i="2" s="1"/>
  <c r="EI165" i="2" a="1"/>
  <c r="EI165" i="2" s="1"/>
  <c r="EI166" i="2" a="1"/>
  <c r="EI166" i="2" s="1"/>
  <c r="EI67" i="2" a="1"/>
  <c r="EI67" i="2" s="1"/>
  <c r="EI71" i="2" a="1"/>
  <c r="EI71" i="2" s="1"/>
  <c r="EI170" i="2" a="1"/>
  <c r="EI170" i="2" s="1"/>
  <c r="EI57" i="2" a="1"/>
  <c r="EI57" i="2" s="1"/>
  <c r="GT190" i="2" a="1"/>
  <c r="GT190" i="2" s="1"/>
  <c r="GT21" i="2" a="1"/>
  <c r="GT21" i="2" s="1"/>
  <c r="CS77" i="2" a="1"/>
  <c r="CS77" i="2" s="1"/>
  <c r="GT133" i="2" a="1"/>
  <c r="GT133" i="2" s="1"/>
  <c r="GT121" i="2" a="1"/>
  <c r="GT121" i="2" s="1"/>
  <c r="CS137" i="2" a="1"/>
  <c r="CS137" i="2" s="1"/>
  <c r="CS129" i="2" a="1"/>
  <c r="CS129" i="2" s="1"/>
  <c r="GT15" i="2" a="1"/>
  <c r="GT15" i="2" s="1"/>
  <c r="GT74" i="2" a="1"/>
  <c r="GT74" i="2" s="1"/>
  <c r="CS105" i="2" a="1"/>
  <c r="CS105" i="2" s="1"/>
  <c r="CS52" i="2" a="1"/>
  <c r="CS52" i="2" s="1"/>
  <c r="GT102" i="2" a="1"/>
  <c r="GT102" i="2" s="1"/>
  <c r="GT68" i="2" a="1"/>
  <c r="GT68" i="2" s="1"/>
  <c r="GT138" i="2" a="1"/>
  <c r="GT138" i="2" s="1"/>
  <c r="GT178" i="2" a="1"/>
  <c r="GT178" i="2" s="1"/>
  <c r="CS161" i="2" a="1"/>
  <c r="CS161" i="2" s="1"/>
  <c r="GT147" i="2" a="1"/>
  <c r="GT147" i="2" s="1"/>
  <c r="GT181" i="2" a="1"/>
  <c r="GT181" i="2" s="1"/>
  <c r="CS38" i="2" a="1"/>
  <c r="CS38" i="2" s="1"/>
  <c r="CS114" i="2" a="1"/>
  <c r="CS114" i="2" s="1"/>
  <c r="GT107" i="2" a="1"/>
  <c r="GT107" i="2" s="1"/>
  <c r="GT189" i="2" a="1"/>
  <c r="GT189" i="2" s="1"/>
  <c r="AH163" i="2" a="1"/>
  <c r="AH163" i="2" s="1"/>
  <c r="CS116" i="2" a="1"/>
  <c r="CS116" i="2" s="1"/>
  <c r="CS66" i="2" a="1"/>
  <c r="CS66" i="2" s="1"/>
  <c r="GT152" i="2" a="1"/>
  <c r="GT152" i="2" s="1"/>
  <c r="GT184" i="2" a="1"/>
  <c r="GT184" i="2" s="1"/>
  <c r="BX107" i="2" a="1"/>
  <c r="BX107" i="2" s="1"/>
  <c r="CS72" i="2" a="1"/>
  <c r="CS72" i="2" s="1"/>
  <c r="CS56" i="2" a="1"/>
  <c r="CS56" i="2" s="1"/>
  <c r="GT174" i="2" a="1"/>
  <c r="GT174" i="2" s="1"/>
  <c r="GT198" i="2" a="1"/>
  <c r="GT198" i="2" s="1"/>
  <c r="AH199" i="2" a="1"/>
  <c r="AH199" i="2" s="1"/>
  <c r="GT33" i="2" a="1"/>
  <c r="GT33" i="2" s="1"/>
  <c r="GT115" i="2" a="1"/>
  <c r="GT115" i="2" s="1"/>
  <c r="BC47" i="2" a="1"/>
  <c r="BC47" i="2" s="1"/>
  <c r="AH62" i="2" a="1"/>
  <c r="AH62" i="2" s="1"/>
  <c r="AH151" i="2" a="1"/>
  <c r="AH151" i="2" s="1"/>
  <c r="AH166" i="2" a="1"/>
  <c r="AH166" i="2" s="1"/>
  <c r="AH92" i="2" a="1"/>
  <c r="AH92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<sst xmlns="http://schemas.openxmlformats.org/spreadsheetml/2006/main" count="1172" uniqueCount="326">
  <si>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</si>
  <si>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</si>
  <si>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</si>
  <si>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</si>
  <si>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</si>
  <si>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</si>
  <si>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</si>
  <si>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</si>
  <si>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</si>
  <si>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</si>
  <si>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</si>
  <si>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</si>
  <si>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</si>
  <si>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</si>
  <si>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</si>
  <si>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</si>
  <si>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</si>
  <si>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</si>
  <si>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</si>
  <si>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</si>
  <si>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</si>
  <si>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</si>
  <si>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</si>
  <si>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</si>
  <si>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</si>
  <si>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</si>
  <si>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</si>
  <si>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</si>
  <si>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</si>
  <si>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</si>
  <si>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</si>
  <si>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</si>
  <si>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</si>
  <si>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</si>
  <si>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</si>
  <si>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</si>
  <si>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</si>
  <si>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</si>
  <si>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</si>
  <si>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</si>
  <si>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</si>
  <si>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</si>
  <si>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</si>
  <si>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</si>
  <si>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</si>
  <si>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</si>
  <si>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</si>
  <si>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</si>
  <si>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</si>
  <si>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</si>
  <si>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</si>
  <si>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</si>
  <si>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</si>
  <si>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</si>
  <si>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</si>
  <si>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</si>
  <si>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</si>
  <si>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</si>
  <si>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</si>
  <si>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</si>
  <si>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</si>
  <si>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</si>
  <si>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</si>
  <si>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</si>
  <si>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</si>
  <si>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</si>
  <si>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</si>
  <si>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</si>
  <si>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</si>
  <si>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</si>
  <si>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</si>
  <si>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</si>
  <si>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</si>
  <si>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</si>
  <si>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</si>
  <si>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</si>
  <si>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</si>
  <si>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</si>
  <si>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</si>
  <si>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</si>
  <si>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</si>
  <si>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</si>
  <si>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</si>
  <si>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</si>
  <si>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</si>
  <si>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</si>
  <si>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</si>
  <si>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</si>
  <si>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</si>
  <si>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</si>
  <si>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</si>
  <si>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</si>
  <si>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</si>
  <si>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</si>
  <si>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</si>
  <si>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</si>
  <si>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</si>
  <si>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</si>
  <si>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</si>
  <si>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</si>
  <si>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</si>
  <si>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</si>
  <si>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</si>
  <si>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</si>
  <si>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</si>
  <si>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</si>
  <si>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</si>
  <si>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</si>
  <si>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</si>
  <si>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</si>
  <si>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</si>
  <si>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</si>
  <si>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</si>
  <si>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</si>
  <si>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</si>
  <si>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</si>
  <si>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</si>
  <si>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</si>
  <si>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</si>
  <si>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</si>
  <si>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</si>
  <si>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</si>
  <si>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</si>
  <si>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</si>
  <si>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</si>
  <si>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</si>
  <si>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</si>
  <si>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</si>
  <si>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</si>
  <si>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</si>
  <si>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</si>
  <si>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</si>
  <si>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</si>
  <si>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</si>
  <si>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</si>
  <si>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</si>
  <si>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</si>
  <si>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</si>
  <si>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</si>
  <si>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</si>
  <si>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</si>
  <si>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</si>
  <si>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</si>
  <si>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</si>
  <si>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</si>
  <si>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</si>
  <si>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</si>
  <si>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</si>
  <si>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</si>
  <si>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</si>
  <si>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</si>
  <si>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</si>
  <si>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</si>
  <si>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</si>
  <si>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</si>
  <si>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</si>
  <si>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</si>
  <si>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</si>
  <si>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</si>
  <si>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</si>
  <si>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</si>
  <si>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</si>
  <si>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</si>
  <si>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</si>
  <si>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</si>
  <si>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</si>
  <si>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</si>
  <si>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</si>
  <si>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</si>
  <si>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</si>
  <si>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</si>
  <si>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</si>
  <si>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</si>
  <si>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</si>
  <si>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</si>
  <si>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</si>
  <si>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</si>
  <si>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</si>
  <si>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</si>
  <si>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</si>
  <si>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</si>
  <si>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</si>
  <si>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</si>
  <si>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</si>
  <si>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</si>
  <si>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</si>
  <si>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</si>
  <si>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</si>
  <si>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</si>
  <si>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</si>
  <si>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</si>
  <si>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</si>
  <si>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</si>
  <si>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</si>
  <si>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</si>
  <si>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</si>
  <si>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</si>
  <si>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</si>
  <si>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</si>
  <si>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</si>
  <si>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</si>
  <si>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</si>
  <si>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</si>
  <si>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</si>
  <si>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</si>
  <si>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</si>
  <si>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</si>
  <si>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</si>
  <si>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</si>
  <si>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</si>
  <si>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</si>
  <si>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</si>
  <si>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</si>
  <si>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</si>
  <si>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</si>
  <si>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</si>
  <si>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</si>
  <si>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</si>
  <si>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</si>
  <si>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</si>
  <si>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</si>
  <si>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</si>
  <si>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</si>
  <si>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</si>
  <si>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</si>
  <si>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</si>
  <si>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</si>
  <si>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</si>
  <si>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</si>
  <si>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</si>
  <si>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</si>
  <si>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</si>
  <si>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</si>
  <si>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</si>
  <si>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</si>
  <si>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</si>
  <si>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</si>
  <si>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</si>
  <si>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</si>
  <si>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</si>
  <si>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</si>
  <si>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</si>
  <si>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</si>
  <si>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</si>
  <si>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</si>
  <si>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</si>
  <si>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</si>
  <si>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</si>
  <si>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</si>
  <si>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</si>
  <si>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</si>
  <si>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</si>
  <si>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</si>
  <si>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</si>
  <si>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</si>
  <si>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</si>
  <si>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</si>
  <si>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</si>
  <si>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</si>
  <si>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</si>
  <si>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</si>
  <si>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</si>
  <si>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</si>
  <si>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</si>
  <si>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</si>
  <si>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</si>
  <si>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</si>
  <si>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</si>
  <si>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</si>
  <si>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</si>
  <si>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</si>
  <si>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</si>
  <si>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</si>
  <si>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</si>
  <si>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</si>
  <si>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</si>
  <si>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</si>
  <si>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</si>
  <si>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</si>
  <si>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</si>
  <si>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</si>
  <si>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</si>
  <si>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</si>
  <si>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</si>
  <si>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</si>
  <si>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</si>
  <si>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</si>
  <si>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</si>
  <si>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</si>
  <si>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</si>
  <si>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</si>
  <si>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</si>
  <si>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</si>
  <si>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</si>
  <si>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</si>
  <si>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</si>
  <si>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</si>
  <si>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</si>
  <si>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</si>
  <si>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</si>
  <si>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</si>
  <si>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</si>
  <si>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</si>
  <si>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</si>
  <si>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</si>
  <si>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</si>
  <si>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</si>
  <si>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</si>
  <si>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</si>
  <si>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</si>
  <si>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</si>
  <si>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</si>
  <si>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</si>
  <si>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</si>
  <si>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</si>
  <si>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</si>
  <si>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</si>
  <si>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</si>
  <si>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</si>
  <si>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</si>
  <si>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</si>
  <si>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</si>
  <si>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</si>
  <si>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</si>
  <si>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US 15 (Dorskamp) - CNPF 2009</t>
  </si>
  <si>
    <t>APPLIQUER RABAIS PDPFCI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</si>
</sst>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1.9825712142039913</c:v>
                </c:pt>
                <c:pt idx="2">
                  <c:v>2.9627447697238001</c:v>
                </c:pt>
                <c:pt idx="3">
                  <c:v>4.4297500583822869</c:v>
                </c:pt>
                <c:pt idx="4">
                  <c:v>6.6264306098517194</c:v>
                </c:pt>
                <c:pt idx="5">
                  <c:v>9.9172511943696708</c:v>
                </c:pt>
                <c:pt idx="6">
                  <c:v>16.653545763970644</c:v>
                </c:pt>
                <c:pt idx="7">
                  <c:v>25.656891712667655</c:v>
                </c:pt>
                <c:pt idx="8">
                  <c:v>37.057258134873365</c:v>
                </c:pt>
                <c:pt idx="9">
                  <c:v>50.881145449101098</c:v>
                </c:pt>
                <c:pt idx="10">
                  <c:v>67.043584558062989</c:v>
                </c:pt>
                <c:pt idx="11">
                  <c:v>85.343389346011762</c:v>
                </c:pt>
                <c:pt idx="12">
                  <c:v>105.46194703474386</c:v>
                </c:pt>
                <c:pt idx="13">
                  <c:v>126.96577944438961</c:v>
                </c:pt>
                <c:pt idx="14">
                  <c:v>149.31306290083484</c:v>
                </c:pt>
                <c:pt idx="15">
                  <c:v>171.8642525368135</c:v>
                </c:pt>
                <c:pt idx="16">
                  <c:v>193.89691681847876</c:v>
                </c:pt>
                <c:pt idx="17">
                  <c:v>6.8623132586195278E-3</c:v>
                </c:pt>
                <c:pt idx="18">
                  <c:v>6.8623132586195278E-3</c:v>
                </c:pt>
                <c:pt idx="19">
                  <c:v>6.8623132586195278E-3</c:v>
                </c:pt>
                <c:pt idx="20">
                  <c:v>6.8623132586195278E-3</c:v>
                </c:pt>
                <c:pt idx="21">
                  <c:v>6.8623132586195278E-3</c:v>
                </c:pt>
                <c:pt idx="22">
                  <c:v>6.8623132586195278E-3</c:v>
                </c:pt>
                <c:pt idx="23">
                  <c:v>6.8623132586195278E-3</c:v>
                </c:pt>
                <c:pt idx="24">
                  <c:v>6.8623132586195278E-3</c:v>
                </c:pt>
                <c:pt idx="25">
                  <c:v>6.8623132586195278E-3</c:v>
                </c:pt>
                <c:pt idx="26">
                  <c:v>6.8623132586195278E-3</c:v>
                </c:pt>
                <c:pt idx="27">
                  <c:v>6.8623132586195278E-3</c:v>
                </c:pt>
                <c:pt idx="28">
                  <c:v>6.8623132586195278E-3</c:v>
                </c:pt>
                <c:pt idx="29">
                  <c:v>6.8623132586195278E-3</c:v>
                </c:pt>
                <c:pt idx="30">
                  <c:v>6.8623132586195278E-3</c:v>
                </c:pt>
                <c:pt idx="31">
                  <c:v>6.8623132586195278E-3</c:v>
                </c:pt>
                <c:pt idx="32">
                  <c:v>6.8623132586195278E-3</c:v>
                </c:pt>
                <c:pt idx="33">
                  <c:v>6.8623132586195278E-3</c:v>
                </c:pt>
                <c:pt idx="34">
                  <c:v>6.8623132586195278E-3</c:v>
                </c:pt>
                <c:pt idx="35">
                  <c:v>6.8623132586195278E-3</c:v>
                </c:pt>
                <c:pt idx="36">
                  <c:v>6.8623132586195278E-3</c:v>
                </c:pt>
                <c:pt idx="37">
                  <c:v>6.8623132586195278E-3</c:v>
                </c:pt>
                <c:pt idx="38">
                  <c:v>6.8623132586195278E-3</c:v>
                </c:pt>
                <c:pt idx="39">
                  <c:v>6.8623132586195278E-3</c:v>
                </c:pt>
                <c:pt idx="40">
                  <c:v>6.8623132586195278E-3</c:v>
                </c:pt>
                <c:pt idx="41">
                  <c:v>6.8623132586195278E-3</c:v>
                </c:pt>
                <c:pt idx="42">
                  <c:v>6.8623132586195278E-3</c:v>
                </c:pt>
                <c:pt idx="43">
                  <c:v>6.8623132586195278E-3</c:v>
                </c:pt>
                <c:pt idx="44">
                  <c:v>6.8623132586195278E-3</c:v>
                </c:pt>
                <c:pt idx="45">
                  <c:v>6.8623132586195278E-3</c:v>
                </c:pt>
                <c:pt idx="46">
                  <c:v>6.8623132586195278E-3</c:v>
                </c:pt>
                <c:pt idx="47">
                  <c:v>6.8623132586195278E-3</c:v>
                </c:pt>
                <c:pt idx="48">
                  <c:v>6.8623132586195278E-3</c:v>
                </c:pt>
                <c:pt idx="49">
                  <c:v>6.8623132586195278E-3</c:v>
                </c:pt>
                <c:pt idx="50">
                  <c:v>6.8623132586195278E-3</c:v>
                </c:pt>
                <c:pt idx="51">
                  <c:v>6.8623132586195278E-3</c:v>
                </c:pt>
                <c:pt idx="52">
                  <c:v>6.8623132586195278E-3</c:v>
                </c:pt>
                <c:pt idx="53">
                  <c:v>6.8623132586195278E-3</c:v>
                </c:pt>
                <c:pt idx="54">
                  <c:v>6.8623132586195278E-3</c:v>
                </c:pt>
                <c:pt idx="55">
                  <c:v>6.8623132586195278E-3</c:v>
                </c:pt>
                <c:pt idx="56">
                  <c:v>6.8623132586195278E-3</c:v>
                </c:pt>
                <c:pt idx="57">
                  <c:v>6.8623132586195278E-3</c:v>
                </c:pt>
                <c:pt idx="58">
                  <c:v>6.8623132586195278E-3</c:v>
                </c:pt>
                <c:pt idx="59">
                  <c:v>6.8623132586195278E-3</c:v>
                </c:pt>
                <c:pt idx="60">
                  <c:v>6.8623132586195278E-3</c:v>
                </c:pt>
                <c:pt idx="61">
                  <c:v>6.8623132586195278E-3</c:v>
                </c:pt>
                <c:pt idx="62">
                  <c:v>6.8623132586195278E-3</c:v>
                </c:pt>
                <c:pt idx="63">
                  <c:v>6.8623132586195278E-3</c:v>
                </c:pt>
                <c:pt idx="64">
                  <c:v>6.8623132586195278E-3</c:v>
                </c:pt>
                <c:pt idx="65">
                  <c:v>6.8623132586195278E-3</c:v>
                </c:pt>
                <c:pt idx="66">
                  <c:v>6.8623132586195278E-3</c:v>
                </c:pt>
                <c:pt idx="67">
                  <c:v>6.8623132586195278E-3</c:v>
                </c:pt>
                <c:pt idx="68">
                  <c:v>6.8623132586195278E-3</c:v>
                </c:pt>
                <c:pt idx="69">
                  <c:v>6.8623132586195278E-3</c:v>
                </c:pt>
                <c:pt idx="70">
                  <c:v>6.8623132586195278E-3</c:v>
                </c:pt>
                <c:pt idx="71">
                  <c:v>6.8623132586195278E-3</c:v>
                </c:pt>
                <c:pt idx="72">
                  <c:v>6.8623132586195278E-3</c:v>
                </c:pt>
                <c:pt idx="73">
                  <c:v>6.8623132586195278E-3</c:v>
                </c:pt>
                <c:pt idx="74">
                  <c:v>6.8623132586195278E-3</c:v>
                </c:pt>
                <c:pt idx="75">
                  <c:v>6.8623132586195278E-3</c:v>
                </c:pt>
                <c:pt idx="76">
                  <c:v>6.8623132586195278E-3</c:v>
                </c:pt>
                <c:pt idx="77">
                  <c:v>6.8623132586195278E-3</c:v>
                </c:pt>
                <c:pt idx="78">
                  <c:v>6.8623132586195278E-3</c:v>
                </c:pt>
                <c:pt idx="79">
                  <c:v>6.8623132586195278E-3</c:v>
                </c:pt>
                <c:pt idx="80">
                  <c:v>6.8623132586195278E-3</c:v>
                </c:pt>
                <c:pt idx="81">
                  <c:v>6.8623132586195278E-3</c:v>
                </c:pt>
                <c:pt idx="82">
                  <c:v>6.8623132586195278E-3</c:v>
                </c:pt>
                <c:pt idx="83">
                  <c:v>6.8623132586195278E-3</c:v>
                </c:pt>
                <c:pt idx="84">
                  <c:v>6.8623132586195278E-3</c:v>
                </c:pt>
                <c:pt idx="85">
                  <c:v>6.8623132586195278E-3</c:v>
                </c:pt>
                <c:pt idx="86">
                  <c:v>6.8623132586195278E-3</c:v>
                </c:pt>
                <c:pt idx="87">
                  <c:v>6.8623132586195278E-3</c:v>
                </c:pt>
                <c:pt idx="88">
                  <c:v>6.8623132586195278E-3</c:v>
                </c:pt>
                <c:pt idx="89">
                  <c:v>6.8623132586195278E-3</c:v>
                </c:pt>
                <c:pt idx="90">
                  <c:v>6.8623132586195278E-3</c:v>
                </c:pt>
                <c:pt idx="91">
                  <c:v>6.8623132586195278E-3</c:v>
                </c:pt>
                <c:pt idx="92">
                  <c:v>6.8623132586195278E-3</c:v>
                </c:pt>
                <c:pt idx="93">
                  <c:v>6.8623132586195278E-3</c:v>
                </c:pt>
                <c:pt idx="94">
                  <c:v>6.8623132586195278E-3</c:v>
                </c:pt>
                <c:pt idx="95">
                  <c:v>6.8623132586195278E-3</c:v>
                </c:pt>
                <c:pt idx="96">
                  <c:v>6.8623132586195278E-3</c:v>
                </c:pt>
                <c:pt idx="97">
                  <c:v>6.8623132586195278E-3</c:v>
                </c:pt>
                <c:pt idx="98">
                  <c:v>6.8623132586195278E-3</c:v>
                </c:pt>
                <c:pt idx="99">
                  <c:v>6.8623132586195278E-3</c:v>
                </c:pt>
                <c:pt idx="100">
                  <c:v>6.8623132586195278E-3</c:v>
                </c:pt>
                <c:pt idx="101">
                  <c:v>6.8623132586195278E-3</c:v>
                </c:pt>
                <c:pt idx="102">
                  <c:v>6.8623132586195278E-3</c:v>
                </c:pt>
                <c:pt idx="103">
                  <c:v>6.8623132586195278E-3</c:v>
                </c:pt>
                <c:pt idx="104">
                  <c:v>6.8623132586195278E-3</c:v>
                </c:pt>
                <c:pt idx="105">
                  <c:v>6.8623132586195278E-3</c:v>
                </c:pt>
                <c:pt idx="106">
                  <c:v>6.8623132586195278E-3</c:v>
                </c:pt>
                <c:pt idx="107">
                  <c:v>6.8623132586195278E-3</c:v>
                </c:pt>
                <c:pt idx="108">
                  <c:v>6.8623132586195278E-3</c:v>
                </c:pt>
                <c:pt idx="109">
                  <c:v>6.8623132586195278E-3</c:v>
                </c:pt>
                <c:pt idx="110">
                  <c:v>6.8623132586195278E-3</c:v>
                </c:pt>
                <c:pt idx="111">
                  <c:v>6.8623132586195278E-3</c:v>
                </c:pt>
                <c:pt idx="112">
                  <c:v>6.8623132586195278E-3</c:v>
                </c:pt>
                <c:pt idx="113">
                  <c:v>6.8623132586195278E-3</c:v>
                </c:pt>
                <c:pt idx="114">
                  <c:v>6.8623132586195278E-3</c:v>
                </c:pt>
                <c:pt idx="115">
                  <c:v>6.8623132586195278E-3</c:v>
                </c:pt>
                <c:pt idx="116">
                  <c:v>6.8623132586195278E-3</c:v>
                </c:pt>
                <c:pt idx="117">
                  <c:v>6.8623132586195278E-3</c:v>
                </c:pt>
                <c:pt idx="118">
                  <c:v>6.8623132586195278E-3</c:v>
                </c:pt>
                <c:pt idx="119">
                  <c:v>6.8623132586195278E-3</c:v>
                </c:pt>
                <c:pt idx="120">
                  <c:v>6.8623132586195278E-3</c:v>
                </c:pt>
                <c:pt idx="121">
                  <c:v>6.8623132586195278E-3</c:v>
                </c:pt>
                <c:pt idx="122">
                  <c:v>6.8623132586195278E-3</c:v>
                </c:pt>
                <c:pt idx="123">
                  <c:v>6.8623132586195278E-3</c:v>
                </c:pt>
                <c:pt idx="124">
                  <c:v>6.8623132586195278E-3</c:v>
                </c:pt>
                <c:pt idx="125">
                  <c:v>6.8623132586195278E-3</c:v>
                </c:pt>
                <c:pt idx="126">
                  <c:v>6.8623132586195278E-3</c:v>
                </c:pt>
                <c:pt idx="127">
                  <c:v>6.8623132586195278E-3</c:v>
                </c:pt>
                <c:pt idx="128">
                  <c:v>6.8623132586195278E-3</c:v>
                </c:pt>
                <c:pt idx="129">
                  <c:v>6.8623132586195278E-3</c:v>
                </c:pt>
                <c:pt idx="130">
                  <c:v>6.8623132586195278E-3</c:v>
                </c:pt>
                <c:pt idx="131">
                  <c:v>6.8623132586195278E-3</c:v>
                </c:pt>
                <c:pt idx="132">
                  <c:v>6.8623132586195278E-3</c:v>
                </c:pt>
                <c:pt idx="133">
                  <c:v>6.8623132586195278E-3</c:v>
                </c:pt>
                <c:pt idx="134">
                  <c:v>6.8623132586195278E-3</c:v>
                </c:pt>
                <c:pt idx="135">
                  <c:v>6.8623132586195278E-3</c:v>
                </c:pt>
                <c:pt idx="136">
                  <c:v>6.8623132586195278E-3</c:v>
                </c:pt>
                <c:pt idx="137">
                  <c:v>6.8623132586195278E-3</c:v>
                </c:pt>
                <c:pt idx="138">
                  <c:v>6.8623132586195278E-3</c:v>
                </c:pt>
                <c:pt idx="139">
                  <c:v>6.8623132586195278E-3</c:v>
                </c:pt>
                <c:pt idx="140">
                  <c:v>6.8623132586195278E-3</c:v>
                </c:pt>
                <c:pt idx="141">
                  <c:v>6.8623132586195278E-3</c:v>
                </c:pt>
                <c:pt idx="142">
                  <c:v>6.8623132586195278E-3</c:v>
                </c:pt>
                <c:pt idx="143">
                  <c:v>6.8623132586195278E-3</c:v>
                </c:pt>
                <c:pt idx="144">
                  <c:v>6.8623132586195278E-3</c:v>
                </c:pt>
                <c:pt idx="145">
                  <c:v>6.8623132586195278E-3</c:v>
                </c:pt>
                <c:pt idx="146">
                  <c:v>6.8623132586195278E-3</c:v>
                </c:pt>
                <c:pt idx="147">
                  <c:v>6.8623132586195278E-3</c:v>
                </c:pt>
                <c:pt idx="148">
                  <c:v>6.8623132586195278E-3</c:v>
                </c:pt>
                <c:pt idx="149">
                  <c:v>6.8623132586195278E-3</c:v>
                </c:pt>
                <c:pt idx="150">
                  <c:v>6.8623132586195278E-3</c:v>
                </c:pt>
                <c:pt idx="151">
                  <c:v>6.8623132586195278E-3</c:v>
                </c:pt>
                <c:pt idx="152">
                  <c:v>6.8623132586195278E-3</c:v>
                </c:pt>
                <c:pt idx="153">
                  <c:v>6.8623132586195278E-3</c:v>
                </c:pt>
                <c:pt idx="154">
                  <c:v>6.8623132586195278E-3</c:v>
                </c:pt>
                <c:pt idx="155">
                  <c:v>6.8623132586195278E-3</c:v>
                </c:pt>
                <c:pt idx="156">
                  <c:v>6.8623132586195278E-3</c:v>
                </c:pt>
                <c:pt idx="157">
                  <c:v>6.8623132586195278E-3</c:v>
                </c:pt>
                <c:pt idx="158">
                  <c:v>6.8623132586195278E-3</c:v>
                </c:pt>
                <c:pt idx="159">
                  <c:v>6.8623132586195278E-3</c:v>
                </c:pt>
                <c:pt idx="160">
                  <c:v>6.8623132586195278E-3</c:v>
                </c:pt>
                <c:pt idx="161">
                  <c:v>6.8623132586195278E-3</c:v>
                </c:pt>
                <c:pt idx="162">
                  <c:v>6.8623132586195278E-3</c:v>
                </c:pt>
                <c:pt idx="163">
                  <c:v>6.8623132586195278E-3</c:v>
                </c:pt>
                <c:pt idx="164">
                  <c:v>6.8623132586195278E-3</c:v>
                </c:pt>
                <c:pt idx="165">
                  <c:v>6.8623132586195278E-3</c:v>
                </c:pt>
                <c:pt idx="166">
                  <c:v>6.8623132586195278E-3</c:v>
                </c:pt>
                <c:pt idx="167">
                  <c:v>6.8623132586195278E-3</c:v>
                </c:pt>
                <c:pt idx="168">
                  <c:v>6.8623132586195278E-3</c:v>
                </c:pt>
                <c:pt idx="169">
                  <c:v>6.8623132586195278E-3</c:v>
                </c:pt>
                <c:pt idx="170">
                  <c:v>6.8623132586195278E-3</c:v>
                </c:pt>
                <c:pt idx="171">
                  <c:v>6.8623132586195278E-3</c:v>
                </c:pt>
                <c:pt idx="172">
                  <c:v>6.8623132586195278E-3</c:v>
                </c:pt>
                <c:pt idx="173">
                  <c:v>6.8623132586195278E-3</c:v>
                </c:pt>
                <c:pt idx="174">
                  <c:v>6.8623132586195278E-3</c:v>
                </c:pt>
                <c:pt idx="175">
                  <c:v>6.8623132586195278E-3</c:v>
                </c:pt>
                <c:pt idx="176">
                  <c:v>6.8623132586195278E-3</c:v>
                </c:pt>
                <c:pt idx="177">
                  <c:v>6.8623132586195278E-3</c:v>
                </c:pt>
                <c:pt idx="178">
                  <c:v>6.8623132586195278E-3</c:v>
                </c:pt>
                <c:pt idx="179">
                  <c:v>6.8623132586195278E-3</c:v>
                </c:pt>
                <c:pt idx="180">
                  <c:v>6.8623132586195278E-3</c:v>
                </c:pt>
                <c:pt idx="181">
                  <c:v>6.8623132586195278E-3</c:v>
                </c:pt>
                <c:pt idx="182">
                  <c:v>6.8623132586195278E-3</c:v>
                </c:pt>
                <c:pt idx="183">
                  <c:v>6.8623132586195278E-3</c:v>
                </c:pt>
                <c:pt idx="184">
                  <c:v>6.8623132586195278E-3</c:v>
                </c:pt>
                <c:pt idx="185">
                  <c:v>6.8623132586195278E-3</c:v>
                </c:pt>
                <c:pt idx="186">
                  <c:v>6.8623132586195278E-3</c:v>
                </c:pt>
                <c:pt idx="187">
                  <c:v>6.8623132586195278E-3</c:v>
                </c:pt>
                <c:pt idx="188">
                  <c:v>6.8623132586195278E-3</c:v>
                </c:pt>
                <c:pt idx="189">
                  <c:v>6.8623132586195278E-3</c:v>
                </c:pt>
                <c:pt idx="190">
                  <c:v>6.8623132586195278E-3</c:v>
                </c:pt>
                <c:pt idx="191">
                  <c:v>6.8623132586195278E-3</c:v>
                </c:pt>
                <c:pt idx="192">
                  <c:v>6.8623132586195278E-3</c:v>
                </c:pt>
                <c:pt idx="193">
                  <c:v>6.8623132586195278E-3</c:v>
                </c:pt>
                <c:pt idx="194">
                  <c:v>6.8623132586195278E-3</c:v>
                </c:pt>
                <c:pt idx="195">
                  <c:v>6.8623132586195278E-3</c:v>
                </c:pt>
                <c:pt idx="196">
                  <c:v>6.8623132586195278E-3</c:v>
                </c:pt>
                <c:pt idx="197">
                  <c:v>6.8623132586195278E-3</c:v>
                </c:pt>
                <c:pt idx="198">
                  <c:v>6.8623132586195278E-3</c:v>
                </c:pt>
                <c:pt idx="199">
                  <c:v>6.8623132586195278E-3</c:v>
                </c:pt>
                <c:pt idx="200">
                  <c:v>6.8623132586195278E-3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0" zoomScale="80" zoomScaleNormal="80" workbookViewId="0">
      <selection activeCell="B18" sqref="B18:M31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B1" zoomScale="80" zoomScaleNormal="80" workbookViewId="0">
      <selection activeCell="E29" sqref="E29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5.37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112</v>
      </c>
      <c r="C9" s="32">
        <v>1</v>
      </c>
      <c r="D9" s="33">
        <f t="shared" ref="D9:D18" si="0">C9*$C$5</f>
        <v>5.37</v>
      </c>
      <c r="E9" s="34">
        <v>16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5.37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3" t="s">
        <v>325</v>
      </c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0.1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5</v>
      </c>
      <c r="B36" s="60">
        <v>8.0485944384629793</v>
      </c>
      <c r="C36" s="60">
        <v>5</v>
      </c>
      <c r="D36" s="60"/>
      <c r="E36" s="51"/>
      <c r="F36" s="51"/>
      <c r="G36" s="51"/>
      <c r="H36" s="51"/>
      <c r="I36" s="49">
        <f>IFERROR(B36/A36,"")</f>
        <v>1.6097188876925959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6</v>
      </c>
      <c r="B37" s="60">
        <v>13.749194077065079</v>
      </c>
      <c r="C37" s="60">
        <v>6</v>
      </c>
      <c r="D37" s="60"/>
      <c r="E37" s="51"/>
      <c r="F37" s="51"/>
      <c r="G37" s="51"/>
      <c r="H37" s="51"/>
      <c r="I37" s="53">
        <f t="shared" ref="I37:I55" si="1">IF(A37&lt;&gt;0,(B37-(B36-D36))/(A37-A36),"")</f>
        <v>5.7005996386020996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7</v>
      </c>
      <c r="B38" s="60">
        <v>21.474232769634895</v>
      </c>
      <c r="C38" s="60">
        <v>7</v>
      </c>
      <c r="D38" s="60"/>
      <c r="E38" s="51"/>
      <c r="F38" s="51"/>
      <c r="G38" s="51"/>
      <c r="H38" s="51"/>
      <c r="I38" s="53">
        <f t="shared" si="1"/>
        <v>7.7250386925698162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8</v>
      </c>
      <c r="B39" s="60">
        <v>31.36609390937711</v>
      </c>
      <c r="C39" s="60">
        <v>8</v>
      </c>
      <c r="D39" s="60"/>
      <c r="E39" s="51"/>
      <c r="F39" s="51"/>
      <c r="G39" s="51"/>
      <c r="H39" s="51"/>
      <c r="I39" s="49">
        <f t="shared" si="1"/>
        <v>9.8918611397422147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9</v>
      </c>
      <c r="B40" s="60">
        <v>43.47257996967268</v>
      </c>
      <c r="C40" s="60">
        <v>9</v>
      </c>
      <c r="D40" s="60"/>
      <c r="E40" s="51"/>
      <c r="F40" s="51"/>
      <c r="G40" s="51"/>
      <c r="H40" s="51"/>
      <c r="I40" s="49">
        <f t="shared" si="1"/>
        <v>12.10648606029557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10</v>
      </c>
      <c r="B41" s="60">
        <v>57.737994411193405</v>
      </c>
      <c r="C41" s="60">
        <v>10</v>
      </c>
      <c r="D41" s="60"/>
      <c r="E41" s="51"/>
      <c r="F41" s="51"/>
      <c r="G41" s="51"/>
      <c r="H41" s="51"/>
      <c r="I41" s="53">
        <f t="shared" si="1"/>
        <v>14.265414441520726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11</v>
      </c>
      <c r="B42" s="60">
        <v>73.99746729496762</v>
      </c>
      <c r="C42" s="60">
        <v>11</v>
      </c>
      <c r="D42" s="60"/>
      <c r="E42" s="51"/>
      <c r="F42" s="51"/>
      <c r="G42" s="51"/>
      <c r="H42" s="51"/>
      <c r="I42" s="53">
        <f t="shared" si="1"/>
        <v>16.259472883774215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12</v>
      </c>
      <c r="B43" s="60">
        <v>91.974802555648097</v>
      </c>
      <c r="C43" s="60">
        <v>12</v>
      </c>
      <c r="D43" s="60"/>
      <c r="E43" s="51"/>
      <c r="F43" s="51"/>
      <c r="G43" s="51"/>
      <c r="H43" s="51"/>
      <c r="I43" s="49">
        <f t="shared" si="1"/>
        <v>17.977335260680476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13</v>
      </c>
      <c r="B44" s="60">
        <v>111.2840819963934</v>
      </c>
      <c r="C44" s="60">
        <v>13</v>
      </c>
      <c r="D44" s="60"/>
      <c r="E44" s="51"/>
      <c r="F44" s="51"/>
      <c r="G44" s="51"/>
      <c r="H44" s="51"/>
      <c r="I44" s="49">
        <f t="shared" si="1"/>
        <v>19.3092794407453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14</v>
      </c>
      <c r="B45" s="60">
        <v>131.43521817393466</v>
      </c>
      <c r="C45" s="60">
        <v>14</v>
      </c>
      <c r="D45" s="60"/>
      <c r="E45" s="51"/>
      <c r="F45" s="51"/>
      <c r="G45" s="51"/>
      <c r="H45" s="51"/>
      <c r="I45" s="49">
        <f t="shared" si="1"/>
        <v>20.151136177541261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15</v>
      </c>
      <c r="B46" s="60">
        <v>151.84360544955959</v>
      </c>
      <c r="C46" s="60">
        <v>15</v>
      </c>
      <c r="D46" s="60"/>
      <c r="E46" s="51"/>
      <c r="F46" s="51"/>
      <c r="G46" s="51"/>
      <c r="H46" s="51"/>
      <c r="I46" s="49">
        <f t="shared" si="1"/>
        <v>20.408387275624932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16</v>
      </c>
      <c r="B47" s="60">
        <v>171.84397558890731</v>
      </c>
      <c r="C47" s="60">
        <v>16</v>
      </c>
      <c r="D47" s="60">
        <v>171.84</v>
      </c>
      <c r="E47" s="51">
        <v>0.77</v>
      </c>
      <c r="F47" s="51">
        <v>0.11</v>
      </c>
      <c r="G47" s="51">
        <v>0.1</v>
      </c>
      <c r="H47" s="51">
        <v>0.02</v>
      </c>
      <c r="I47" s="49">
        <f t="shared" si="1"/>
        <v>20.000370139347723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 t="shared" ref="I63:I78" si="2"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 t="shared" si="2"/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 t="shared" si="2"/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si="2"/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ref="I79:I81" si="3">IF(A79&lt;&gt;0,(B79-(B78-D78))/(A79-A78),"")</f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4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4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4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4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4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4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B8" sqref="B8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71.898749633453065</v>
      </c>
      <c r="T3" s="59">
        <f>IF('Données projet'!E9&gt;30,$R$33-$H$33,LOOKUP('Données projet'!$E$9,$A$3:$A$203,R3:R203)-LOOKUP('Données projet'!$E$9,$A$3:$A$203,$H$3:$H$203))</f>
        <v>213.4524723740343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1.6097188876925959</v>
      </c>
      <c r="N4" s="13">
        <f>IF('Données projet'!$A$36&gt;35,N3+M4-V3,IF(A4&lt;'Données projet'!$A$36,$K$205^A4,IF(A4='Données projet'!$A$36,'Données projet'!$B$36,N3+M4-V3)))</f>
        <v>1.5175534935796808</v>
      </c>
      <c r="O4" s="13">
        <f>N4*VLOOKUP('Données projet'!$B$9,Paramètres!$A$1:$I$89,3,0)*VLOOKUP('Données projet'!$B$9,Paramètres!$A$1:$I$89,5,0)</f>
        <v>0.77176700469488257</v>
      </c>
      <c r="P4" s="13">
        <f>EXP(-1.0587+0.8836*LN(O4)+0.284)</f>
        <v>0.36655139580501672</v>
      </c>
      <c r="Q4" s="20">
        <f t="shared" ref="Q4:Q34" si="2">(O4+P4)*0.475*44/12</f>
        <v>1.9825712142039913</v>
      </c>
      <c r="R4" s="59">
        <f t="shared" si="0"/>
        <v>259.87146010309283</v>
      </c>
      <c r="S4" s="59">
        <f ca="1">AVERAGE(OFFSET($R$3,0,0,'Données projet'!$E$9+1,1))-AVERAGE(OFFSET($H$3,0,0,'Données projet'!$E$9+1,1))</f>
        <v>71.898749633453065</v>
      </c>
      <c r="T4" s="59">
        <f>$T$3</f>
        <v>213.4524723740343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1.6097188876925959</v>
      </c>
      <c r="N5" s="13">
        <f>IF('Données projet'!$A$36&gt;35,N4+M5-V4,IF(A5&lt;'Données projet'!$A$36,$K$205^A5,IF(A5='Données projet'!$A$36,'Données projet'!$B$36,N4+M5-V4)))</f>
        <v>2.3029686058758942</v>
      </c>
      <c r="O5" s="13">
        <f>N5*VLOOKUP('Données projet'!$B$9,Paramètres!$A$1:$I$89,3,0)*VLOOKUP('Données projet'!$B$9,Paramètres!$A$1:$I$89,5,0)</f>
        <v>1.1711977142042449</v>
      </c>
      <c r="P5" s="13">
        <f t="shared" ref="P5:P68" si="33">EXP(-1.0587+0.8836*LN(O5)+0.284)</f>
        <v>0.52989976123525762</v>
      </c>
      <c r="Q5" s="20">
        <f t="shared" si="2"/>
        <v>2.9627447697238001</v>
      </c>
      <c r="R5" s="59">
        <f t="shared" si="0"/>
        <v>262.07385588083497</v>
      </c>
      <c r="S5" s="59">
        <f ca="1">AVERAGE(OFFSET($R$3,0,0,'Données projet'!$E$9+1,1))-AVERAGE(OFFSET($H$3,0,0,'Données projet'!$E$9+1,1))</f>
        <v>71.898749633453065</v>
      </c>
      <c r="T5" s="59">
        <f t="shared" ref="T5:T68" si="34">$T$3</f>
        <v>213.4524723740343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1.6097188876925959</v>
      </c>
      <c r="N6" s="13">
        <f>IF('Données projet'!$A$36&gt;35,N5+M6-V5,IF(A6&lt;'Données projet'!$A$36,$K$205^A6,IF(A6='Données projet'!$A$36,'Données projet'!$B$36,N5+M6-V5)))</f>
        <v>3.4948780534512904</v>
      </c>
      <c r="O6" s="13">
        <f>N6*VLOOKUP('Données projet'!$B$9,Paramètres!$A$1:$I$89,3,0)*VLOOKUP('Données projet'!$B$9,Paramètres!$A$1:$I$89,5,0)</f>
        <v>1.7773551828631882</v>
      </c>
      <c r="P6" s="13">
        <f t="shared" si="33"/>
        <v>0.76604197984434497</v>
      </c>
      <c r="Q6" s="20">
        <f t="shared" si="2"/>
        <v>4.4297500583822869</v>
      </c>
      <c r="R6" s="59">
        <f t="shared" si="0"/>
        <v>264.76308339171561</v>
      </c>
      <c r="S6" s="59">
        <f ca="1">AVERAGE(OFFSET($R$3,0,0,'Données projet'!$E$9+1,1))-AVERAGE(OFFSET($H$3,0,0,'Données projet'!$E$9+1,1))</f>
        <v>71.898749633453065</v>
      </c>
      <c r="T6" s="59">
        <f t="shared" si="34"/>
        <v>213.4524723740343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1.6097188876925959</v>
      </c>
      <c r="N7" s="13">
        <f>IF('Données projet'!$A$36&gt;35,N6+M7-V6,IF(A7&lt;'Données projet'!$A$36,$K$205^A7,IF(A7='Données projet'!$A$36,'Données projet'!$B$36,N6+M7-V6)))</f>
        <v>5.3036643996499597</v>
      </c>
      <c r="O7" s="13">
        <f>N7*VLOOKUP('Données projet'!$B$9,Paramètres!$A$1:$I$89,3,0)*VLOOKUP('Données projet'!$B$9,Paramètres!$A$1:$I$89,5,0)</f>
        <v>2.6972315670859834</v>
      </c>
      <c r="P7" s="13">
        <f t="shared" si="33"/>
        <v>1.1074175868958644</v>
      </c>
      <c r="Q7" s="20">
        <f t="shared" si="2"/>
        <v>6.6264306098517194</v>
      </c>
      <c r="R7" s="59">
        <f t="shared" si="0"/>
        <v>268.18198616540724</v>
      </c>
      <c r="S7" s="59">
        <f ca="1">AVERAGE(OFFSET($R$3,0,0,'Données projet'!$E$9+1,1))-AVERAGE(OFFSET($H$3,0,0,'Données projet'!$E$9+1,1))</f>
        <v>71.898749633453065</v>
      </c>
      <c r="T7" s="59">
        <f t="shared" si="34"/>
        <v>213.4524723740343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8.0485944384629793</v>
      </c>
      <c r="L8" s="12">
        <f>VLOOKUP(A8,'Données projet'!$A$35:$I$55,9,0)</f>
        <v>1.6097188876925959</v>
      </c>
      <c r="M8" s="12">
        <f t="array" ref="M8">INDEX(L:L,MIN(IF(ISNUMBER(L8:L204),ROW(L8:L204),"")))</f>
        <v>1.6097188876925959</v>
      </c>
      <c r="N8" s="13">
        <f>IF('Données projet'!$A$36&gt;35,N7+M8-V7,IF(A8&lt;'Données projet'!$A$36,$K$205^A8,IF(A8='Données projet'!$A$36,'Données projet'!$B$36,N7+M8-V7)))</f>
        <v>8.0485944384629793</v>
      </c>
      <c r="O8" s="13">
        <f>N8*VLOOKUP('Données projet'!$B$9,Paramètres!$A$1:$I$89,3,0)*VLOOKUP('Données projet'!$B$9,Paramètres!$A$1:$I$89,5,0)</f>
        <v>4.0931931876247329</v>
      </c>
      <c r="P8" s="13">
        <f t="shared" si="33"/>
        <v>1.6009223306736426</v>
      </c>
      <c r="Q8" s="20">
        <f t="shared" si="2"/>
        <v>9.9172511943696708</v>
      </c>
      <c r="R8" s="59">
        <f t="shared" si="0"/>
        <v>272.69502897214744</v>
      </c>
      <c r="S8" s="59">
        <f ca="1">AVERAGE(OFFSET($R$3,0,0,'Données projet'!$E$9+1,1))-AVERAGE(OFFSET($H$3,0,0,'Données projet'!$E$9+1,1))</f>
        <v>71.898749633453065</v>
      </c>
      <c r="T8" s="59">
        <f t="shared" si="34"/>
        <v>213.4524723740343</v>
      </c>
      <c r="U8" s="15">
        <f>IF(ISNA(VLOOKUP(A8,'Données projet'!$A$35:$I$55,3,0)),0,VLOOKUP(A8,'Données projet'!$A$35:$I$55,3,0))</f>
        <v>5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13.749194077065079</v>
      </c>
      <c r="L9" s="12">
        <f>VLOOKUP(A9,'Données projet'!$A$35:$I$55,9,0)</f>
        <v>5.7005996386020996</v>
      </c>
      <c r="M9" s="12">
        <f t="array" ref="M9">INDEX(L:L,MIN(IF(ISNUMBER(L9:L205),ROW(L9:L205),"")))</f>
        <v>5.7005996386020996</v>
      </c>
      <c r="N9" s="13">
        <f>IF('Données projet'!$A$36&gt;35,N8+M9-V8,IF(A9&lt;'Données projet'!$A$36,$K$205^A9,IF(A9='Données projet'!$A$36,'Données projet'!$B$36,N8+M9-V8)))</f>
        <v>13.749194077065079</v>
      </c>
      <c r="O9" s="13">
        <f>N9*VLOOKUP('Données projet'!$B$9,Paramètres!$A$1:$I$89,3,0)*VLOOKUP('Données projet'!$B$9,Paramètres!$A$1:$I$89,5,0)</f>
        <v>6.9922901398322166</v>
      </c>
      <c r="P9" s="13">
        <f t="shared" si="33"/>
        <v>2.569554317949974</v>
      </c>
      <c r="Q9" s="20">
        <f t="shared" si="2"/>
        <v>16.653545763970644</v>
      </c>
      <c r="R9" s="59">
        <f t="shared" si="0"/>
        <v>280.65354576397067</v>
      </c>
      <c r="S9" s="59">
        <f ca="1">AVERAGE(OFFSET($R$3,0,0,'Données projet'!$E$9+1,1))-AVERAGE(OFFSET($H$3,0,0,'Données projet'!$E$9+1,1))</f>
        <v>71.898749633453065</v>
      </c>
      <c r="T9" s="59">
        <f t="shared" si="34"/>
        <v>213.4524723740343</v>
      </c>
      <c r="U9" s="15">
        <f>IF(ISNA(VLOOKUP(A9,'Données projet'!$A$35:$I$55,3,0)),0,VLOOKUP(A9,'Données projet'!$A$35:$I$55,3,0))</f>
        <v>6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21.474232769634895</v>
      </c>
      <c r="L10" s="12">
        <f>VLOOKUP(A10,'Données projet'!$A$35:$I$55,9,0)</f>
        <v>7.7250386925698162</v>
      </c>
      <c r="M10" s="12">
        <f t="array" ref="M10">INDEX(L:L,MIN(IF(ISNUMBER(L10:L206),ROW(L10:L206),"")))</f>
        <v>7.7250386925698162</v>
      </c>
      <c r="N10" s="13">
        <f>IF('Données projet'!$A$36&gt;35,N9+M10-V9,IF(A10&lt;'Données projet'!$A$36,$K$205^A10,IF(A10='Données projet'!$A$36,'Données projet'!$B$36,N9+M10-V9)))</f>
        <v>21.474232769634895</v>
      </c>
      <c r="O10" s="13">
        <f>N10*VLOOKUP('Données projet'!$B$9,Paramètres!$A$1:$I$89,3,0)*VLOOKUP('Données projet'!$B$9,Paramètres!$A$1:$I$89,5,0)</f>
        <v>10.920935817325523</v>
      </c>
      <c r="P10" s="13">
        <f t="shared" si="33"/>
        <v>3.8102938741582979</v>
      </c>
      <c r="Q10" s="20">
        <f t="shared" si="2"/>
        <v>25.656891712667655</v>
      </c>
      <c r="R10" s="59">
        <f t="shared" si="0"/>
        <v>290.87911393488986</v>
      </c>
      <c r="S10" s="59">
        <f ca="1">AVERAGE(OFFSET($R$3,0,0,'Données projet'!$E$9+1,1))-AVERAGE(OFFSET($H$3,0,0,'Données projet'!$E$9+1,1))</f>
        <v>71.898749633453065</v>
      </c>
      <c r="T10" s="59">
        <f t="shared" si="34"/>
        <v>213.4524723740343</v>
      </c>
      <c r="U10" s="15">
        <f>IF(ISNA(VLOOKUP(A10,'Données projet'!$A$35:$I$55,3,0)),0,VLOOKUP(A10,'Données projet'!$A$35:$I$55,3,0))</f>
        <v>7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31.36609390937711</v>
      </c>
      <c r="L11" s="12">
        <f>VLOOKUP(A11,'Données projet'!$A$35:$I$55,9,0)</f>
        <v>9.8918611397422147</v>
      </c>
      <c r="M11" s="12">
        <f t="array" ref="M11">INDEX(L:L,MIN(IF(ISNUMBER(L11:L207),ROW(L11:L207),"")))</f>
        <v>9.8918611397422147</v>
      </c>
      <c r="N11" s="13">
        <f>IF('Données projet'!$A$36&gt;35,N10+M11-V10,IF(A11&lt;'Données projet'!$A$36,$K$205^A11,IF(A11='Données projet'!$A$36,'Données projet'!$B$36,N10+M11-V10)))</f>
        <v>31.36609390937711</v>
      </c>
      <c r="O11" s="13">
        <f>N11*VLOOKUP('Données projet'!$B$9,Paramètres!$A$1:$I$89,3,0)*VLOOKUP('Données projet'!$B$9,Paramètres!$A$1:$I$89,5,0)</f>
        <v>15.951540718552826</v>
      </c>
      <c r="P11" s="13">
        <f t="shared" si="33"/>
        <v>5.3253539043409726</v>
      </c>
      <c r="Q11" s="20">
        <f t="shared" si="2"/>
        <v>37.057258134873365</v>
      </c>
      <c r="R11" s="59">
        <f t="shared" si="0"/>
        <v>303.50170257931779</v>
      </c>
      <c r="S11" s="59">
        <f ca="1">AVERAGE(OFFSET($R$3,0,0,'Données projet'!$E$9+1,1))-AVERAGE(OFFSET($H$3,0,0,'Données projet'!$E$9+1,1))</f>
        <v>71.898749633453065</v>
      </c>
      <c r="T11" s="59">
        <f t="shared" si="34"/>
        <v>213.4524723740343</v>
      </c>
      <c r="U11" s="15">
        <f>IF(ISNA(VLOOKUP(A11,'Données projet'!$A$35:$I$55,3,0)),0,VLOOKUP(A11,'Données projet'!$A$35:$I$55,3,0))</f>
        <v>8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43.47257996967268</v>
      </c>
      <c r="L12" s="12">
        <f>VLOOKUP(A12,'Données projet'!$A$35:$I$55,9,0)</f>
        <v>12.10648606029557</v>
      </c>
      <c r="M12" s="12">
        <f t="array" ref="M12">INDEX(L:L,MIN(IF(ISNUMBER(L12:L208),ROW(L12:L208),"")))</f>
        <v>12.10648606029557</v>
      </c>
      <c r="N12" s="13">
        <f>IF('Données projet'!$A$36&gt;35,N11+M12-V11,IF(A12&lt;'Données projet'!$A$36,$K$205^A12,IF(A12='Données projet'!$A$36,'Données projet'!$B$36,N11+M12-V11)))</f>
        <v>43.47257996967268</v>
      </c>
      <c r="O12" s="13">
        <f>N12*VLOOKUP('Données projet'!$B$9,Paramètres!$A$1:$I$89,3,0)*VLOOKUP('Données projet'!$B$9,Paramètres!$A$1:$I$89,5,0)</f>
        <v>22.108415269376739</v>
      </c>
      <c r="P12" s="13">
        <f t="shared" si="33"/>
        <v>7.1056395339348972</v>
      </c>
      <c r="Q12" s="20">
        <f t="shared" si="2"/>
        <v>50.881145449101098</v>
      </c>
      <c r="R12" s="59">
        <f t="shared" si="0"/>
        <v>318.54781211576778</v>
      </c>
      <c r="S12" s="59">
        <f ca="1">AVERAGE(OFFSET($R$3,0,0,'Données projet'!$E$9+1,1))-AVERAGE(OFFSET($H$3,0,0,'Données projet'!$E$9+1,1))</f>
        <v>71.898749633453065</v>
      </c>
      <c r="T12" s="59">
        <f t="shared" si="34"/>
        <v>213.4524723740343</v>
      </c>
      <c r="U12" s="15">
        <f>IF(ISNA(VLOOKUP(A12,'Données projet'!$A$35:$I$55,3,0)),0,VLOOKUP(A12,'Données projet'!$A$35:$I$55,3,0))</f>
        <v>9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57.737994411193405</v>
      </c>
      <c r="L13" s="12">
        <f>VLOOKUP(A13,'Données projet'!$A$35:$I$55,9,0)</f>
        <v>14.265414441520726</v>
      </c>
      <c r="M13" s="12">
        <f t="array" ref="M13">INDEX(L:L,MIN(IF(ISNUMBER(L13:L209),ROW(L13:L209),"")))</f>
        <v>14.265414441520726</v>
      </c>
      <c r="N13" s="13">
        <f>IF('Données projet'!$A$36&gt;35,N12+M13-V12,IF(A13&lt;'Données projet'!$A$36,$K$205^A13,IF(A13='Données projet'!$A$36,'Données projet'!$B$36,N12+M13-V12)))</f>
        <v>57.737994411193405</v>
      </c>
      <c r="O13" s="13">
        <f>N13*VLOOKUP('Données projet'!$B$9,Paramètres!$A$1:$I$89,3,0)*VLOOKUP('Données projet'!$B$9,Paramètres!$A$1:$I$89,5,0)</f>
        <v>29.363234437756521</v>
      </c>
      <c r="P13" s="13">
        <f t="shared" si="33"/>
        <v>9.1306897104136127</v>
      </c>
      <c r="Q13" s="20">
        <f t="shared" si="2"/>
        <v>67.043584558062989</v>
      </c>
      <c r="R13" s="59">
        <f t="shared" si="0"/>
        <v>335.93247344695186</v>
      </c>
      <c r="S13" s="59">
        <f ca="1">AVERAGE(OFFSET($R$3,0,0,'Données projet'!$E$9+1,1))-AVERAGE(OFFSET($H$3,0,0,'Données projet'!$E$9+1,1))</f>
        <v>71.898749633453065</v>
      </c>
      <c r="T13" s="59">
        <f t="shared" si="34"/>
        <v>213.4524723740343</v>
      </c>
      <c r="U13" s="15">
        <f>IF(ISNA(VLOOKUP(A13,'Données projet'!$A$35:$I$55,3,0)),0,VLOOKUP(A13,'Données projet'!$A$35:$I$55,3,0))</f>
        <v>10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73.99746729496762</v>
      </c>
      <c r="L14" s="12">
        <f>VLOOKUP(A14,'Données projet'!$A$35:$I$55,9,0)</f>
        <v>16.259472883774215</v>
      </c>
      <c r="M14" s="12">
        <f t="array" ref="M14">INDEX(L:L,MIN(IF(ISNUMBER(L14:L210),ROW(L14:L210),"")))</f>
        <v>16.259472883774215</v>
      </c>
      <c r="N14" s="13">
        <f>IF('Données projet'!$A$36&gt;35,N13+M14-V13,IF(A14&lt;'Données projet'!$A$36,$K$205^A14,IF(A14='Données projet'!$A$36,'Données projet'!$B$36,N13+M14-V13)))</f>
        <v>73.99746729496762</v>
      </c>
      <c r="O14" s="13">
        <f>N14*VLOOKUP('Données projet'!$B$9,Paramètres!$A$1:$I$89,3,0)*VLOOKUP('Données projet'!$B$9,Paramètres!$A$1:$I$89,5,0)</f>
        <v>37.632151967528735</v>
      </c>
      <c r="P14" s="13">
        <f t="shared" si="33"/>
        <v>11.368837130659852</v>
      </c>
      <c r="Q14" s="20">
        <f t="shared" si="2"/>
        <v>85.343389346011762</v>
      </c>
      <c r="R14" s="59">
        <f t="shared" si="0"/>
        <v>355.45450045712289</v>
      </c>
      <c r="S14" s="59">
        <f ca="1">AVERAGE(OFFSET($R$3,0,0,'Données projet'!$E$9+1,1))-AVERAGE(OFFSET($H$3,0,0,'Données projet'!$E$9+1,1))</f>
        <v>71.898749633453065</v>
      </c>
      <c r="T14" s="59">
        <f t="shared" si="34"/>
        <v>213.4524723740343</v>
      </c>
      <c r="U14" s="15">
        <f>IF(ISNA(VLOOKUP(A14,'Données projet'!$A$35:$I$55,3,0)),0,VLOOKUP(A14,'Données projet'!$A$35:$I$55,3,0))</f>
        <v>11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91.974802555648097</v>
      </c>
      <c r="L15" s="12">
        <f>VLOOKUP(A15,'Données projet'!$A$35:$I$55,9,0)</f>
        <v>17.977335260680476</v>
      </c>
      <c r="M15" s="12">
        <f t="array" ref="M15">INDEX(L:L,MIN(IF(ISNUMBER(L15:L211),ROW(L15:L211),"")))</f>
        <v>17.977335260680476</v>
      </c>
      <c r="N15" s="13">
        <f>IF('Données projet'!$A$36&gt;35,N14+M15-V14,IF(A15&lt;'Données projet'!$A$36,$K$205^A15,IF(A15='Données projet'!$A$36,'Données projet'!$B$36,N14+M15-V14)))</f>
        <v>91.974802555648097</v>
      </c>
      <c r="O15" s="13">
        <f>N15*VLOOKUP('Données projet'!$B$9,Paramètres!$A$1:$I$89,3,0)*VLOOKUP('Données projet'!$B$9,Paramètres!$A$1:$I$89,5,0)</f>
        <v>46.774705587700403</v>
      </c>
      <c r="P15" s="13">
        <f t="shared" si="33"/>
        <v>13.777608499233871</v>
      </c>
      <c r="Q15" s="20">
        <f t="shared" si="2"/>
        <v>105.46194703474386</v>
      </c>
      <c r="R15" s="59">
        <f t="shared" si="0"/>
        <v>376.79528036807716</v>
      </c>
      <c r="S15" s="59">
        <f ca="1">AVERAGE(OFFSET($R$3,0,0,'Données projet'!$E$9+1,1))-AVERAGE(OFFSET($H$3,0,0,'Données projet'!$E$9+1,1))</f>
        <v>71.898749633453065</v>
      </c>
      <c r="T15" s="59">
        <f t="shared" si="34"/>
        <v>213.4524723740343</v>
      </c>
      <c r="U15" s="15">
        <f>IF(ISNA(VLOOKUP(A15,'Données projet'!$A$35:$I$55,3,0)),0,VLOOKUP(A15,'Données projet'!$A$35:$I$55,3,0))</f>
        <v>12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111.2840819963934</v>
      </c>
      <c r="L16" s="12">
        <f>VLOOKUP(A16,'Données projet'!$A$35:$I$55,9,0)</f>
        <v>19.3092794407453</v>
      </c>
      <c r="M16" s="12">
        <f t="array" ref="M16">INDEX(L:L,MIN(IF(ISNUMBER(L16:L212),ROW(L16:L212),"")))</f>
        <v>19.3092794407453</v>
      </c>
      <c r="N16" s="13">
        <f>IF('Données projet'!$A$36&gt;35,N15+M16-V15,IF(A16&lt;'Données projet'!$A$36,$K$205^A16,IF(A16='Données projet'!$A$36,'Données projet'!$B$36,N15+M16-V15)))</f>
        <v>111.2840819963934</v>
      </c>
      <c r="O16" s="13">
        <f>N16*VLOOKUP('Données projet'!$B$9,Paramètres!$A$1:$I$89,3,0)*VLOOKUP('Données projet'!$B$9,Paramètres!$A$1:$I$89,5,0)</f>
        <v>56.594632740085828</v>
      </c>
      <c r="P16" s="13">
        <f t="shared" si="33"/>
        <v>16.304379381094815</v>
      </c>
      <c r="Q16" s="20">
        <f t="shared" si="2"/>
        <v>126.96577944438961</v>
      </c>
      <c r="R16" s="59">
        <f t="shared" si="0"/>
        <v>399.52133499994517</v>
      </c>
      <c r="S16" s="59">
        <f ca="1">AVERAGE(OFFSET($R$3,0,0,'Données projet'!$E$9+1,1))-AVERAGE(OFFSET($H$3,0,0,'Données projet'!$E$9+1,1))</f>
        <v>71.898749633453065</v>
      </c>
      <c r="T16" s="59">
        <f t="shared" si="34"/>
        <v>213.4524723740343</v>
      </c>
      <c r="U16" s="15">
        <f>IF(ISNA(VLOOKUP(A16,'Données projet'!$A$35:$I$55,3,0)),0,VLOOKUP(A16,'Données projet'!$A$35:$I$55,3,0))</f>
        <v>13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131.43521817393466</v>
      </c>
      <c r="L17" s="12">
        <f>VLOOKUP(A17,'Données projet'!$A$35:$I$55,9,0)</f>
        <v>20.151136177541261</v>
      </c>
      <c r="M17" s="12">
        <f t="array" ref="M17">INDEX(L:L,MIN(IF(ISNUMBER(L17:L213),ROW(L17:L213),"")))</f>
        <v>20.151136177541261</v>
      </c>
      <c r="N17" s="13">
        <f>IF('Données projet'!$A$36&gt;35,N16+M17-V16,IF(A17&lt;'Données projet'!$A$36,$K$205^A17,IF(A17='Données projet'!$A$36,'Données projet'!$B$36,N16+M17-V16)))</f>
        <v>131.43521817393466</v>
      </c>
      <c r="O17" s="13">
        <f>N17*VLOOKUP('Données projet'!$B$9,Paramètres!$A$1:$I$89,3,0)*VLOOKUP('Données projet'!$B$9,Paramètres!$A$1:$I$89,5,0)</f>
        <v>66.842694554536223</v>
      </c>
      <c r="P17" s="13">
        <f t="shared" si="33"/>
        <v>18.887293713885693</v>
      </c>
      <c r="Q17" s="20">
        <f t="shared" si="2"/>
        <v>149.31306290083484</v>
      </c>
      <c r="R17" s="59">
        <f t="shared" si="0"/>
        <v>423.09084067861261</v>
      </c>
      <c r="S17" s="59">
        <f ca="1">AVERAGE(OFFSET($R$3,0,0,'Données projet'!$E$9+1,1))-AVERAGE(OFFSET($H$3,0,0,'Données projet'!$E$9+1,1))</f>
        <v>71.898749633453065</v>
      </c>
      <c r="T17" s="59">
        <f t="shared" si="34"/>
        <v>213.4524723740343</v>
      </c>
      <c r="U17" s="15">
        <f>IF(ISNA(VLOOKUP(A17,'Données projet'!$A$35:$I$55,3,0)),0,VLOOKUP(A17,'Données projet'!$A$35:$I$55,3,0))</f>
        <v>14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151.84360544955959</v>
      </c>
      <c r="L18" s="12">
        <f>VLOOKUP(A18,'Données projet'!$A$35:$I$55,9,0)</f>
        <v>20.408387275624932</v>
      </c>
      <c r="M18" s="12">
        <f t="array" ref="M18">INDEX(L:L,MIN(IF(ISNUMBER(L18:L214),ROW(L18:L214),"")))</f>
        <v>20.408387275624932</v>
      </c>
      <c r="N18" s="13">
        <f>IF('Données projet'!$A$36&gt;35,N17+M18-V17,IF(A18&lt;'Données projet'!$A$36,$K$205^A18,IF(A18='Données projet'!$A$36,'Données projet'!$B$36,N17+M18-V17)))</f>
        <v>151.84360544955959</v>
      </c>
      <c r="O18" s="13">
        <f>N18*VLOOKUP('Données projet'!$B$9,Paramètres!$A$1:$I$89,3,0)*VLOOKUP('Données projet'!$B$9,Paramètres!$A$1:$I$89,5,0)</f>
        <v>77.221583987428033</v>
      </c>
      <c r="P18" s="13">
        <f t="shared" si="33"/>
        <v>21.456455746627558</v>
      </c>
      <c r="Q18" s="20">
        <f t="shared" si="2"/>
        <v>171.8642525368135</v>
      </c>
      <c r="R18" s="59">
        <f t="shared" si="0"/>
        <v>446.86425253681352</v>
      </c>
      <c r="S18" s="59">
        <f ca="1">AVERAGE(OFFSET($R$3,0,0,'Données projet'!$E$9+1,1))-AVERAGE(OFFSET($H$3,0,0,'Données projet'!$E$9+1,1))</f>
        <v>71.898749633453065</v>
      </c>
      <c r="T18" s="59">
        <f t="shared" si="34"/>
        <v>213.4524723740343</v>
      </c>
      <c r="U18" s="15">
        <f>IF(ISNA(VLOOKUP(A18,'Données projet'!$A$35:$I$55,3,0)),0,VLOOKUP(A18,'Données projet'!$A$35:$I$55,3,0))</f>
        <v>15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171.84397558890731</v>
      </c>
      <c r="L19" s="12">
        <f>VLOOKUP(A19,'Données projet'!$A$35:$I$55,9,0)</f>
        <v>20.000370139347723</v>
      </c>
      <c r="M19" s="12">
        <f t="array" ref="M19">INDEX(L:L,MIN(IF(ISNUMBER(L19:L215),ROW(L19:L215),"")))</f>
        <v>20.000370139347723</v>
      </c>
      <c r="N19" s="13">
        <f>IF('Données projet'!$A$36&gt;35,N18+M19-V18,IF(A19&lt;'Données projet'!$A$36,$K$205^A19,IF(A19='Données projet'!$A$36,'Données projet'!$B$36,N18+M19-V18)))</f>
        <v>171.84397558890731</v>
      </c>
      <c r="O19" s="13">
        <f>N19*VLOOKUP('Données projet'!$B$9,Paramètres!$A$1:$I$89,3,0)*VLOOKUP('Données projet'!$B$9,Paramètres!$A$1:$I$89,5,0)</f>
        <v>87.392972225494717</v>
      </c>
      <c r="P19" s="13">
        <f t="shared" si="33"/>
        <v>23.935401067411764</v>
      </c>
      <c r="Q19" s="20">
        <f t="shared" si="2"/>
        <v>193.89691681847876</v>
      </c>
      <c r="R19" s="59">
        <f t="shared" si="0"/>
        <v>470.11913904070099</v>
      </c>
      <c r="S19" s="59">
        <f ca="1">AVERAGE(OFFSET($R$3,0,0,'Données projet'!$E$9+1,1))-AVERAGE(OFFSET($H$3,0,0,'Données projet'!$E$9+1,1))</f>
        <v>71.898749633453065</v>
      </c>
      <c r="T19" s="59">
        <f t="shared" si="34"/>
        <v>213.4524723740343</v>
      </c>
      <c r="U19" s="15">
        <f>IF(ISNA(VLOOKUP(A19,'Données projet'!$A$35:$I$55,3,0)),0,VLOOKUP(A19,'Données projet'!$A$35:$I$55,3,0))</f>
        <v>16</v>
      </c>
      <c r="V19" s="15">
        <f>IF(ISNA(VLOOKUP(A19,'Données projet'!$A$35:$I$55,4,0)),0,VLOOKUP(A19,'Données projet'!$A$35:$I$55,4,0))</f>
        <v>171.84</v>
      </c>
      <c r="W19" s="16">
        <f>IF(ISNA(VLOOKUP(A19,'Données projet'!$A$35:$I$55,5,0)),0%,VLOOKUP(A19,'Données projet'!$A$35:$I$55,5,0)*VLOOKUP('Données projet'!$B$9,Paramètres!$A$1:$I$89,7,0))</f>
        <v>0.46199999999999997</v>
      </c>
      <c r="X19" s="16">
        <f>IF(ISNA(VLOOKUP(A19,'Données projet'!$A$35:$I$55,6,0)),0%,VLOOKUP(A19,'Données projet'!$A$35:$I$55,6,0)*VLOOKUP('Données projet'!$B$9,Paramètres!$A$1:$I$89,7,0))</f>
        <v>6.6000000000000003E-2</v>
      </c>
      <c r="Y19" s="16">
        <f>IF(ISNA(VLOOKUP(A19,'Données projet'!$A$35:$I$55,7,0)),0%,VLOOKUP(A19,'Données projet'!$A$35:$I$55,7,0))</f>
        <v>0.1</v>
      </c>
      <c r="Z19" s="21">
        <f>EXP(-LN(2)/35)*Z18+(1-EXP(-LN(2)/35))/(LN(2)/35)*V19*W19*VLOOKUP('Données projet'!$B$9,Paramètres!$A$1:$I$89,3,0)*0.475*44/12</f>
        <v>44.632945483172158</v>
      </c>
      <c r="AA19" s="21">
        <f>EXP(-LN(2)/25)*AA18+(1-EXP(-LN(2)/25))/(LN(2)/25)*Calculateur!V19*Calculateur!X19*VLOOKUP('Données projet'!$B$9,Paramètres!$A$1:$I$89,3,0)*0.475*44/12</f>
        <v>6.3510297957599136</v>
      </c>
      <c r="AB19" s="21">
        <f>EXP(-LN(2)/2)*AB18+(1-EXP(-LN(2)/2))/(LN(2)/2)*V19*Y19*VLOOKUP('Données projet'!$B$9,Paramètres!$A$1:$I$89,3,0)*0.475*44/12</f>
        <v>8.2455713795344519</v>
      </c>
      <c r="AC19" s="22">
        <f t="shared" si="3"/>
        <v>59.229546658466525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0</v>
      </c>
      <c r="N20" s="13">
        <f>IF('Données projet'!$A$36&gt;35,N19+M20-V19,IF(A20&lt;'Données projet'!$A$36,$K$205^A20,IF(A20='Données projet'!$A$36,'Données projet'!$B$36,N19+M20-V19)))</f>
        <v>3.9755889073092021E-3</v>
      </c>
      <c r="O20" s="13">
        <f>N20*VLOOKUP('Données projet'!$B$9,Paramètres!$A$1:$I$89,3,0)*VLOOKUP('Données projet'!$B$9,Paramètres!$A$1:$I$89,5,0)</f>
        <v>2.0218254947011681E-3</v>
      </c>
      <c r="P20" s="13">
        <f t="shared" si="33"/>
        <v>1.918258672927269E-3</v>
      </c>
      <c r="Q20" s="20">
        <f t="shared" si="2"/>
        <v>6.8623132586195278E-3</v>
      </c>
      <c r="R20" s="59">
        <f t="shared" si="0"/>
        <v>277.45130675770309</v>
      </c>
      <c r="S20" s="59">
        <f ca="1">AVERAGE(OFFSET($R$3,0,0,'Données projet'!$E$9+1,1))-AVERAGE(OFFSET($H$3,0,0,'Données projet'!$E$9+1,1))</f>
        <v>71.898749633453065</v>
      </c>
      <c r="T20" s="59">
        <f t="shared" si="34"/>
        <v>213.4524723740343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43.757720645655809</v>
      </c>
      <c r="AA20" s="21">
        <f>EXP(-LN(2)/25)*AA19+(1-EXP(-LN(2)/25))/(LN(2)/25)*Calculateur!V20*Calculateur!X20*VLOOKUP('Données projet'!$B$9,Paramètres!$A$1:$I$89,3,0)*0.475*44/12</f>
        <v>6.1773605520087171</v>
      </c>
      <c r="AB20" s="21">
        <f>EXP(-LN(2)/2)*AB19+(1-EXP(-LN(2)/2))/(LN(2)/2)*V20*Y20*VLOOKUP('Données projet'!$B$9,Paramètres!$A$1:$I$89,3,0)*0.475*44/12</f>
        <v>5.8304994372265266</v>
      </c>
      <c r="AC20" s="22">
        <f t="shared" si="3"/>
        <v>55.765580634891052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0</v>
      </c>
      <c r="N21" s="13">
        <f>IF('Données projet'!$A$36&gt;35,N20+M21-V20,IF(A21&lt;'Données projet'!$A$36,$K$205^A21,IF(A21='Données projet'!$A$36,'Données projet'!$B$36,N20+M21-V20)))</f>
        <v>3.9755889073092021E-3</v>
      </c>
      <c r="O21" s="13">
        <f>N21*VLOOKUP('Données projet'!$B$9,Paramètres!$A$1:$I$89,3,0)*VLOOKUP('Données projet'!$B$9,Paramètres!$A$1:$I$89,5,0)</f>
        <v>2.0218254947011681E-3</v>
      </c>
      <c r="P21" s="13">
        <f t="shared" si="33"/>
        <v>1.918258672927269E-3</v>
      </c>
      <c r="Q21" s="20">
        <f t="shared" si="2"/>
        <v>6.8623132586195278E-3</v>
      </c>
      <c r="R21" s="59">
        <f t="shared" si="0"/>
        <v>278.67352897992532</v>
      </c>
      <c r="S21" s="59">
        <f ca="1">AVERAGE(OFFSET($R$3,0,0,'Données projet'!$E$9+1,1))-AVERAGE(OFFSET($H$3,0,0,'Données projet'!$E$9+1,1))</f>
        <v>71.898749633453065</v>
      </c>
      <c r="T21" s="59">
        <f t="shared" si="34"/>
        <v>213.4524723740343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42.899658433368714</v>
      </c>
      <c r="AA21" s="21">
        <f>EXP(-LN(2)/25)*AA20+(1-EXP(-LN(2)/25))/(LN(2)/25)*Calculateur!V21*Calculateur!X21*VLOOKUP('Données projet'!$B$9,Paramètres!$A$1:$I$89,3,0)*0.475*44/12</f>
        <v>6.008440302860766</v>
      </c>
      <c r="AB21" s="21">
        <f>EXP(-LN(2)/2)*AB20+(1-EXP(-LN(2)/2))/(LN(2)/2)*V21*Y21*VLOOKUP('Données projet'!$B$9,Paramètres!$A$1:$I$89,3,0)*0.475*44/12</f>
        <v>4.1227856897672259</v>
      </c>
      <c r="AC21" s="22">
        <f t="shared" si="3"/>
        <v>53.030884425996703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3.9755889073092021E-3</v>
      </c>
      <c r="O22" s="13">
        <f>N22*VLOOKUP('Données projet'!$B$9,Paramètres!$A$1:$I$89,3,0)*VLOOKUP('Données projet'!$B$9,Paramètres!$A$1:$I$89,5,0)</f>
        <v>2.0218254947011681E-3</v>
      </c>
      <c r="P22" s="13">
        <f t="shared" si="33"/>
        <v>1.918258672927269E-3</v>
      </c>
      <c r="Q22" s="20">
        <f t="shared" si="2"/>
        <v>6.8623132586195278E-3</v>
      </c>
      <c r="R22" s="59">
        <f t="shared" si="0"/>
        <v>279.89575120214749</v>
      </c>
      <c r="S22" s="59">
        <f ca="1">AVERAGE(OFFSET($R$3,0,0,'Données projet'!$E$9+1,1))-AVERAGE(OFFSET($H$3,0,0,'Données projet'!$E$9+1,1))</f>
        <v>71.898749633453065</v>
      </c>
      <c r="T22" s="59">
        <f t="shared" si="34"/>
        <v>213.4524723740343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42.0584222976983</v>
      </c>
      <c r="AA22" s="21">
        <f>EXP(-LN(2)/25)*AA21+(1-EXP(-LN(2)/25))/(LN(2)/25)*Calculateur!V22*Calculateur!X22*VLOOKUP('Données projet'!$B$9,Paramètres!$A$1:$I$89,3,0)*0.475*44/12</f>
        <v>5.8441391868088957</v>
      </c>
      <c r="AB22" s="21">
        <f>EXP(-LN(2)/2)*AB21+(1-EXP(-LN(2)/2))/(LN(2)/2)*V22*Y22*VLOOKUP('Données projet'!$B$9,Paramètres!$A$1:$I$89,3,0)*0.475*44/12</f>
        <v>2.9152497186132633</v>
      </c>
      <c r="AC22" s="22">
        <f t="shared" si="3"/>
        <v>50.817811203120456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3.9755889073092021E-3</v>
      </c>
      <c r="O23" s="13">
        <f>N23*VLOOKUP('Données projet'!$B$9,Paramètres!$A$1:$I$89,3,0)*VLOOKUP('Données projet'!$B$9,Paramètres!$A$1:$I$89,5,0)</f>
        <v>2.0218254947011681E-3</v>
      </c>
      <c r="P23" s="13">
        <f t="shared" si="33"/>
        <v>1.918258672927269E-3</v>
      </c>
      <c r="Q23" s="20">
        <f t="shared" si="2"/>
        <v>6.8623132586195278E-3</v>
      </c>
      <c r="R23" s="59">
        <f t="shared" si="0"/>
        <v>281.11797342436978</v>
      </c>
      <c r="S23" s="59">
        <f ca="1">AVERAGE(OFFSET($R$3,0,0,'Données projet'!$E$9+1,1))-AVERAGE(OFFSET($H$3,0,0,'Données projet'!$E$9+1,1))</f>
        <v>71.898749633453065</v>
      </c>
      <c r="T23" s="59">
        <f t="shared" si="34"/>
        <v>213.4524723740343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41.233682289545001</v>
      </c>
      <c r="AA23" s="21">
        <f>EXP(-LN(2)/25)*AA22+(1-EXP(-LN(2)/25))/(LN(2)/25)*Calculateur!V23*Calculateur!X23*VLOOKUP('Données projet'!$B$9,Paramètres!$A$1:$I$89,3,0)*0.475*44/12</f>
        <v>5.6843308934156838</v>
      </c>
      <c r="AB23" s="21">
        <f>EXP(-LN(2)/2)*AB22+(1-EXP(-LN(2)/2))/(LN(2)/2)*V23*Y23*VLOOKUP('Données projet'!$B$9,Paramètres!$A$1:$I$89,3,0)*0.475*44/12</f>
        <v>2.061392844883613</v>
      </c>
      <c r="AC23" s="22">
        <f t="shared" si="3"/>
        <v>48.979406027844298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3.9755889073092021E-3</v>
      </c>
      <c r="O24" s="13">
        <f>N24*VLOOKUP('Données projet'!$B$9,Paramètres!$A$1:$I$89,3,0)*VLOOKUP('Données projet'!$B$9,Paramètres!$A$1:$I$89,5,0)</f>
        <v>2.0218254947011681E-3</v>
      </c>
      <c r="P24" s="13">
        <f t="shared" si="33"/>
        <v>1.918258672927269E-3</v>
      </c>
      <c r="Q24" s="20">
        <f t="shared" si="2"/>
        <v>6.8623132586195278E-3</v>
      </c>
      <c r="R24" s="59">
        <f t="shared" si="0"/>
        <v>282.34019564659195</v>
      </c>
      <c r="S24" s="59">
        <f ca="1">AVERAGE(OFFSET($R$3,0,0,'Données projet'!$E$9+1,1))-AVERAGE(OFFSET($H$3,0,0,'Données projet'!$E$9+1,1))</f>
        <v>71.898749633453065</v>
      </c>
      <c r="T24" s="59">
        <f t="shared" si="34"/>
        <v>213.4524723740343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40.42511492990986</v>
      </c>
      <c r="AA24" s="21">
        <f>EXP(-LN(2)/25)*AA23+(1-EXP(-LN(2)/25))/(LN(2)/25)*Calculateur!V24*Calculateur!X24*VLOOKUP('Données projet'!$B$9,Paramètres!$A$1:$I$89,3,0)*0.475*44/12</f>
        <v>5.5288925662092616</v>
      </c>
      <c r="AB24" s="21">
        <f>EXP(-LN(2)/2)*AB23+(1-EXP(-LN(2)/2))/(LN(2)/2)*V24*Y24*VLOOKUP('Données projet'!$B$9,Paramètres!$A$1:$I$89,3,0)*0.475*44/12</f>
        <v>1.4576248593066317</v>
      </c>
      <c r="AC24" s="22">
        <f t="shared" si="3"/>
        <v>47.411632355425752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3.9755889073092021E-3</v>
      </c>
      <c r="O25" s="13">
        <f>N25*VLOOKUP('Données projet'!$B$9,Paramètres!$A$1:$I$89,3,0)*VLOOKUP('Données projet'!$B$9,Paramètres!$A$1:$I$89,5,0)</f>
        <v>2.0218254947011681E-3</v>
      </c>
      <c r="P25" s="13">
        <f t="shared" si="33"/>
        <v>1.918258672927269E-3</v>
      </c>
      <c r="Q25" s="20">
        <f t="shared" si="2"/>
        <v>6.8623132586195278E-3</v>
      </c>
      <c r="R25" s="59">
        <f t="shared" si="0"/>
        <v>283.56241786881418</v>
      </c>
      <c r="S25" s="59">
        <f ca="1">AVERAGE(OFFSET($R$3,0,0,'Données projet'!$E$9+1,1))-AVERAGE(OFFSET($H$3,0,0,'Données projet'!$E$9+1,1))</f>
        <v>71.898749633453065</v>
      </c>
      <c r="T25" s="59">
        <f t="shared" si="34"/>
        <v>213.4524723740343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39.632403083019767</v>
      </c>
      <c r="AA25" s="21">
        <f>EXP(-LN(2)/25)*AA24+(1-EXP(-LN(2)/25))/(LN(2)/25)*Calculateur!V25*Calculateur!X25*VLOOKUP('Données projet'!$B$9,Paramètres!$A$1:$I$89,3,0)*0.475*44/12</f>
        <v>5.3777047082344458</v>
      </c>
      <c r="AB25" s="21">
        <f>EXP(-LN(2)/2)*AB24+(1-EXP(-LN(2)/2))/(LN(2)/2)*V25*Y25*VLOOKUP('Données projet'!$B$9,Paramètres!$A$1:$I$89,3,0)*0.475*44/12</f>
        <v>1.0306964224418065</v>
      </c>
      <c r="AC25" s="22">
        <f t="shared" si="3"/>
        <v>46.04080421369602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3.9755889073092021E-3</v>
      </c>
      <c r="O26" s="13">
        <f>N26*VLOOKUP('Données projet'!$B$9,Paramètres!$A$1:$I$89,3,0)*VLOOKUP('Données projet'!$B$9,Paramètres!$A$1:$I$89,5,0)</f>
        <v>2.0218254947011681E-3</v>
      </c>
      <c r="P26" s="13">
        <f t="shared" si="33"/>
        <v>1.918258672927269E-3</v>
      </c>
      <c r="Q26" s="20">
        <f t="shared" si="2"/>
        <v>6.8623132586195278E-3</v>
      </c>
      <c r="R26" s="59">
        <f t="shared" si="0"/>
        <v>284.78464009103641</v>
      </c>
      <c r="S26" s="59">
        <f ca="1">AVERAGE(OFFSET($R$3,0,0,'Données projet'!$E$9+1,1))-AVERAGE(OFFSET($H$3,0,0,'Données projet'!$E$9+1,1))</f>
        <v>71.898749633453065</v>
      </c>
      <c r="T26" s="59">
        <f t="shared" si="34"/>
        <v>213.4524723740343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38.855235831940711</v>
      </c>
      <c r="AA26" s="21">
        <f>EXP(-LN(2)/25)*AA25+(1-EXP(-LN(2)/25))/(LN(2)/25)*Calculateur!V26*Calculateur!X26*VLOOKUP('Données projet'!$B$9,Paramètres!$A$1:$I$89,3,0)*0.475*44/12</f>
        <v>5.2306510901865755</v>
      </c>
      <c r="AB26" s="21">
        <f>EXP(-LN(2)/2)*AB25+(1-EXP(-LN(2)/2))/(LN(2)/2)*V26*Y26*VLOOKUP('Données projet'!$B$9,Paramètres!$A$1:$I$89,3,0)*0.475*44/12</f>
        <v>0.72881242965331583</v>
      </c>
      <c r="AC26" s="22">
        <f t="shared" si="3"/>
        <v>44.814699351780604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3.9755889073092021E-3</v>
      </c>
      <c r="O27" s="13">
        <f>N27*VLOOKUP('Données projet'!$B$9,Paramètres!$A$1:$I$89,3,0)*VLOOKUP('Données projet'!$B$9,Paramètres!$A$1:$I$89,5,0)</f>
        <v>2.0218254947011681E-3</v>
      </c>
      <c r="P27" s="13">
        <f t="shared" si="33"/>
        <v>1.918258672927269E-3</v>
      </c>
      <c r="Q27" s="20">
        <f t="shared" si="2"/>
        <v>6.8623132586195278E-3</v>
      </c>
      <c r="R27" s="59">
        <f t="shared" si="0"/>
        <v>286.00686231325864</v>
      </c>
      <c r="S27" s="59">
        <f ca="1">AVERAGE(OFFSET($R$3,0,0,'Données projet'!$E$9+1,1))-AVERAGE(OFFSET($H$3,0,0,'Données projet'!$E$9+1,1))</f>
        <v>71.898749633453065</v>
      </c>
      <c r="T27" s="59">
        <f t="shared" si="34"/>
        <v>213.4524723740343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38.093308356630097</v>
      </c>
      <c r="AA27" s="21">
        <f>EXP(-LN(2)/25)*AA26+(1-EXP(-LN(2)/25))/(LN(2)/25)*Calculateur!V27*Calculateur!X27*VLOOKUP('Données projet'!$B$9,Paramètres!$A$1:$I$89,3,0)*0.475*44/12</f>
        <v>5.0876186610574372</v>
      </c>
      <c r="AB27" s="21">
        <f>EXP(-LN(2)/2)*AB26+(1-EXP(-LN(2)/2))/(LN(2)/2)*V27*Y27*VLOOKUP('Données projet'!$B$9,Paramètres!$A$1:$I$89,3,0)*0.475*44/12</f>
        <v>0.51534821122090324</v>
      </c>
      <c r="AC27" s="22">
        <f t="shared" si="3"/>
        <v>43.696275228908441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3.9755889073092021E-3</v>
      </c>
      <c r="O28" s="13">
        <f>N28*VLOOKUP('Données projet'!$B$9,Paramètres!$A$1:$I$89,3,0)*VLOOKUP('Données projet'!$B$9,Paramètres!$A$1:$I$89,5,0)</f>
        <v>2.0218254947011681E-3</v>
      </c>
      <c r="P28" s="13">
        <f t="shared" si="33"/>
        <v>1.918258672927269E-3</v>
      </c>
      <c r="Q28" s="20">
        <f t="shared" si="2"/>
        <v>6.8623132586195278E-3</v>
      </c>
      <c r="R28" s="59">
        <f t="shared" si="0"/>
        <v>287.22908453548087</v>
      </c>
      <c r="S28" s="59">
        <f ca="1">AVERAGE(OFFSET($R$3,0,0,'Données projet'!$E$9+1,1))-AVERAGE(OFFSET($H$3,0,0,'Données projet'!$E$9+1,1))</f>
        <v>71.898749633453065</v>
      </c>
      <c r="T28" s="59">
        <f t="shared" si="34"/>
        <v>213.4524723740343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37.346321814380453</v>
      </c>
      <c r="AA28" s="21">
        <f>EXP(-LN(2)/25)*AA27+(1-EXP(-LN(2)/25))/(LN(2)/25)*Calculateur!V28*Calculateur!X28*VLOOKUP('Données projet'!$B$9,Paramètres!$A$1:$I$89,3,0)*0.475*44/12</f>
        <v>4.9484974612245844</v>
      </c>
      <c r="AB28" s="21">
        <f>EXP(-LN(2)/2)*AB27+(1-EXP(-LN(2)/2))/(LN(2)/2)*V28*Y28*VLOOKUP('Données projet'!$B$9,Paramètres!$A$1:$I$89,3,0)*0.475*44/12</f>
        <v>0.36440621482665791</v>
      </c>
      <c r="AC28" s="22">
        <f t="shared" si="3"/>
        <v>42.659225490431695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3.9755889073092021E-3</v>
      </c>
      <c r="O29" s="13">
        <f>N29*VLOOKUP('Données projet'!$B$9,Paramètres!$A$1:$I$89,3,0)*VLOOKUP('Données projet'!$B$9,Paramètres!$A$1:$I$89,5,0)</f>
        <v>2.0218254947011681E-3</v>
      </c>
      <c r="P29" s="13">
        <f t="shared" si="33"/>
        <v>1.918258672927269E-3</v>
      </c>
      <c r="Q29" s="20">
        <f t="shared" si="2"/>
        <v>6.8623132586195278E-3</v>
      </c>
      <c r="R29" s="59">
        <f t="shared" si="0"/>
        <v>288.45130675770309</v>
      </c>
      <c r="S29" s="59">
        <f ca="1">AVERAGE(OFFSET($R$3,0,0,'Données projet'!$E$9+1,1))-AVERAGE(OFFSET($H$3,0,0,'Données projet'!$E$9+1,1))</f>
        <v>71.898749633453065</v>
      </c>
      <c r="T29" s="59">
        <f t="shared" si="34"/>
        <v>213.4524723740343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36.613983222607516</v>
      </c>
      <c r="AA29" s="21">
        <f>EXP(-LN(2)/25)*AA28+(1-EXP(-LN(2)/25))/(LN(2)/25)*Calculateur!V29*Calculateur!X29*VLOOKUP('Données projet'!$B$9,Paramètres!$A$1:$I$89,3,0)*0.475*44/12</f>
        <v>4.8131805379172263</v>
      </c>
      <c r="AB29" s="21">
        <f>EXP(-LN(2)/2)*AB28+(1-EXP(-LN(2)/2))/(LN(2)/2)*V29*Y29*VLOOKUP('Données projet'!$B$9,Paramètres!$A$1:$I$89,3,0)*0.475*44/12</f>
        <v>0.25767410561045162</v>
      </c>
      <c r="AC29" s="22">
        <f t="shared" si="3"/>
        <v>41.68483786613519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3.9755889073092021E-3</v>
      </c>
      <c r="O30" s="13">
        <f>N30*VLOOKUP('Données projet'!$B$9,Paramètres!$A$1:$I$89,3,0)*VLOOKUP('Données projet'!$B$9,Paramètres!$A$1:$I$89,5,0)</f>
        <v>2.0218254947011681E-3</v>
      </c>
      <c r="P30" s="13">
        <f t="shared" si="33"/>
        <v>1.918258672927269E-3</v>
      </c>
      <c r="Q30" s="20">
        <f t="shared" si="2"/>
        <v>6.8623132586195278E-3</v>
      </c>
      <c r="R30" s="59">
        <f t="shared" si="0"/>
        <v>289.67352897992532</v>
      </c>
      <c r="S30" s="59">
        <f ca="1">AVERAGE(OFFSET($R$3,0,0,'Données projet'!$E$9+1,1))-AVERAGE(OFFSET($H$3,0,0,'Données projet'!$E$9+1,1))</f>
        <v>71.898749633453065</v>
      </c>
      <c r="T30" s="59">
        <f t="shared" si="34"/>
        <v>213.4524723740343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35.896005343936814</v>
      </c>
      <c r="AA30" s="21">
        <f>EXP(-LN(2)/25)*AA29+(1-EXP(-LN(2)/25))/(LN(2)/25)*Calculateur!V30*Calculateur!X30*VLOOKUP('Données projet'!$B$9,Paramètres!$A$1:$I$89,3,0)*0.475*44/12</f>
        <v>4.6815638629937162</v>
      </c>
      <c r="AB30" s="21">
        <f>EXP(-LN(2)/2)*AB29+(1-EXP(-LN(2)/2))/(LN(2)/2)*V30*Y30*VLOOKUP('Données projet'!$B$9,Paramètres!$A$1:$I$89,3,0)*0.475*44/12</f>
        <v>0.18220310741332896</v>
      </c>
      <c r="AC30" s="22">
        <f t="shared" si="3"/>
        <v>40.759772314343863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3.9755889073092021E-3</v>
      </c>
      <c r="O31" s="13">
        <f>N31*VLOOKUP('Données projet'!$B$9,Paramètres!$A$1:$I$89,3,0)*VLOOKUP('Données projet'!$B$9,Paramètres!$A$1:$I$89,5,0)</f>
        <v>2.0218254947011681E-3</v>
      </c>
      <c r="P31" s="13">
        <f t="shared" si="33"/>
        <v>1.918258672927269E-3</v>
      </c>
      <c r="Q31" s="20">
        <f t="shared" si="2"/>
        <v>6.8623132586195278E-3</v>
      </c>
      <c r="R31" s="59">
        <f t="shared" si="0"/>
        <v>290.89575120214749</v>
      </c>
      <c r="S31" s="59">
        <f ca="1">AVERAGE(OFFSET($R$3,0,0,'Données projet'!$E$9+1,1))-AVERAGE(OFFSET($H$3,0,0,'Données projet'!$E$9+1,1))</f>
        <v>71.898749633453065</v>
      </c>
      <c r="T31" s="59">
        <f t="shared" si="34"/>
        <v>213.4524723740343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35.192106573543583</v>
      </c>
      <c r="AA31" s="21">
        <f>EXP(-LN(2)/25)*AA30+(1-EXP(-LN(2)/25))/(LN(2)/25)*Calculateur!V31*Calculateur!X31*VLOOKUP('Données projet'!$B$9,Paramètres!$A$1:$I$89,3,0)*0.475*44/12</f>
        <v>4.5535462529674096</v>
      </c>
      <c r="AB31" s="21">
        <f>EXP(-LN(2)/2)*AB30+(1-EXP(-LN(2)/2))/(LN(2)/2)*V31*Y31*VLOOKUP('Données projet'!$B$9,Paramètres!$A$1:$I$89,3,0)*0.475*44/12</f>
        <v>0.12883705280522581</v>
      </c>
      <c r="AC31" s="22">
        <f t="shared" si="3"/>
        <v>39.874489879316215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3.9755889073092021E-3</v>
      </c>
      <c r="O32" s="13">
        <f>N32*VLOOKUP('Données projet'!$B$9,Paramètres!$A$1:$I$89,3,0)*VLOOKUP('Données projet'!$B$9,Paramètres!$A$1:$I$89,5,0)</f>
        <v>2.0218254947011681E-3</v>
      </c>
      <c r="P32" s="13">
        <f t="shared" si="33"/>
        <v>1.918258672927269E-3</v>
      </c>
      <c r="Q32" s="20">
        <f t="shared" si="2"/>
        <v>6.8623132586195278E-3</v>
      </c>
      <c r="R32" s="59">
        <f t="shared" si="0"/>
        <v>292.11797342436978</v>
      </c>
      <c r="S32" s="59">
        <f ca="1">AVERAGE(OFFSET($R$3,0,0,'Données projet'!$E$9+1,1))-AVERAGE(OFFSET($H$3,0,0,'Données projet'!$E$9+1,1))</f>
        <v>71.898749633453065</v>
      </c>
      <c r="T32" s="59">
        <f t="shared" si="34"/>
        <v>213.4524723740343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34.502010828701906</v>
      </c>
      <c r="AA32" s="21">
        <f>EXP(-LN(2)/25)*AA31+(1-EXP(-LN(2)/25))/(LN(2)/25)*Calculateur!V32*Calculateur!X32*VLOOKUP('Données projet'!$B$9,Paramètres!$A$1:$I$89,3,0)*0.475*44/12</f>
        <v>4.4290292912194253</v>
      </c>
      <c r="AB32" s="21">
        <f>EXP(-LN(2)/2)*AB31+(1-EXP(-LN(2)/2))/(LN(2)/2)*V32*Y32*VLOOKUP('Données projet'!$B$9,Paramètres!$A$1:$I$89,3,0)*0.475*44/12</f>
        <v>9.1101553706664479E-2</v>
      </c>
      <c r="AC32" s="22">
        <f t="shared" si="3"/>
        <v>39.022141673627999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3.9755889073092021E-3</v>
      </c>
      <c r="O33" s="13">
        <f>N33*VLOOKUP('Données projet'!$B$9,Paramètres!$A$1:$I$89,3,0)*VLOOKUP('Données projet'!$B$9,Paramètres!$A$1:$I$89,5,0)</f>
        <v>2.0218254947011681E-3</v>
      </c>
      <c r="P33" s="13">
        <f t="shared" si="33"/>
        <v>1.918258672927269E-3</v>
      </c>
      <c r="Q33" s="20">
        <f t="shared" si="2"/>
        <v>6.8623132586195278E-3</v>
      </c>
      <c r="R33" s="59">
        <f t="shared" si="0"/>
        <v>293.34019564659195</v>
      </c>
      <c r="S33" s="59">
        <f ca="1">AVERAGE(OFFSET($R$3,0,0,'Données projet'!$E$9+1,1))-AVERAGE(OFFSET($H$3,0,0,'Données projet'!$E$9+1,1))</f>
        <v>71.898749633453065</v>
      </c>
      <c r="T33" s="59">
        <f t="shared" si="34"/>
        <v>213.4524723740343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33.82544744049973</v>
      </c>
      <c r="AA33" s="21">
        <f>EXP(-LN(2)/25)*AA32+(1-EXP(-LN(2)/25))/(LN(2)/25)*Calculateur!V33*Calculateur!X33*VLOOKUP('Données projet'!$B$9,Paramètres!$A$1:$I$89,3,0)*0.475*44/12</f>
        <v>4.3079172523385028</v>
      </c>
      <c r="AB33" s="21">
        <f>EXP(-LN(2)/2)*AB32+(1-EXP(-LN(2)/2))/(LN(2)/2)*V33*Y33*VLOOKUP('Données projet'!$B$9,Paramètres!$A$1:$I$89,3,0)*0.475*44/12</f>
        <v>6.4418526402612905E-2</v>
      </c>
      <c r="AC33" s="22">
        <f t="shared" si="3"/>
        <v>38.197783219240847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3.9755889073092021E-3</v>
      </c>
      <c r="O34" s="13">
        <f>N34*VLOOKUP('Données projet'!$B$9,Paramètres!$A$1:$I$89,3,0)*VLOOKUP('Données projet'!$B$9,Paramètres!$A$1:$I$89,5,0)</f>
        <v>2.0218254947011681E-3</v>
      </c>
      <c r="P34" s="13">
        <f t="shared" si="33"/>
        <v>1.918258672927269E-3</v>
      </c>
      <c r="Q34" s="20">
        <f t="shared" si="2"/>
        <v>6.8623132586195278E-3</v>
      </c>
      <c r="R34" s="59">
        <f t="shared" si="0"/>
        <v>293.34019564659195</v>
      </c>
      <c r="S34" s="59">
        <f ca="1">AVERAGE(OFFSET($R$3,0,0,'Données projet'!$E$9+1,1))-AVERAGE(OFFSET($H$3,0,0,'Données projet'!$E$9+1,1))</f>
        <v>71.898749633453065</v>
      </c>
      <c r="T34" s="59">
        <f t="shared" si="34"/>
        <v>213.4524723740343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33.162151047677277</v>
      </c>
      <c r="AA34" s="21">
        <f>EXP(-LN(2)/25)*AA33+(1-EXP(-LN(2)/25))/(LN(2)/25)*Calculateur!V34*Calculateur!X34*VLOOKUP('Données projet'!$B$9,Paramètres!$A$1:$I$89,3,0)*0.475*44/12</f>
        <v>4.1901170285297837</v>
      </c>
      <c r="AB34" s="21">
        <f>EXP(-LN(2)/2)*AB33+(1-EXP(-LN(2)/2))/(LN(2)/2)*V34*Y34*VLOOKUP('Données projet'!$B$9,Paramètres!$A$1:$I$89,3,0)*0.475*44/12</f>
        <v>4.5550776853332239E-2</v>
      </c>
      <c r="AC34" s="22">
        <f t="shared" si="3"/>
        <v>37.397818853060393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3.9755889073092021E-3</v>
      </c>
      <c r="O35" s="13">
        <f>N35*VLOOKUP('Données projet'!$B$9,Paramètres!$A$1:$I$89,3,0)*VLOOKUP('Données projet'!$B$9,Paramètres!$A$1:$I$89,5,0)</f>
        <v>2.0218254947011681E-3</v>
      </c>
      <c r="P35" s="13">
        <f t="shared" si="33"/>
        <v>1.918258672927269E-3</v>
      </c>
      <c r="Q35" s="20">
        <f t="shared" ref="Q35:Q66" si="53">(O35+P35)*0.475*44/12</f>
        <v>6.8623132586195278E-3</v>
      </c>
      <c r="R35" s="59">
        <f t="shared" si="0"/>
        <v>293.34019564659195</v>
      </c>
      <c r="S35" s="59">
        <f ca="1">AVERAGE(OFFSET($R$3,0,0,'Données projet'!$E$9+1,1))-AVERAGE(OFFSET($H$3,0,0,'Données projet'!$E$9+1,1))</f>
        <v>71.898749633453065</v>
      </c>
      <c r="T35" s="59">
        <f t="shared" si="34"/>
        <v>213.4524723740343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32.511861492547226</v>
      </c>
      <c r="AA35" s="21">
        <f>EXP(-LN(2)/25)*AA34+(1-EXP(-LN(2)/25))/(LN(2)/25)*Calculateur!V35*Calculateur!X35*VLOOKUP('Données projet'!$B$9,Paramètres!$A$1:$I$89,3,0)*0.475*44/12</f>
        <v>4.075538058035959</v>
      </c>
      <c r="AB35" s="21">
        <f>EXP(-LN(2)/2)*AB34+(1-EXP(-LN(2)/2))/(LN(2)/2)*V35*Y35*VLOOKUP('Données projet'!$B$9,Paramètres!$A$1:$I$89,3,0)*0.475*44/12</f>
        <v>3.2209263201306453E-2</v>
      </c>
      <c r="AC35" s="22">
        <f t="shared" si="3"/>
        <v>36.619608813784495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3.9755889073092021E-3</v>
      </c>
      <c r="O36" s="13">
        <f>N36*VLOOKUP('Données projet'!$B$9,Paramètres!$A$1:$I$89,3,0)*VLOOKUP('Données projet'!$B$9,Paramètres!$A$1:$I$89,5,0)</f>
        <v>2.0218254947011681E-3</v>
      </c>
      <c r="P36" s="13">
        <f t="shared" si="33"/>
        <v>1.918258672927269E-3</v>
      </c>
      <c r="Q36" s="20">
        <f t="shared" si="53"/>
        <v>6.8623132586195278E-3</v>
      </c>
      <c r="R36" s="59">
        <f t="shared" si="0"/>
        <v>293.34019564659195</v>
      </c>
      <c r="S36" s="59">
        <f ca="1">AVERAGE(OFFSET($R$3,0,0,'Données projet'!$E$9+1,1))-AVERAGE(OFFSET($H$3,0,0,'Données projet'!$E$9+1,1))</f>
        <v>71.898749633453065</v>
      </c>
      <c r="T36" s="59">
        <f t="shared" si="34"/>
        <v>213.4524723740343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31.874323718955807</v>
      </c>
      <c r="AA36" s="21">
        <f>EXP(-LN(2)/25)*AA35+(1-EXP(-LN(2)/25))/(LN(2)/25)*Calculateur!V36*Calculateur!X36*VLOOKUP('Données projet'!$B$9,Paramètres!$A$1:$I$89,3,0)*0.475*44/12</f>
        <v>3.9640922555157339</v>
      </c>
      <c r="AB36" s="21">
        <f>EXP(-LN(2)/2)*AB35+(1-EXP(-LN(2)/2))/(LN(2)/2)*V36*Y36*VLOOKUP('Données projet'!$B$9,Paramètres!$A$1:$I$89,3,0)*0.475*44/12</f>
        <v>2.277538842666612E-2</v>
      </c>
      <c r="AC36" s="22">
        <f t="shared" si="3"/>
        <v>35.861191362898211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3.9755889073092021E-3</v>
      </c>
      <c r="O37" s="13">
        <f>N37*VLOOKUP('Données projet'!$B$9,Paramètres!$A$1:$I$89,3,0)*VLOOKUP('Données projet'!$B$9,Paramètres!$A$1:$I$89,5,0)</f>
        <v>2.0218254947011681E-3</v>
      </c>
      <c r="P37" s="13">
        <f t="shared" si="33"/>
        <v>1.918258672927269E-3</v>
      </c>
      <c r="Q37" s="20">
        <f t="shared" si="53"/>
        <v>6.8623132586195278E-3</v>
      </c>
      <c r="R37" s="59">
        <f t="shared" si="0"/>
        <v>293.34019564659195</v>
      </c>
      <c r="S37" s="59">
        <f ca="1">AVERAGE(OFFSET($R$3,0,0,'Données projet'!$E$9+1,1))-AVERAGE(OFFSET($H$3,0,0,'Données projet'!$E$9+1,1))</f>
        <v>71.898749633453065</v>
      </c>
      <c r="T37" s="59">
        <f t="shared" si="34"/>
        <v>213.4524723740343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31.249287672244872</v>
      </c>
      <c r="AA37" s="21">
        <f>EXP(-LN(2)/25)*AA36+(1-EXP(-LN(2)/25))/(LN(2)/25)*Calculateur!V37*Calculateur!X37*VLOOKUP('Données projet'!$B$9,Paramètres!$A$1:$I$89,3,0)*0.475*44/12</f>
        <v>3.8556939443261045</v>
      </c>
      <c r="AB37" s="21">
        <f>EXP(-LN(2)/2)*AB36+(1-EXP(-LN(2)/2))/(LN(2)/2)*V37*Y37*VLOOKUP('Données projet'!$B$9,Paramètres!$A$1:$I$89,3,0)*0.475*44/12</f>
        <v>1.6104631600653226E-2</v>
      </c>
      <c r="AC37" s="22">
        <f t="shared" si="3"/>
        <v>35.121086248171629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3.9755889073092021E-3</v>
      </c>
      <c r="O38" s="13">
        <f>N38*VLOOKUP('Données projet'!$B$9,Paramètres!$A$1:$I$89,3,0)*VLOOKUP('Données projet'!$B$9,Paramètres!$A$1:$I$89,5,0)</f>
        <v>2.0218254947011681E-3</v>
      </c>
      <c r="P38" s="13">
        <f t="shared" si="33"/>
        <v>1.918258672927269E-3</v>
      </c>
      <c r="Q38" s="20">
        <f t="shared" si="53"/>
        <v>6.8623132586195278E-3</v>
      </c>
      <c r="R38" s="59">
        <f t="shared" si="0"/>
        <v>293.34019564659195</v>
      </c>
      <c r="S38" s="59">
        <f ca="1">AVERAGE(OFFSET($R$3,0,0,'Données projet'!$E$9+1,1))-AVERAGE(OFFSET($H$3,0,0,'Données projet'!$E$9+1,1))</f>
        <v>71.898749633453065</v>
      </c>
      <c r="T38" s="59">
        <f t="shared" si="34"/>
        <v>213.4524723740343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30.636508201175594</v>
      </c>
      <c r="AA38" s="21">
        <f>EXP(-LN(2)/25)*AA37+(1-EXP(-LN(2)/25))/(LN(2)/25)*Calculateur!V38*Calculateur!X38*VLOOKUP('Données projet'!$B$9,Paramètres!$A$1:$I$89,3,0)*0.475*44/12</f>
        <v>3.7502597906563748</v>
      </c>
      <c r="AB38" s="21">
        <f>EXP(-LN(2)/2)*AB37+(1-EXP(-LN(2)/2))/(LN(2)/2)*V38*Y38*VLOOKUP('Données projet'!$B$9,Paramètres!$A$1:$I$89,3,0)*0.475*44/12</f>
        <v>1.138769421333306E-2</v>
      </c>
      <c r="AC38" s="22">
        <f t="shared" si="3"/>
        <v>34.3981556860453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3.9755889073092021E-3</v>
      </c>
      <c r="O39" s="13">
        <f>N39*VLOOKUP('Données projet'!$B$9,Paramètres!$A$1:$I$89,3,0)*VLOOKUP('Données projet'!$B$9,Paramètres!$A$1:$I$89,5,0)</f>
        <v>2.0218254947011681E-3</v>
      </c>
      <c r="P39" s="13">
        <f t="shared" si="33"/>
        <v>1.918258672927269E-3</v>
      </c>
      <c r="Q39" s="20">
        <f t="shared" si="53"/>
        <v>6.8623132586195278E-3</v>
      </c>
      <c r="R39" s="59">
        <f t="shared" si="0"/>
        <v>293.34019564659195</v>
      </c>
      <c r="S39" s="59">
        <f ca="1">AVERAGE(OFFSET($R$3,0,0,'Données projet'!$E$9+1,1))-AVERAGE(OFFSET($H$3,0,0,'Données projet'!$E$9+1,1))</f>
        <v>71.898749633453065</v>
      </c>
      <c r="T39" s="59">
        <f t="shared" si="34"/>
        <v>213.4524723740343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30.035744961775414</v>
      </c>
      <c r="AA39" s="21">
        <f>EXP(-LN(2)/25)*AA38+(1-EXP(-LN(2)/25))/(LN(2)/25)*Calculateur!V39*Calculateur!X39*VLOOKUP('Données projet'!$B$9,Paramètres!$A$1:$I$89,3,0)*0.475*44/12</f>
        <v>3.647708739463285</v>
      </c>
      <c r="AB39" s="21">
        <f>EXP(-LN(2)/2)*AB38+(1-EXP(-LN(2)/2))/(LN(2)/2)*V39*Y39*VLOOKUP('Données projet'!$B$9,Paramètres!$A$1:$I$89,3,0)*0.475*44/12</f>
        <v>8.0523158003266131E-3</v>
      </c>
      <c r="AC39" s="22">
        <f t="shared" si="3"/>
        <v>33.691506017039025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3.9755889073092021E-3</v>
      </c>
      <c r="O40" s="13">
        <f>N40*VLOOKUP('Données projet'!$B$9,Paramètres!$A$1:$I$89,3,0)*VLOOKUP('Données projet'!$B$9,Paramètres!$A$1:$I$89,5,0)</f>
        <v>2.0218254947011681E-3</v>
      </c>
      <c r="P40" s="13">
        <f t="shared" si="33"/>
        <v>1.918258672927269E-3</v>
      </c>
      <c r="Q40" s="20">
        <f t="shared" si="53"/>
        <v>6.8623132586195278E-3</v>
      </c>
      <c r="R40" s="59">
        <f t="shared" si="0"/>
        <v>293.34019564659195</v>
      </c>
      <c r="S40" s="59">
        <f ca="1">AVERAGE(OFFSET($R$3,0,0,'Données projet'!$E$9+1,1))-AVERAGE(OFFSET($H$3,0,0,'Données projet'!$E$9+1,1))</f>
        <v>71.898749633453065</v>
      </c>
      <c r="T40" s="59">
        <f t="shared" si="34"/>
        <v>213.4524723740343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29.446762323070477</v>
      </c>
      <c r="AA40" s="21">
        <f>EXP(-LN(2)/25)*AA39+(1-EXP(-LN(2)/25))/(LN(2)/25)*Calculateur!V40*Calculateur!X40*VLOOKUP('Données projet'!$B$9,Paramètres!$A$1:$I$89,3,0)*0.475*44/12</f>
        <v>3.5479619521579959</v>
      </c>
      <c r="AB40" s="21">
        <f>EXP(-LN(2)/2)*AB39+(1-EXP(-LN(2)/2))/(LN(2)/2)*V40*Y40*VLOOKUP('Données projet'!$B$9,Paramètres!$A$1:$I$89,3,0)*0.475*44/12</f>
        <v>5.6938471066665299E-3</v>
      </c>
      <c r="AC40" s="22">
        <f t="shared" si="3"/>
        <v>33.000418122335134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3.9755889073092021E-3</v>
      </c>
      <c r="O41" s="13">
        <f>N41*VLOOKUP('Données projet'!$B$9,Paramètres!$A$1:$I$89,3,0)*VLOOKUP('Données projet'!$B$9,Paramètres!$A$1:$I$89,5,0)</f>
        <v>2.0218254947011681E-3</v>
      </c>
      <c r="P41" s="13">
        <f t="shared" si="33"/>
        <v>1.918258672927269E-3</v>
      </c>
      <c r="Q41" s="20">
        <f t="shared" si="53"/>
        <v>6.8623132586195278E-3</v>
      </c>
      <c r="R41" s="59">
        <f t="shared" si="0"/>
        <v>293.34019564659195</v>
      </c>
      <c r="S41" s="59">
        <f ca="1">AVERAGE(OFFSET($R$3,0,0,'Données projet'!$E$9+1,1))-AVERAGE(OFFSET($H$3,0,0,'Données projet'!$E$9+1,1))</f>
        <v>71.898749633453065</v>
      </c>
      <c r="T41" s="59">
        <f t="shared" si="34"/>
        <v>213.4524723740343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28.869329274666605</v>
      </c>
      <c r="AA41" s="21">
        <f>EXP(-LN(2)/25)*AA40+(1-EXP(-LN(2)/25))/(LN(2)/25)*Calculateur!V41*Calculateur!X41*VLOOKUP('Données projet'!$B$9,Paramètres!$A$1:$I$89,3,0)*0.475*44/12</f>
        <v>3.4509427459970254</v>
      </c>
      <c r="AB41" s="21">
        <f>EXP(-LN(2)/2)*AB40+(1-EXP(-LN(2)/2))/(LN(2)/2)*V41*Y41*VLOOKUP('Données projet'!$B$9,Paramètres!$A$1:$I$89,3,0)*0.475*44/12</f>
        <v>4.0261579001633066E-3</v>
      </c>
      <c r="AC41" s="22">
        <f t="shared" si="3"/>
        <v>32.324298178563794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3.9755889073092021E-3</v>
      </c>
      <c r="O42" s="13">
        <f>N42*VLOOKUP('Données projet'!$B$9,Paramètres!$A$1:$I$89,3,0)*VLOOKUP('Données projet'!$B$9,Paramètres!$A$1:$I$89,5,0)</f>
        <v>2.0218254947011681E-3</v>
      </c>
      <c r="P42" s="13">
        <f t="shared" si="33"/>
        <v>1.918258672927269E-3</v>
      </c>
      <c r="Q42" s="20">
        <f t="shared" si="53"/>
        <v>6.8623132586195278E-3</v>
      </c>
      <c r="R42" s="59">
        <f t="shared" si="0"/>
        <v>293.34019564659195</v>
      </c>
      <c r="S42" s="59">
        <f ca="1">AVERAGE(OFFSET($R$3,0,0,'Données projet'!$E$9+1,1))-AVERAGE(OFFSET($H$3,0,0,'Données projet'!$E$9+1,1))</f>
        <v>71.898749633453065</v>
      </c>
      <c r="T42" s="59">
        <f t="shared" si="34"/>
        <v>213.4524723740343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28.303219336142551</v>
      </c>
      <c r="AA42" s="21">
        <f>EXP(-LN(2)/25)*AA41+(1-EXP(-LN(2)/25))/(LN(2)/25)*Calculateur!V42*Calculateur!X42*VLOOKUP('Données projet'!$B$9,Paramètres!$A$1:$I$89,3,0)*0.475*44/12</f>
        <v>3.3565765351305452</v>
      </c>
      <c r="AB42" s="21">
        <f>EXP(-LN(2)/2)*AB41+(1-EXP(-LN(2)/2))/(LN(2)/2)*V42*Y42*VLOOKUP('Données projet'!$B$9,Paramètres!$A$1:$I$89,3,0)*0.475*44/12</f>
        <v>2.846923553333265E-3</v>
      </c>
      <c r="AC42" s="22">
        <f t="shared" si="3"/>
        <v>31.662642794826429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3.9755889073092021E-3</v>
      </c>
      <c r="O43" s="13">
        <f>N43*VLOOKUP('Données projet'!$B$9,Paramètres!$A$1:$I$89,3,0)*VLOOKUP('Données projet'!$B$9,Paramètres!$A$1:$I$89,5,0)</f>
        <v>2.0218254947011681E-3</v>
      </c>
      <c r="P43" s="13">
        <f t="shared" si="33"/>
        <v>1.918258672927269E-3</v>
      </c>
      <c r="Q43" s="20">
        <f t="shared" si="53"/>
        <v>6.8623132586195278E-3</v>
      </c>
      <c r="R43" s="59">
        <f t="shared" si="0"/>
        <v>293.34019564659195</v>
      </c>
      <c r="S43" s="59">
        <f ca="1">AVERAGE(OFFSET($R$3,0,0,'Données projet'!$E$9+1,1))-AVERAGE(OFFSET($H$3,0,0,'Données projet'!$E$9+1,1))</f>
        <v>71.898749633453065</v>
      </c>
      <c r="T43" s="59">
        <f t="shared" si="34"/>
        <v>213.4524723740343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27.748210468219984</v>
      </c>
      <c r="AA43" s="21">
        <f>EXP(-LN(2)/25)*AA42+(1-EXP(-LN(2)/25))/(LN(2)/25)*Calculateur!V43*Calculateur!X43*VLOOKUP('Données projet'!$B$9,Paramètres!$A$1:$I$89,3,0)*0.475*44/12</f>
        <v>3.2647907732627122</v>
      </c>
      <c r="AB43" s="21">
        <f>EXP(-LN(2)/2)*AB42+(1-EXP(-LN(2)/2))/(LN(2)/2)*V43*Y43*VLOOKUP('Données projet'!$B$9,Paramètres!$A$1:$I$89,3,0)*0.475*44/12</f>
        <v>2.0130789500816533E-3</v>
      </c>
      <c r="AC43" s="22">
        <f t="shared" si="3"/>
        <v>31.01501432043278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3.9755889073092021E-3</v>
      </c>
      <c r="O44" s="13">
        <f>N44*VLOOKUP('Données projet'!$B$9,Paramètres!$A$1:$I$89,3,0)*VLOOKUP('Données projet'!$B$9,Paramètres!$A$1:$I$89,5,0)</f>
        <v>2.0218254947011681E-3</v>
      </c>
      <c r="P44" s="13">
        <f t="shared" si="33"/>
        <v>1.918258672927269E-3</v>
      </c>
      <c r="Q44" s="20">
        <f t="shared" si="53"/>
        <v>6.8623132586195278E-3</v>
      </c>
      <c r="R44" s="59">
        <f t="shared" si="0"/>
        <v>293.34019564659195</v>
      </c>
      <c r="S44" s="59">
        <f ca="1">AVERAGE(OFFSET($R$3,0,0,'Données projet'!$E$9+1,1))-AVERAGE(OFFSET($H$3,0,0,'Données projet'!$E$9+1,1))</f>
        <v>71.898749633453065</v>
      </c>
      <c r="T44" s="59">
        <f t="shared" si="34"/>
        <v>213.4524723740343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27.204084985675397</v>
      </c>
      <c r="AA44" s="21">
        <f>EXP(-LN(2)/25)*AA43+(1-EXP(-LN(2)/25))/(LN(2)/25)*Calculateur!V44*Calculateur!X44*VLOOKUP('Données projet'!$B$9,Paramètres!$A$1:$I$89,3,0)*0.475*44/12</f>
        <v>3.1755148978799581</v>
      </c>
      <c r="AB44" s="21">
        <f>EXP(-LN(2)/2)*AB43+(1-EXP(-LN(2)/2))/(LN(2)/2)*V44*Y44*VLOOKUP('Données projet'!$B$9,Paramètres!$A$1:$I$89,3,0)*0.475*44/12</f>
        <v>1.4234617766666325E-3</v>
      </c>
      <c r="AC44" s="22">
        <f t="shared" si="3"/>
        <v>30.381023345332022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3.9755889073092021E-3</v>
      </c>
      <c r="O45" s="13">
        <f>N45*VLOOKUP('Données projet'!$B$9,Paramètres!$A$1:$I$89,3,0)*VLOOKUP('Données projet'!$B$9,Paramètres!$A$1:$I$89,5,0)</f>
        <v>2.0218254947011681E-3</v>
      </c>
      <c r="P45" s="13">
        <f t="shared" si="33"/>
        <v>1.918258672927269E-3</v>
      </c>
      <c r="Q45" s="20">
        <f t="shared" si="53"/>
        <v>6.8623132586195278E-3</v>
      </c>
      <c r="R45" s="59">
        <f t="shared" si="0"/>
        <v>293.34019564659195</v>
      </c>
      <c r="S45" s="59">
        <f ca="1">AVERAGE(OFFSET($R$3,0,0,'Données projet'!$E$9+1,1))-AVERAGE(OFFSET($H$3,0,0,'Données projet'!$E$9+1,1))</f>
        <v>71.898749633453065</v>
      </c>
      <c r="T45" s="59">
        <f t="shared" si="34"/>
        <v>213.4524723740343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26.670629471959735</v>
      </c>
      <c r="AA45" s="21">
        <f>EXP(-LN(2)/25)*AA44+(1-EXP(-LN(2)/25))/(LN(2)/25)*Calculateur!V45*Calculateur!X45*VLOOKUP('Données projet'!$B$9,Paramètres!$A$1:$I$89,3,0)*0.475*44/12</f>
        <v>3.0886802760043599</v>
      </c>
      <c r="AB45" s="21">
        <f>EXP(-LN(2)/2)*AB44+(1-EXP(-LN(2)/2))/(LN(2)/2)*V45*Y45*VLOOKUP('Données projet'!$B$9,Paramètres!$A$1:$I$89,3,0)*0.475*44/12</f>
        <v>1.0065394750408266E-3</v>
      </c>
      <c r="AC45" s="22">
        <f t="shared" si="3"/>
        <v>29.760316287439135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3.9755889073092021E-3</v>
      </c>
      <c r="O46" s="13">
        <f>N46*VLOOKUP('Données projet'!$B$9,Paramètres!$A$1:$I$89,3,0)*VLOOKUP('Données projet'!$B$9,Paramètres!$A$1:$I$89,5,0)</f>
        <v>2.0218254947011681E-3</v>
      </c>
      <c r="P46" s="13">
        <f t="shared" si="33"/>
        <v>1.918258672927269E-3</v>
      </c>
      <c r="Q46" s="20">
        <f t="shared" si="53"/>
        <v>6.8623132586195278E-3</v>
      </c>
      <c r="R46" s="59">
        <f t="shared" si="0"/>
        <v>293.34019564659195</v>
      </c>
      <c r="S46" s="59">
        <f ca="1">AVERAGE(OFFSET($R$3,0,0,'Données projet'!$E$9+1,1))-AVERAGE(OFFSET($H$3,0,0,'Données projet'!$E$9+1,1))</f>
        <v>71.898749633453065</v>
      </c>
      <c r="T46" s="59">
        <f t="shared" si="34"/>
        <v>213.4524723740343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26.147634695492304</v>
      </c>
      <c r="AA46" s="21">
        <f>EXP(-LN(2)/25)*AA45+(1-EXP(-LN(2)/25))/(LN(2)/25)*Calculateur!V46*Calculateur!X46*VLOOKUP('Données projet'!$B$9,Paramètres!$A$1:$I$89,3,0)*0.475*44/12</f>
        <v>3.0042201514303843</v>
      </c>
      <c r="AB46" s="21">
        <f>EXP(-LN(2)/2)*AB45+(1-EXP(-LN(2)/2))/(LN(2)/2)*V46*Y46*VLOOKUP('Données projet'!$B$9,Paramètres!$A$1:$I$89,3,0)*0.475*44/12</f>
        <v>7.1173088833331624E-4</v>
      </c>
      <c r="AC46" s="22">
        <f t="shared" si="3"/>
        <v>29.152566577811022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3.9755889073092021E-3</v>
      </c>
      <c r="O47" s="13">
        <f>N47*VLOOKUP('Données projet'!$B$9,Paramètres!$A$1:$I$89,3,0)*VLOOKUP('Données projet'!$B$9,Paramètres!$A$1:$I$89,5,0)</f>
        <v>2.0218254947011681E-3</v>
      </c>
      <c r="P47" s="13">
        <f t="shared" si="33"/>
        <v>1.918258672927269E-3</v>
      </c>
      <c r="Q47" s="20">
        <f t="shared" si="53"/>
        <v>6.8623132586195278E-3</v>
      </c>
      <c r="R47" s="59">
        <f t="shared" si="0"/>
        <v>293.34019564659195</v>
      </c>
      <c r="S47" s="59">
        <f ca="1">AVERAGE(OFFSET($R$3,0,0,'Données projet'!$E$9+1,1))-AVERAGE(OFFSET($H$3,0,0,'Données projet'!$E$9+1,1))</f>
        <v>71.898749633453065</v>
      </c>
      <c r="T47" s="59">
        <f t="shared" si="34"/>
        <v>213.4524723740343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25.634895527596083</v>
      </c>
      <c r="AA47" s="21">
        <f>EXP(-LN(2)/25)*AA46+(1-EXP(-LN(2)/25))/(LN(2)/25)*Calculateur!V47*Calculateur!X47*VLOOKUP('Données projet'!$B$9,Paramètres!$A$1:$I$89,3,0)*0.475*44/12</f>
        <v>2.9220695934044492</v>
      </c>
      <c r="AB47" s="21">
        <f>EXP(-LN(2)/2)*AB46+(1-EXP(-LN(2)/2))/(LN(2)/2)*V47*Y47*VLOOKUP('Données projet'!$B$9,Paramètres!$A$1:$I$89,3,0)*0.475*44/12</f>
        <v>5.0326973752041332E-4</v>
      </c>
      <c r="AC47" s="22">
        <f t="shared" si="3"/>
        <v>28.557468390738052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3.9755889073092021E-3</v>
      </c>
      <c r="O48" s="13">
        <f>N48*VLOOKUP('Données projet'!$B$9,Paramètres!$A$1:$I$89,3,0)*VLOOKUP('Données projet'!$B$9,Paramètres!$A$1:$I$89,5,0)</f>
        <v>2.0218254947011681E-3</v>
      </c>
      <c r="P48" s="13">
        <f t="shared" si="33"/>
        <v>1.918258672927269E-3</v>
      </c>
      <c r="Q48" s="20">
        <f t="shared" si="53"/>
        <v>6.8623132586195278E-3</v>
      </c>
      <c r="R48" s="59">
        <f t="shared" si="0"/>
        <v>293.34019564659195</v>
      </c>
      <c r="S48" s="59">
        <f ca="1">AVERAGE(OFFSET($R$3,0,0,'Données projet'!$E$9+1,1))-AVERAGE(OFFSET($H$3,0,0,'Données projet'!$E$9+1,1))</f>
        <v>71.898749633453065</v>
      </c>
      <c r="T48" s="59">
        <f t="shared" si="34"/>
        <v>213.4524723740343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25.132210862042292</v>
      </c>
      <c r="AA48" s="21">
        <f>EXP(-LN(2)/25)*AA47+(1-EXP(-LN(2)/25))/(LN(2)/25)*Calculateur!V48*Calculateur!X48*VLOOKUP('Données projet'!$B$9,Paramètres!$A$1:$I$89,3,0)*0.475*44/12</f>
        <v>2.8421654467078432</v>
      </c>
      <c r="AB48" s="21">
        <f>EXP(-LN(2)/2)*AB47+(1-EXP(-LN(2)/2))/(LN(2)/2)*V48*Y48*VLOOKUP('Données projet'!$B$9,Paramètres!$A$1:$I$89,3,0)*0.475*44/12</f>
        <v>3.5586544416665812E-4</v>
      </c>
      <c r="AC48" s="22">
        <f t="shared" si="3"/>
        <v>27.974732174194301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3.9755889073092021E-3</v>
      </c>
      <c r="O49" s="13">
        <f>N49*VLOOKUP('Données projet'!$B$9,Paramètres!$A$1:$I$89,3,0)*VLOOKUP('Données projet'!$B$9,Paramètres!$A$1:$I$89,5,0)</f>
        <v>2.0218254947011681E-3</v>
      </c>
      <c r="P49" s="13">
        <f t="shared" si="33"/>
        <v>1.918258672927269E-3</v>
      </c>
      <c r="Q49" s="20">
        <f t="shared" si="53"/>
        <v>6.8623132586195278E-3</v>
      </c>
      <c r="R49" s="59">
        <f t="shared" si="0"/>
        <v>293.34019564659195</v>
      </c>
      <c r="S49" s="59">
        <f ca="1">AVERAGE(OFFSET($R$3,0,0,'Données projet'!$E$9+1,1))-AVERAGE(OFFSET($H$3,0,0,'Données projet'!$E$9+1,1))</f>
        <v>71.898749633453065</v>
      </c>
      <c r="T49" s="59">
        <f t="shared" si="34"/>
        <v>213.4524723740343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24.639383536172641</v>
      </c>
      <c r="AA49" s="21">
        <f>EXP(-LN(2)/25)*AA48+(1-EXP(-LN(2)/25))/(LN(2)/25)*Calculateur!V49*Calculateur!X49*VLOOKUP('Données projet'!$B$9,Paramètres!$A$1:$I$89,3,0)*0.475*44/12</f>
        <v>2.7644462831046321</v>
      </c>
      <c r="AB49" s="21">
        <f>EXP(-LN(2)/2)*AB48+(1-EXP(-LN(2)/2))/(LN(2)/2)*V49*Y49*VLOOKUP('Données projet'!$B$9,Paramètres!$A$1:$I$89,3,0)*0.475*44/12</f>
        <v>2.5163486876020666E-4</v>
      </c>
      <c r="AC49" s="22">
        <f t="shared" si="3"/>
        <v>27.404081454146034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3.9755889073092021E-3</v>
      </c>
      <c r="O50" s="13">
        <f>N50*VLOOKUP('Données projet'!$B$9,Paramètres!$A$1:$I$89,3,0)*VLOOKUP('Données projet'!$B$9,Paramètres!$A$1:$I$89,5,0)</f>
        <v>2.0218254947011681E-3</v>
      </c>
      <c r="P50" s="13">
        <f t="shared" si="33"/>
        <v>1.918258672927269E-3</v>
      </c>
      <c r="Q50" s="20">
        <f t="shared" si="53"/>
        <v>6.8623132586195278E-3</v>
      </c>
      <c r="R50" s="59">
        <f t="shared" si="0"/>
        <v>293.34019564659195</v>
      </c>
      <c r="S50" s="59">
        <f ca="1">AVERAGE(OFFSET($R$3,0,0,'Données projet'!$E$9+1,1))-AVERAGE(OFFSET($H$3,0,0,'Données projet'!$E$9+1,1))</f>
        <v>71.898749633453065</v>
      </c>
      <c r="T50" s="59">
        <f t="shared" si="34"/>
        <v>213.4524723740343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24.156220253568307</v>
      </c>
      <c r="AA50" s="21">
        <f>EXP(-LN(2)/25)*AA49+(1-EXP(-LN(2)/25))/(LN(2)/25)*Calculateur!V50*Calculateur!X50*VLOOKUP('Données projet'!$B$9,Paramètres!$A$1:$I$89,3,0)*0.475*44/12</f>
        <v>2.6888523541172242</v>
      </c>
      <c r="AB50" s="21">
        <f>EXP(-LN(2)/2)*AB49+(1-EXP(-LN(2)/2))/(LN(2)/2)*V50*Y50*VLOOKUP('Données projet'!$B$9,Paramètres!$A$1:$I$89,3,0)*0.475*44/12</f>
        <v>1.7793272208332906E-4</v>
      </c>
      <c r="AC50" s="22">
        <f t="shared" si="3"/>
        <v>26.845250540407612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3.9755889073092021E-3</v>
      </c>
      <c r="O51" s="13">
        <f>N51*VLOOKUP('Données projet'!$B$9,Paramètres!$A$1:$I$89,3,0)*VLOOKUP('Données projet'!$B$9,Paramètres!$A$1:$I$89,5,0)</f>
        <v>2.0218254947011681E-3</v>
      </c>
      <c r="P51" s="13">
        <f t="shared" si="33"/>
        <v>1.918258672927269E-3</v>
      </c>
      <c r="Q51" s="20">
        <f t="shared" si="53"/>
        <v>6.8623132586195278E-3</v>
      </c>
      <c r="R51" s="59">
        <f t="shared" si="0"/>
        <v>293.34019564659195</v>
      </c>
      <c r="S51" s="59">
        <f ca="1">AVERAGE(OFFSET($R$3,0,0,'Données projet'!$E$9+1,1))-AVERAGE(OFFSET($H$3,0,0,'Données projet'!$E$9+1,1))</f>
        <v>71.898749633453065</v>
      </c>
      <c r="T51" s="59">
        <f t="shared" si="34"/>
        <v>213.4524723740343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23.682531508235343</v>
      </c>
      <c r="AA51" s="21">
        <f>EXP(-LN(2)/25)*AA50+(1-EXP(-LN(2)/25))/(LN(2)/25)*Calculateur!V51*Calculateur!X51*VLOOKUP('Données projet'!$B$9,Paramètres!$A$1:$I$89,3,0)*0.475*44/12</f>
        <v>2.6153255450932891</v>
      </c>
      <c r="AB51" s="21">
        <f>EXP(-LN(2)/2)*AB50+(1-EXP(-LN(2)/2))/(LN(2)/2)*V51*Y51*VLOOKUP('Données projet'!$B$9,Paramètres!$A$1:$I$89,3,0)*0.475*44/12</f>
        <v>1.2581743438010333E-4</v>
      </c>
      <c r="AC51" s="22">
        <f t="shared" si="3"/>
        <v>26.297982870763011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3.9755889073092021E-3</v>
      </c>
      <c r="O52" s="13">
        <f>N52*VLOOKUP('Données projet'!$B$9,Paramètres!$A$1:$I$89,3,0)*VLOOKUP('Données projet'!$B$9,Paramètres!$A$1:$I$89,5,0)</f>
        <v>2.0218254947011681E-3</v>
      </c>
      <c r="P52" s="13">
        <f t="shared" si="33"/>
        <v>1.918258672927269E-3</v>
      </c>
      <c r="Q52" s="20">
        <f t="shared" si="53"/>
        <v>6.8623132586195278E-3</v>
      </c>
      <c r="R52" s="59">
        <f t="shared" si="0"/>
        <v>293.34019564659195</v>
      </c>
      <c r="S52" s="59">
        <f ca="1">AVERAGE(OFFSET($R$3,0,0,'Données projet'!$E$9+1,1))-AVERAGE(OFFSET($H$3,0,0,'Données projet'!$E$9+1,1))</f>
        <v>71.898749633453065</v>
      </c>
      <c r="T52" s="59">
        <f t="shared" si="34"/>
        <v>213.4524723740343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23.218131510276752</v>
      </c>
      <c r="AA52" s="21">
        <f>EXP(-LN(2)/25)*AA51+(1-EXP(-LN(2)/25))/(LN(2)/25)*Calculateur!V52*Calculateur!X52*VLOOKUP('Données projet'!$B$9,Paramètres!$A$1:$I$89,3,0)*0.475*44/12</f>
        <v>2.5438093305287199</v>
      </c>
      <c r="AB52" s="21">
        <f>EXP(-LN(2)/2)*AB51+(1-EXP(-LN(2)/2))/(LN(2)/2)*V52*Y52*VLOOKUP('Données projet'!$B$9,Paramètres!$A$1:$I$89,3,0)*0.475*44/12</f>
        <v>8.896636104166453E-5</v>
      </c>
      <c r="AC52" s="22">
        <f t="shared" si="3"/>
        <v>25.762029807166513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3.9755889073092021E-3</v>
      </c>
      <c r="O53" s="13">
        <f>N53*VLOOKUP('Données projet'!$B$9,Paramètres!$A$1:$I$89,3,0)*VLOOKUP('Données projet'!$B$9,Paramètres!$A$1:$I$89,5,0)</f>
        <v>2.0218254947011681E-3</v>
      </c>
      <c r="P53" s="13">
        <f t="shared" si="33"/>
        <v>1.918258672927269E-3</v>
      </c>
      <c r="Q53" s="20">
        <f t="shared" si="53"/>
        <v>6.8623132586195278E-3</v>
      </c>
      <c r="R53" s="59">
        <f t="shared" si="0"/>
        <v>293.34019564659195</v>
      </c>
      <c r="S53" s="59">
        <f ca="1">AVERAGE(OFFSET($R$3,0,0,'Données projet'!$E$9+1,1))-AVERAGE(OFFSET($H$3,0,0,'Données projet'!$E$9+1,1))</f>
        <v>71.898749633453065</v>
      </c>
      <c r="T53" s="59">
        <f t="shared" si="34"/>
        <v>213.4524723740343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22.762838113022099</v>
      </c>
      <c r="AA53" s="21">
        <f>EXP(-LN(2)/25)*AA52+(1-EXP(-LN(2)/25))/(LN(2)/25)*Calculateur!V53*Calculateur!X53*VLOOKUP('Données projet'!$B$9,Paramètres!$A$1:$I$89,3,0)*0.475*44/12</f>
        <v>2.4742487306122936</v>
      </c>
      <c r="AB53" s="21">
        <f>EXP(-LN(2)/2)*AB52+(1-EXP(-LN(2)/2))/(LN(2)/2)*V53*Y53*VLOOKUP('Données projet'!$B$9,Paramètres!$A$1:$I$89,3,0)*0.475*44/12</f>
        <v>6.2908717190051665E-5</v>
      </c>
      <c r="AC53" s="22">
        <f t="shared" si="3"/>
        <v>25.237149752351584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3.9755889073092021E-3</v>
      </c>
      <c r="O54" s="13">
        <f>N54*VLOOKUP('Données projet'!$B$9,Paramètres!$A$1:$I$89,3,0)*VLOOKUP('Données projet'!$B$9,Paramètres!$A$1:$I$89,5,0)</f>
        <v>2.0218254947011681E-3</v>
      </c>
      <c r="P54" s="13">
        <f t="shared" si="33"/>
        <v>1.918258672927269E-3</v>
      </c>
      <c r="Q54" s="20">
        <f t="shared" si="53"/>
        <v>6.8623132586195278E-3</v>
      </c>
      <c r="R54" s="59">
        <f t="shared" si="0"/>
        <v>293.34019564659195</v>
      </c>
      <c r="S54" s="59">
        <f ca="1">AVERAGE(OFFSET($R$3,0,0,'Données projet'!$E$9+1,1))-AVERAGE(OFFSET($H$3,0,0,'Données projet'!$E$9+1,1))</f>
        <v>71.898749633453065</v>
      </c>
      <c r="T54" s="59">
        <f t="shared" si="34"/>
        <v>213.4524723740343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22.316472741586058</v>
      </c>
      <c r="AA54" s="21">
        <f>EXP(-LN(2)/25)*AA53+(1-EXP(-LN(2)/25))/(LN(2)/25)*Calculateur!V54*Calculateur!X54*VLOOKUP('Données projet'!$B$9,Paramètres!$A$1:$I$89,3,0)*0.475*44/12</f>
        <v>2.4065902689586145</v>
      </c>
      <c r="AB54" s="21">
        <f>EXP(-LN(2)/2)*AB53+(1-EXP(-LN(2)/2))/(LN(2)/2)*V54*Y54*VLOOKUP('Données projet'!$B$9,Paramètres!$A$1:$I$89,3,0)*0.475*44/12</f>
        <v>4.4483180520832265E-5</v>
      </c>
      <c r="AC54" s="22">
        <f t="shared" si="3"/>
        <v>24.723107493725191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3.9755889073092021E-3</v>
      </c>
      <c r="O55" s="13">
        <f>N55*VLOOKUP('Données projet'!$B$9,Paramètres!$A$1:$I$89,3,0)*VLOOKUP('Données projet'!$B$9,Paramètres!$A$1:$I$89,5,0)</f>
        <v>2.0218254947011681E-3</v>
      </c>
      <c r="P55" s="13">
        <f t="shared" si="33"/>
        <v>1.918258672927269E-3</v>
      </c>
      <c r="Q55" s="20">
        <f t="shared" si="53"/>
        <v>6.8623132586195278E-3</v>
      </c>
      <c r="R55" s="59">
        <f t="shared" si="0"/>
        <v>293.34019564659195</v>
      </c>
      <c r="S55" s="59">
        <f ca="1">AVERAGE(OFFSET($R$3,0,0,'Données projet'!$E$9+1,1))-AVERAGE(OFFSET($H$3,0,0,'Données projet'!$E$9+1,1))</f>
        <v>71.898749633453065</v>
      </c>
      <c r="T55" s="59">
        <f t="shared" si="34"/>
        <v>213.4524723740343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21.878860322827883</v>
      </c>
      <c r="AA55" s="21">
        <f>EXP(-LN(2)/25)*AA54+(1-EXP(-LN(2)/25))/(LN(2)/25)*Calculateur!V55*Calculateur!X55*VLOOKUP('Données projet'!$B$9,Paramètres!$A$1:$I$89,3,0)*0.475*44/12</f>
        <v>2.3407819314968594</v>
      </c>
      <c r="AB55" s="21">
        <f>EXP(-LN(2)/2)*AB54+(1-EXP(-LN(2)/2))/(LN(2)/2)*V55*Y55*VLOOKUP('Données projet'!$B$9,Paramètres!$A$1:$I$89,3,0)*0.475*44/12</f>
        <v>3.1454358595025833E-5</v>
      </c>
      <c r="AC55" s="22">
        <f t="shared" si="3"/>
        <v>24.219673708683338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3.9755889073092021E-3</v>
      </c>
      <c r="O56" s="13">
        <f>N56*VLOOKUP('Données projet'!$B$9,Paramètres!$A$1:$I$89,3,0)*VLOOKUP('Données projet'!$B$9,Paramètres!$A$1:$I$89,5,0)</f>
        <v>2.0218254947011681E-3</v>
      </c>
      <c r="P56" s="13">
        <f t="shared" si="33"/>
        <v>1.918258672927269E-3</v>
      </c>
      <c r="Q56" s="20">
        <f t="shared" si="53"/>
        <v>6.8623132586195278E-3</v>
      </c>
      <c r="R56" s="59">
        <f t="shared" si="0"/>
        <v>293.34019564659195</v>
      </c>
      <c r="S56" s="59">
        <f ca="1">AVERAGE(OFFSET($R$3,0,0,'Données projet'!$E$9+1,1))-AVERAGE(OFFSET($H$3,0,0,'Données projet'!$E$9+1,1))</f>
        <v>71.898749633453065</v>
      </c>
      <c r="T56" s="59">
        <f t="shared" si="34"/>
        <v>213.4524723740343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21.449829216684336</v>
      </c>
      <c r="AA56" s="21">
        <f>EXP(-LN(2)/25)*AA55+(1-EXP(-LN(2)/25))/(LN(2)/25)*Calculateur!V56*Calculateur!X56*VLOOKUP('Données projet'!$B$9,Paramètres!$A$1:$I$89,3,0)*0.475*44/12</f>
        <v>2.2767731264837061</v>
      </c>
      <c r="AB56" s="21">
        <f>EXP(-LN(2)/2)*AB55+(1-EXP(-LN(2)/2))/(LN(2)/2)*V56*Y56*VLOOKUP('Données projet'!$B$9,Paramètres!$A$1:$I$89,3,0)*0.475*44/12</f>
        <v>2.2241590260416132E-5</v>
      </c>
      <c r="AC56" s="22">
        <f t="shared" si="3"/>
        <v>23.726624584758305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3.9755889073092021E-3</v>
      </c>
      <c r="O57" s="13">
        <f>N57*VLOOKUP('Données projet'!$B$9,Paramètres!$A$1:$I$89,3,0)*VLOOKUP('Données projet'!$B$9,Paramètres!$A$1:$I$89,5,0)</f>
        <v>2.0218254947011681E-3</v>
      </c>
      <c r="P57" s="13">
        <f t="shared" si="33"/>
        <v>1.918258672927269E-3</v>
      </c>
      <c r="Q57" s="20">
        <f t="shared" si="53"/>
        <v>6.8623132586195278E-3</v>
      </c>
      <c r="R57" s="59">
        <f t="shared" si="0"/>
        <v>293.34019564659195</v>
      </c>
      <c r="S57" s="59">
        <f ca="1">AVERAGE(OFFSET($R$3,0,0,'Données projet'!$E$9+1,1))-AVERAGE(OFFSET($H$3,0,0,'Données projet'!$E$9+1,1))</f>
        <v>71.898749633453065</v>
      </c>
      <c r="T57" s="59">
        <f t="shared" si="34"/>
        <v>213.4524723740343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21.029211148849129</v>
      </c>
      <c r="AA57" s="21">
        <f>EXP(-LN(2)/25)*AA56+(1-EXP(-LN(2)/25))/(LN(2)/25)*Calculateur!V57*Calculateur!X57*VLOOKUP('Données projet'!$B$9,Paramètres!$A$1:$I$89,3,0)*0.475*44/12</f>
        <v>2.214514645609714</v>
      </c>
      <c r="AB57" s="21">
        <f>EXP(-LN(2)/2)*AB56+(1-EXP(-LN(2)/2))/(LN(2)/2)*V57*Y57*VLOOKUP('Données projet'!$B$9,Paramètres!$A$1:$I$89,3,0)*0.475*44/12</f>
        <v>1.5727179297512916E-5</v>
      </c>
      <c r="AC57" s="22">
        <f t="shared" si="3"/>
        <v>23.243741521638139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3.9755889073092021E-3</v>
      </c>
      <c r="O58" s="13">
        <f>N58*VLOOKUP('Données projet'!$B$9,Paramètres!$A$1:$I$89,3,0)*VLOOKUP('Données projet'!$B$9,Paramètres!$A$1:$I$89,5,0)</f>
        <v>2.0218254947011681E-3</v>
      </c>
      <c r="P58" s="13">
        <f t="shared" si="33"/>
        <v>1.918258672927269E-3</v>
      </c>
      <c r="Q58" s="20">
        <f t="shared" si="53"/>
        <v>6.8623132586195278E-3</v>
      </c>
      <c r="R58" s="59">
        <f t="shared" si="0"/>
        <v>293.34019564659195</v>
      </c>
      <c r="S58" s="59">
        <f ca="1">AVERAGE(OFFSET($R$3,0,0,'Données projet'!$E$9+1,1))-AVERAGE(OFFSET($H$3,0,0,'Données projet'!$E$9+1,1))</f>
        <v>71.898749633453065</v>
      </c>
      <c r="T58" s="59">
        <f t="shared" si="34"/>
        <v>213.4524723740343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20.616841144772483</v>
      </c>
      <c r="AA58" s="21">
        <f>EXP(-LN(2)/25)*AA57+(1-EXP(-LN(2)/25))/(LN(2)/25)*Calculateur!V58*Calculateur!X58*VLOOKUP('Données projet'!$B$9,Paramètres!$A$1:$I$89,3,0)*0.475*44/12</f>
        <v>2.1539586261692527</v>
      </c>
      <c r="AB58" s="21">
        <f>EXP(-LN(2)/2)*AB57+(1-EXP(-LN(2)/2))/(LN(2)/2)*V58*Y58*VLOOKUP('Données projet'!$B$9,Paramètres!$A$1:$I$89,3,0)*0.475*44/12</f>
        <v>1.1120795130208066E-5</v>
      </c>
      <c r="AC58" s="22">
        <f t="shared" si="3"/>
        <v>22.770810891736865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3.9755889073092021E-3</v>
      </c>
      <c r="O59" s="13">
        <f>N59*VLOOKUP('Données projet'!$B$9,Paramètres!$A$1:$I$89,3,0)*VLOOKUP('Données projet'!$B$9,Paramètres!$A$1:$I$89,5,0)</f>
        <v>2.0218254947011681E-3</v>
      </c>
      <c r="P59" s="13">
        <f t="shared" si="33"/>
        <v>1.918258672927269E-3</v>
      </c>
      <c r="Q59" s="20">
        <f t="shared" si="53"/>
        <v>6.8623132586195278E-3</v>
      </c>
      <c r="R59" s="59">
        <f t="shared" si="0"/>
        <v>293.34019564659195</v>
      </c>
      <c r="S59" s="59">
        <f ca="1">AVERAGE(OFFSET($R$3,0,0,'Données projet'!$E$9+1,1))-AVERAGE(OFFSET($H$3,0,0,'Données projet'!$E$9+1,1))</f>
        <v>71.898749633453065</v>
      </c>
      <c r="T59" s="59">
        <f t="shared" si="34"/>
        <v>213.4524723740343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20.212557464954912</v>
      </c>
      <c r="AA59" s="21">
        <f>EXP(-LN(2)/25)*AA58+(1-EXP(-LN(2)/25))/(LN(2)/25)*Calculateur!V59*Calculateur!X59*VLOOKUP('Données projet'!$B$9,Paramètres!$A$1:$I$89,3,0)*0.475*44/12</f>
        <v>2.0950585142648932</v>
      </c>
      <c r="AB59" s="21">
        <f>EXP(-LN(2)/2)*AB58+(1-EXP(-LN(2)/2))/(LN(2)/2)*V59*Y59*VLOOKUP('Données projet'!$B$9,Paramètres!$A$1:$I$89,3,0)*0.475*44/12</f>
        <v>7.8635896487564581E-6</v>
      </c>
      <c r="AC59" s="22">
        <f t="shared" si="3"/>
        <v>22.307623842809452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3.9755889073092021E-3</v>
      </c>
      <c r="O60" s="13">
        <f>N60*VLOOKUP('Données projet'!$B$9,Paramètres!$A$1:$I$89,3,0)*VLOOKUP('Données projet'!$B$9,Paramètres!$A$1:$I$89,5,0)</f>
        <v>2.0218254947011681E-3</v>
      </c>
      <c r="P60" s="13">
        <f t="shared" si="33"/>
        <v>1.918258672927269E-3</v>
      </c>
      <c r="Q60" s="20">
        <f t="shared" si="53"/>
        <v>6.8623132586195278E-3</v>
      </c>
      <c r="R60" s="59">
        <f t="shared" si="0"/>
        <v>293.34019564659195</v>
      </c>
      <c r="S60" s="59">
        <f ca="1">AVERAGE(OFFSET($R$3,0,0,'Données projet'!$E$9+1,1))-AVERAGE(OFFSET($H$3,0,0,'Données projet'!$E$9+1,1))</f>
        <v>71.898749633453065</v>
      </c>
      <c r="T60" s="59">
        <f t="shared" si="34"/>
        <v>213.4524723740343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19.816201541509866</v>
      </c>
      <c r="AA60" s="21">
        <f>EXP(-LN(2)/25)*AA59+(1-EXP(-LN(2)/25))/(LN(2)/25)*Calculateur!V60*Calculateur!X60*VLOOKUP('Données projet'!$B$9,Paramètres!$A$1:$I$89,3,0)*0.475*44/12</f>
        <v>2.0377690290179808</v>
      </c>
      <c r="AB60" s="21">
        <f>EXP(-LN(2)/2)*AB59+(1-EXP(-LN(2)/2))/(LN(2)/2)*V60*Y60*VLOOKUP('Données projet'!$B$9,Paramètres!$A$1:$I$89,3,0)*0.475*44/12</f>
        <v>5.5603975651040331E-6</v>
      </c>
      <c r="AC60" s="22">
        <f t="shared" si="3"/>
        <v>21.85397613092541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3.9755889073092021E-3</v>
      </c>
      <c r="O61" s="13">
        <f>N61*VLOOKUP('Données projet'!$B$9,Paramètres!$A$1:$I$89,3,0)*VLOOKUP('Données projet'!$B$9,Paramètres!$A$1:$I$89,5,0)</f>
        <v>2.0218254947011681E-3</v>
      </c>
      <c r="P61" s="13">
        <f t="shared" si="33"/>
        <v>1.918258672927269E-3</v>
      </c>
      <c r="Q61" s="20">
        <f t="shared" si="53"/>
        <v>6.8623132586195278E-3</v>
      </c>
      <c r="R61" s="59">
        <f t="shared" si="0"/>
        <v>293.34019564659195</v>
      </c>
      <c r="S61" s="59">
        <f ca="1">AVERAGE(OFFSET($R$3,0,0,'Données projet'!$E$9+1,1))-AVERAGE(OFFSET($H$3,0,0,'Données projet'!$E$9+1,1))</f>
        <v>71.898749633453065</v>
      </c>
      <c r="T61" s="59">
        <f t="shared" si="34"/>
        <v>213.4524723740343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19.427617915970337</v>
      </c>
      <c r="AA61" s="21">
        <f>EXP(-LN(2)/25)*AA60+(1-EXP(-LN(2)/25))/(LN(2)/25)*Calculateur!V61*Calculateur!X61*VLOOKUP('Données projet'!$B$9,Paramètres!$A$1:$I$89,3,0)*0.475*44/12</f>
        <v>1.9820461277578683</v>
      </c>
      <c r="AB61" s="21">
        <f>EXP(-LN(2)/2)*AB60+(1-EXP(-LN(2)/2))/(LN(2)/2)*V61*Y61*VLOOKUP('Données projet'!$B$9,Paramètres!$A$1:$I$89,3,0)*0.475*44/12</f>
        <v>3.9317948243782291E-6</v>
      </c>
      <c r="AC61" s="22">
        <f t="shared" si="3"/>
        <v>21.409667975523032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3.9755889073092021E-3</v>
      </c>
      <c r="O62" s="13">
        <f>N62*VLOOKUP('Données projet'!$B$9,Paramètres!$A$1:$I$89,3,0)*VLOOKUP('Données projet'!$B$9,Paramètres!$A$1:$I$89,5,0)</f>
        <v>2.0218254947011681E-3</v>
      </c>
      <c r="P62" s="13">
        <f t="shared" si="33"/>
        <v>1.918258672927269E-3</v>
      </c>
      <c r="Q62" s="20">
        <f t="shared" si="53"/>
        <v>6.8623132586195278E-3</v>
      </c>
      <c r="R62" s="59">
        <f t="shared" si="0"/>
        <v>293.34019564659195</v>
      </c>
      <c r="S62" s="59">
        <f ca="1">AVERAGE(OFFSET($R$3,0,0,'Données projet'!$E$9+1,1))-AVERAGE(OFFSET($H$3,0,0,'Données projet'!$E$9+1,1))</f>
        <v>71.898749633453065</v>
      </c>
      <c r="T62" s="59">
        <f t="shared" si="34"/>
        <v>213.4524723740343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19.04665417831503</v>
      </c>
      <c r="AA62" s="21">
        <f>EXP(-LN(2)/25)*AA61+(1-EXP(-LN(2)/25))/(LN(2)/25)*Calculateur!V62*Calculateur!X62*VLOOKUP('Données projet'!$B$9,Paramètres!$A$1:$I$89,3,0)*0.475*44/12</f>
        <v>1.9278469721630536</v>
      </c>
      <c r="AB62" s="21">
        <f>EXP(-LN(2)/2)*AB61+(1-EXP(-LN(2)/2))/(LN(2)/2)*V62*Y62*VLOOKUP('Données projet'!$B$9,Paramètres!$A$1:$I$89,3,0)*0.475*44/12</f>
        <v>2.7801987825520166E-6</v>
      </c>
      <c r="AC62" s="22">
        <f t="shared" si="3"/>
        <v>20.974503930676867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3.9755889073092021E-3</v>
      </c>
      <c r="O63" s="13">
        <f>N63*VLOOKUP('Données projet'!$B$9,Paramètres!$A$1:$I$89,3,0)*VLOOKUP('Données projet'!$B$9,Paramètres!$A$1:$I$89,5,0)</f>
        <v>2.0218254947011681E-3</v>
      </c>
      <c r="P63" s="13">
        <f t="shared" si="33"/>
        <v>1.918258672927269E-3</v>
      </c>
      <c r="Q63" s="20">
        <f t="shared" si="53"/>
        <v>6.8623132586195278E-3</v>
      </c>
      <c r="R63" s="59">
        <f t="shared" si="0"/>
        <v>293.34019564659195</v>
      </c>
      <c r="S63" s="59">
        <f ca="1">AVERAGE(OFFSET($R$3,0,0,'Données projet'!$E$9+1,1))-AVERAGE(OFFSET($H$3,0,0,'Données projet'!$E$9+1,1))</f>
        <v>71.898749633453065</v>
      </c>
      <c r="T63" s="59">
        <f t="shared" si="34"/>
        <v>213.4524723740343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18.673160907190208</v>
      </c>
      <c r="AA63" s="21">
        <f>EXP(-LN(2)/25)*AA62+(1-EXP(-LN(2)/25))/(LN(2)/25)*Calculateur!V63*Calculateur!X63*VLOOKUP('Données projet'!$B$9,Paramètres!$A$1:$I$89,3,0)*0.475*44/12</f>
        <v>1.8751298953281887</v>
      </c>
      <c r="AB63" s="21">
        <f>EXP(-LN(2)/2)*AB62+(1-EXP(-LN(2)/2))/(LN(2)/2)*V63*Y63*VLOOKUP('Données projet'!$B$9,Paramètres!$A$1:$I$89,3,0)*0.475*44/12</f>
        <v>1.9658974121891145E-6</v>
      </c>
      <c r="AC63" s="22">
        <f t="shared" si="3"/>
        <v>20.548292768415809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3.9755889073092021E-3</v>
      </c>
      <c r="O64" s="13">
        <f>N64*VLOOKUP('Données projet'!$B$9,Paramètres!$A$1:$I$89,3,0)*VLOOKUP('Données projet'!$B$9,Paramètres!$A$1:$I$89,5,0)</f>
        <v>2.0218254947011681E-3</v>
      </c>
      <c r="P64" s="13">
        <f t="shared" si="33"/>
        <v>1.918258672927269E-3</v>
      </c>
      <c r="Q64" s="20">
        <f t="shared" si="53"/>
        <v>6.8623132586195278E-3</v>
      </c>
      <c r="R64" s="59">
        <f t="shared" si="0"/>
        <v>293.34019564659195</v>
      </c>
      <c r="S64" s="59">
        <f ca="1">AVERAGE(OFFSET($R$3,0,0,'Données projet'!$E$9+1,1))-AVERAGE(OFFSET($H$3,0,0,'Données projet'!$E$9+1,1))</f>
        <v>71.898749633453065</v>
      </c>
      <c r="T64" s="59">
        <f t="shared" si="34"/>
        <v>213.4524723740343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18.30699161130374</v>
      </c>
      <c r="AA64" s="21">
        <f>EXP(-LN(2)/25)*AA63+(1-EXP(-LN(2)/25))/(LN(2)/25)*Calculateur!V64*Calculateur!X64*VLOOKUP('Données projet'!$B$9,Paramètres!$A$1:$I$89,3,0)*0.475*44/12</f>
        <v>1.8238543697316438</v>
      </c>
      <c r="AB64" s="21">
        <f>EXP(-LN(2)/2)*AB63+(1-EXP(-LN(2)/2))/(LN(2)/2)*V64*Y64*VLOOKUP('Données projet'!$B$9,Paramètres!$A$1:$I$89,3,0)*0.475*44/12</f>
        <v>1.3900993912760083E-6</v>
      </c>
      <c r="AC64" s="22">
        <f t="shared" si="3"/>
        <v>20.130847371134777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3.9755889073092021E-3</v>
      </c>
      <c r="O65" s="13">
        <f>N65*VLOOKUP('Données projet'!$B$9,Paramètres!$A$1:$I$89,3,0)*VLOOKUP('Données projet'!$B$9,Paramètres!$A$1:$I$89,5,0)</f>
        <v>2.0218254947011681E-3</v>
      </c>
      <c r="P65" s="13">
        <f t="shared" si="33"/>
        <v>1.918258672927269E-3</v>
      </c>
      <c r="Q65" s="20">
        <f t="shared" si="53"/>
        <v>6.8623132586195278E-3</v>
      </c>
      <c r="R65" s="59">
        <f t="shared" si="0"/>
        <v>293.34019564659195</v>
      </c>
      <c r="S65" s="59">
        <f ca="1">AVERAGE(OFFSET($R$3,0,0,'Données projet'!$E$9+1,1))-AVERAGE(OFFSET($H$3,0,0,'Données projet'!$E$9+1,1))</f>
        <v>71.898749633453065</v>
      </c>
      <c r="T65" s="59">
        <f t="shared" si="34"/>
        <v>213.4524723740343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17.948002671968389</v>
      </c>
      <c r="AA65" s="21">
        <f>EXP(-LN(2)/25)*AA64+(1-EXP(-LN(2)/25))/(LN(2)/25)*Calculateur!V65*Calculateur!X65*VLOOKUP('Données projet'!$B$9,Paramètres!$A$1:$I$89,3,0)*0.475*44/12</f>
        <v>1.7739809760789993</v>
      </c>
      <c r="AB65" s="21">
        <f>EXP(-LN(2)/2)*AB64+(1-EXP(-LN(2)/2))/(LN(2)/2)*V65*Y65*VLOOKUP('Données projet'!$B$9,Paramètres!$A$1:$I$89,3,0)*0.475*44/12</f>
        <v>9.8294870609455727E-7</v>
      </c>
      <c r="AC65" s="22">
        <f t="shared" si="3"/>
        <v>19.721984630996094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3.9755889073092021E-3</v>
      </c>
      <c r="O66" s="13">
        <f>N66*VLOOKUP('Données projet'!$B$9,Paramètres!$A$1:$I$89,3,0)*VLOOKUP('Données projet'!$B$9,Paramètres!$A$1:$I$89,5,0)</f>
        <v>2.0218254947011681E-3</v>
      </c>
      <c r="P66" s="13">
        <f t="shared" si="33"/>
        <v>1.918258672927269E-3</v>
      </c>
      <c r="Q66" s="20">
        <f t="shared" si="53"/>
        <v>6.8623132586195278E-3</v>
      </c>
      <c r="R66" s="59">
        <f t="shared" si="0"/>
        <v>293.34019564659195</v>
      </c>
      <c r="S66" s="59">
        <f ca="1">AVERAGE(OFFSET($R$3,0,0,'Données projet'!$E$9+1,1))-AVERAGE(OFFSET($H$3,0,0,'Données projet'!$E$9+1,1))</f>
        <v>71.898749633453065</v>
      </c>
      <c r="T66" s="59">
        <f t="shared" si="34"/>
        <v>213.4524723740343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17.596053286771774</v>
      </c>
      <c r="AA66" s="21">
        <f>EXP(-LN(2)/25)*AA65+(1-EXP(-LN(2)/25))/(LN(2)/25)*Calculateur!V66*Calculateur!X66*VLOOKUP('Données projet'!$B$9,Paramètres!$A$1:$I$89,3,0)*0.475*44/12</f>
        <v>1.7254713729985141</v>
      </c>
      <c r="AB66" s="21">
        <f>EXP(-LN(2)/2)*AB65+(1-EXP(-LN(2)/2))/(LN(2)/2)*V66*Y66*VLOOKUP('Données projet'!$B$9,Paramètres!$A$1:$I$89,3,0)*0.475*44/12</f>
        <v>6.9504969563800414E-7</v>
      </c>
      <c r="AC66" s="22">
        <f t="shared" si="3"/>
        <v>19.321525354819983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3.9755889073092021E-3</v>
      </c>
      <c r="O67" s="13">
        <f>N67*VLOOKUP('Données projet'!$B$9,Paramètres!$A$1:$I$89,3,0)*VLOOKUP('Données projet'!$B$9,Paramètres!$A$1:$I$89,5,0)</f>
        <v>2.0218254947011681E-3</v>
      </c>
      <c r="P67" s="13">
        <f t="shared" si="33"/>
        <v>1.918258672927269E-3</v>
      </c>
      <c r="Q67" s="20">
        <f t="shared" ref="Q67:Q98" si="54">(O67+P67)*0.475*44/12</f>
        <v>6.8623132586195278E-3</v>
      </c>
      <c r="R67" s="59">
        <f t="shared" ref="R67:R130" si="55">Q67+(I67+J67)*44/12</f>
        <v>293.34019564659195</v>
      </c>
      <c r="S67" s="59">
        <f ca="1">AVERAGE(OFFSET($R$3,0,0,'Données projet'!$E$9+1,1))-AVERAGE(OFFSET($H$3,0,0,'Données projet'!$E$9+1,1))</f>
        <v>71.898749633453065</v>
      </c>
      <c r="T67" s="59">
        <f t="shared" si="34"/>
        <v>213.4524723740343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17.251005414350935</v>
      </c>
      <c r="AA67" s="21">
        <f>EXP(-LN(2)/25)*AA66+(1-EXP(-LN(2)/25))/(LN(2)/25)*Calculateur!V67*Calculateur!X67*VLOOKUP('Données projet'!$B$9,Paramètres!$A$1:$I$89,3,0)*0.475*44/12</f>
        <v>1.6782882675652737</v>
      </c>
      <c r="AB67" s="21">
        <f>EXP(-LN(2)/2)*AB66+(1-EXP(-LN(2)/2))/(LN(2)/2)*V67*Y67*VLOOKUP('Données projet'!$B$9,Paramètres!$A$1:$I$89,3,0)*0.475*44/12</f>
        <v>4.9147435304727863E-7</v>
      </c>
      <c r="AC67" s="22">
        <f t="shared" si="3"/>
        <v>18.929294173390563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3.9755889073092021E-3</v>
      </c>
      <c r="O68" s="13">
        <f>N68*VLOOKUP('Données projet'!$B$9,Paramètres!$A$1:$I$89,3,0)*VLOOKUP('Données projet'!$B$9,Paramètres!$A$1:$I$89,5,0)</f>
        <v>2.0218254947011681E-3</v>
      </c>
      <c r="P68" s="13">
        <f t="shared" si="33"/>
        <v>1.918258672927269E-3</v>
      </c>
      <c r="Q68" s="20">
        <f t="shared" si="54"/>
        <v>6.8623132586195278E-3</v>
      </c>
      <c r="R68" s="59">
        <f t="shared" si="55"/>
        <v>293.34019564659195</v>
      </c>
      <c r="S68" s="59">
        <f ca="1">AVERAGE(OFFSET($R$3,0,0,'Données projet'!$E$9+1,1))-AVERAGE(OFFSET($H$3,0,0,'Données projet'!$E$9+1,1))</f>
        <v>71.898749633453065</v>
      </c>
      <c r="T68" s="59">
        <f t="shared" si="34"/>
        <v>213.4524723740343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16.912723720249847</v>
      </c>
      <c r="AA68" s="21">
        <f>EXP(-LN(2)/25)*AA67+(1-EXP(-LN(2)/25))/(LN(2)/25)*Calculateur!V68*Calculateur!X68*VLOOKUP('Données projet'!$B$9,Paramètres!$A$1:$I$89,3,0)*0.475*44/12</f>
        <v>1.6323953866313572</v>
      </c>
      <c r="AB68" s="21">
        <f>EXP(-LN(2)/2)*AB67+(1-EXP(-LN(2)/2))/(LN(2)/2)*V68*Y68*VLOOKUP('Données projet'!$B$9,Paramètres!$A$1:$I$89,3,0)*0.475*44/12</f>
        <v>3.4752484781900207E-7</v>
      </c>
      <c r="AC68" s="22">
        <f t="shared" ref="AC68:AC131" si="57">SUM(Z68:AB68)</f>
        <v>18.545119454406052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3.9755889073092021E-3</v>
      </c>
      <c r="O69" s="13">
        <f>N69*VLOOKUP('Données projet'!$B$9,Paramètres!$A$1:$I$89,3,0)*VLOOKUP('Données projet'!$B$9,Paramètres!$A$1:$I$89,5,0)</f>
        <v>2.0218254947011681E-3</v>
      </c>
      <c r="P69" s="13">
        <f t="shared" ref="P69:P132" si="87">EXP(-1.0587+0.8836*LN(O69)+0.284)</f>
        <v>1.918258672927269E-3</v>
      </c>
      <c r="Q69" s="20">
        <f t="shared" si="54"/>
        <v>6.8623132586195278E-3</v>
      </c>
      <c r="R69" s="59">
        <f t="shared" si="55"/>
        <v>293.34019564659195</v>
      </c>
      <c r="S69" s="59">
        <f ca="1">AVERAGE(OFFSET($R$3,0,0,'Données projet'!$E$9+1,1))-AVERAGE(OFFSET($H$3,0,0,'Données projet'!$E$9+1,1))</f>
        <v>71.898749633453065</v>
      </c>
      <c r="T69" s="59">
        <f t="shared" ref="T69:T132" si="88">$T$3</f>
        <v>213.4524723740343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16.581075523838621</v>
      </c>
      <c r="AA69" s="21">
        <f>EXP(-LN(2)/25)*AA68+(1-EXP(-LN(2)/25))/(LN(2)/25)*Calculateur!V69*Calculateur!X69*VLOOKUP('Données projet'!$B$9,Paramètres!$A$1:$I$89,3,0)*0.475*44/12</f>
        <v>1.5877574489399802</v>
      </c>
      <c r="AB69" s="21">
        <f>EXP(-LN(2)/2)*AB68+(1-EXP(-LN(2)/2))/(LN(2)/2)*V69*Y69*VLOOKUP('Données projet'!$B$9,Paramètres!$A$1:$I$89,3,0)*0.475*44/12</f>
        <v>2.4573717652363932E-7</v>
      </c>
      <c r="AC69" s="22">
        <f t="shared" si="57"/>
        <v>18.168833218515779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3.9755889073092021E-3</v>
      </c>
      <c r="O70" s="13">
        <f>N70*VLOOKUP('Données projet'!$B$9,Paramètres!$A$1:$I$89,3,0)*VLOOKUP('Données projet'!$B$9,Paramètres!$A$1:$I$89,5,0)</f>
        <v>2.0218254947011681E-3</v>
      </c>
      <c r="P70" s="13">
        <f t="shared" si="87"/>
        <v>1.918258672927269E-3</v>
      </c>
      <c r="Q70" s="20">
        <f t="shared" si="54"/>
        <v>6.8623132586195278E-3</v>
      </c>
      <c r="R70" s="59">
        <f t="shared" si="55"/>
        <v>293.34019564659195</v>
      </c>
      <c r="S70" s="59">
        <f ca="1">AVERAGE(OFFSET($R$3,0,0,'Données projet'!$E$9+1,1))-AVERAGE(OFFSET($H$3,0,0,'Données projet'!$E$9+1,1))</f>
        <v>71.898749633453065</v>
      </c>
      <c r="T70" s="59">
        <f t="shared" si="88"/>
        <v>213.4524723740343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16.255930746273595</v>
      </c>
      <c r="AA70" s="21">
        <f>EXP(-LN(2)/25)*AA69+(1-EXP(-LN(2)/25))/(LN(2)/25)*Calculateur!V70*Calculateur!X70*VLOOKUP('Données projet'!$B$9,Paramètres!$A$1:$I$89,3,0)*0.475*44/12</f>
        <v>1.5443401380021811</v>
      </c>
      <c r="AB70" s="21">
        <f>EXP(-LN(2)/2)*AB69+(1-EXP(-LN(2)/2))/(LN(2)/2)*V70*Y70*VLOOKUP('Données projet'!$B$9,Paramètres!$A$1:$I$89,3,0)*0.475*44/12</f>
        <v>1.7376242390950104E-7</v>
      </c>
      <c r="AC70" s="22">
        <f t="shared" si="57"/>
        <v>17.800271058038199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3.9755889073092021E-3</v>
      </c>
      <c r="O71" s="13">
        <f>N71*VLOOKUP('Données projet'!$B$9,Paramètres!$A$1:$I$89,3,0)*VLOOKUP('Données projet'!$B$9,Paramètres!$A$1:$I$89,5,0)</f>
        <v>2.0218254947011681E-3</v>
      </c>
      <c r="P71" s="13">
        <f t="shared" si="87"/>
        <v>1.918258672927269E-3</v>
      </c>
      <c r="Q71" s="20">
        <f t="shared" si="54"/>
        <v>6.8623132586195278E-3</v>
      </c>
      <c r="R71" s="59">
        <f t="shared" si="55"/>
        <v>293.34019564659195</v>
      </c>
      <c r="S71" s="59">
        <f ca="1">AVERAGE(OFFSET($R$3,0,0,'Données projet'!$E$9+1,1))-AVERAGE(OFFSET($H$3,0,0,'Données projet'!$E$9+1,1))</f>
        <v>71.898749633453065</v>
      </c>
      <c r="T71" s="59">
        <f t="shared" si="88"/>
        <v>213.4524723740343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15.937161859477886</v>
      </c>
      <c r="AA71" s="21">
        <f>EXP(-LN(2)/25)*AA70+(1-EXP(-LN(2)/25))/(LN(2)/25)*Calculateur!V71*Calculateur!X71*VLOOKUP('Données projet'!$B$9,Paramètres!$A$1:$I$89,3,0)*0.475*44/12</f>
        <v>1.5021100757151933</v>
      </c>
      <c r="AB71" s="21">
        <f>EXP(-LN(2)/2)*AB70+(1-EXP(-LN(2)/2))/(LN(2)/2)*V71*Y71*VLOOKUP('Données projet'!$B$9,Paramètres!$A$1:$I$89,3,0)*0.475*44/12</f>
        <v>1.2286858826181966E-7</v>
      </c>
      <c r="AC71" s="22">
        <f t="shared" si="57"/>
        <v>17.439272058061668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3.9755889073092021E-3</v>
      </c>
      <c r="O72" s="13">
        <f>N72*VLOOKUP('Données projet'!$B$9,Paramètres!$A$1:$I$89,3,0)*VLOOKUP('Données projet'!$B$9,Paramètres!$A$1:$I$89,5,0)</f>
        <v>2.0218254947011681E-3</v>
      </c>
      <c r="P72" s="13">
        <f t="shared" si="87"/>
        <v>1.918258672927269E-3</v>
      </c>
      <c r="Q72" s="20">
        <f t="shared" si="54"/>
        <v>6.8623132586195278E-3</v>
      </c>
      <c r="R72" s="59">
        <f t="shared" si="55"/>
        <v>293.34019564659195</v>
      </c>
      <c r="S72" s="59">
        <f ca="1">AVERAGE(OFFSET($R$3,0,0,'Données projet'!$E$9+1,1))-AVERAGE(OFFSET($H$3,0,0,'Données projet'!$E$9+1,1))</f>
        <v>71.898749633453065</v>
      </c>
      <c r="T72" s="59">
        <f t="shared" si="88"/>
        <v>213.4524723740343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15.624643836122418</v>
      </c>
      <c r="AA72" s="21">
        <f>EXP(-LN(2)/25)*AA71+(1-EXP(-LN(2)/25))/(LN(2)/25)*Calculateur!V72*Calculateur!X72*VLOOKUP('Données projet'!$B$9,Paramètres!$A$1:$I$89,3,0)*0.475*44/12</f>
        <v>1.4610347967022255</v>
      </c>
      <c r="AB72" s="21">
        <f>EXP(-LN(2)/2)*AB71+(1-EXP(-LN(2)/2))/(LN(2)/2)*V72*Y72*VLOOKUP('Données projet'!$B$9,Paramètres!$A$1:$I$89,3,0)*0.475*44/12</f>
        <v>8.6881211954750518E-8</v>
      </c>
      <c r="AC72" s="22">
        <f t="shared" si="57"/>
        <v>17.085678719705854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3.9755889073092021E-3</v>
      </c>
      <c r="O73" s="13">
        <f>N73*VLOOKUP('Données projet'!$B$9,Paramètres!$A$1:$I$89,3,0)*VLOOKUP('Données projet'!$B$9,Paramètres!$A$1:$I$89,5,0)</f>
        <v>2.0218254947011681E-3</v>
      </c>
      <c r="P73" s="13">
        <f t="shared" si="87"/>
        <v>1.918258672927269E-3</v>
      </c>
      <c r="Q73" s="20">
        <f t="shared" si="54"/>
        <v>6.8623132586195278E-3</v>
      </c>
      <c r="R73" s="59">
        <f t="shared" si="55"/>
        <v>293.34019564659195</v>
      </c>
      <c r="S73" s="59">
        <f ca="1">AVERAGE(OFFSET($R$3,0,0,'Données projet'!$E$9+1,1))-AVERAGE(OFFSET($H$3,0,0,'Données projet'!$E$9+1,1))</f>
        <v>71.898749633453065</v>
      </c>
      <c r="T73" s="59">
        <f t="shared" si="88"/>
        <v>213.4524723740343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15.318254100587779</v>
      </c>
      <c r="AA73" s="21">
        <f>EXP(-LN(2)/25)*AA72+(1-EXP(-LN(2)/25))/(LN(2)/25)*Calculateur!V73*Calculateur!X73*VLOOKUP('Données projet'!$B$9,Paramètres!$A$1:$I$89,3,0)*0.475*44/12</f>
        <v>1.4210827233539225</v>
      </c>
      <c r="AB73" s="21">
        <f>EXP(-LN(2)/2)*AB72+(1-EXP(-LN(2)/2))/(LN(2)/2)*V73*Y73*VLOOKUP('Données projet'!$B$9,Paramètres!$A$1:$I$89,3,0)*0.475*44/12</f>
        <v>6.1434294130909829E-8</v>
      </c>
      <c r="AC73" s="22">
        <f t="shared" si="57"/>
        <v>16.739336885375998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3.9755889073092021E-3</v>
      </c>
      <c r="O74" s="13">
        <f>N74*VLOOKUP('Données projet'!$B$9,Paramètres!$A$1:$I$89,3,0)*VLOOKUP('Données projet'!$B$9,Paramètres!$A$1:$I$89,5,0)</f>
        <v>2.0218254947011681E-3</v>
      </c>
      <c r="P74" s="13">
        <f t="shared" si="87"/>
        <v>1.918258672927269E-3</v>
      </c>
      <c r="Q74" s="20">
        <f t="shared" si="54"/>
        <v>6.8623132586195278E-3</v>
      </c>
      <c r="R74" s="59">
        <f t="shared" si="55"/>
        <v>293.34019564659195</v>
      </c>
      <c r="S74" s="59">
        <f ca="1">AVERAGE(OFFSET($R$3,0,0,'Données projet'!$E$9+1,1))-AVERAGE(OFFSET($H$3,0,0,'Données projet'!$E$9+1,1))</f>
        <v>71.898749633453065</v>
      </c>
      <c r="T74" s="59">
        <f t="shared" si="88"/>
        <v>213.4524723740343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15.017872480887689</v>
      </c>
      <c r="AA74" s="21">
        <f>EXP(-LN(2)/25)*AA73+(1-EXP(-LN(2)/25))/(LN(2)/25)*Calculateur!V74*Calculateur!X74*VLOOKUP('Données projet'!$B$9,Paramètres!$A$1:$I$89,3,0)*0.475*44/12</f>
        <v>1.382223141552317</v>
      </c>
      <c r="AB74" s="21">
        <f>EXP(-LN(2)/2)*AB73+(1-EXP(-LN(2)/2))/(LN(2)/2)*V74*Y74*VLOOKUP('Données projet'!$B$9,Paramètres!$A$1:$I$89,3,0)*0.475*44/12</f>
        <v>4.3440605977375259E-8</v>
      </c>
      <c r="AC74" s="22">
        <f t="shared" si="57"/>
        <v>16.400095665880613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3.9755889073092021E-3</v>
      </c>
      <c r="O75" s="13">
        <f>N75*VLOOKUP('Données projet'!$B$9,Paramètres!$A$1:$I$89,3,0)*VLOOKUP('Données projet'!$B$9,Paramètres!$A$1:$I$89,5,0)</f>
        <v>2.0218254947011681E-3</v>
      </c>
      <c r="P75" s="13">
        <f t="shared" si="87"/>
        <v>1.918258672927269E-3</v>
      </c>
      <c r="Q75" s="20">
        <f t="shared" si="54"/>
        <v>6.8623132586195278E-3</v>
      </c>
      <c r="R75" s="59">
        <f t="shared" si="55"/>
        <v>293.34019564659195</v>
      </c>
      <c r="S75" s="59">
        <f ca="1">AVERAGE(OFFSET($R$3,0,0,'Données projet'!$E$9+1,1))-AVERAGE(OFFSET($H$3,0,0,'Données projet'!$E$9+1,1))</f>
        <v>71.898749633453065</v>
      </c>
      <c r="T75" s="59">
        <f t="shared" si="88"/>
        <v>213.4524723740343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14.723381161535221</v>
      </c>
      <c r="AA75" s="21">
        <f>EXP(-LN(2)/25)*AA74+(1-EXP(-LN(2)/25))/(LN(2)/25)*Calculateur!V75*Calculateur!X75*VLOOKUP('Données projet'!$B$9,Paramètres!$A$1:$I$89,3,0)*0.475*44/12</f>
        <v>1.344426177058613</v>
      </c>
      <c r="AB75" s="21">
        <f>EXP(-LN(2)/2)*AB74+(1-EXP(-LN(2)/2))/(LN(2)/2)*V75*Y75*VLOOKUP('Données projet'!$B$9,Paramètres!$A$1:$I$89,3,0)*0.475*44/12</f>
        <v>3.0717147065454915E-8</v>
      </c>
      <c r="AC75" s="22">
        <f t="shared" si="57"/>
        <v>16.06780736931098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3.9755889073092021E-3</v>
      </c>
      <c r="O76" s="13">
        <f>N76*VLOOKUP('Données projet'!$B$9,Paramètres!$A$1:$I$89,3,0)*VLOOKUP('Données projet'!$B$9,Paramètres!$A$1:$I$89,5,0)</f>
        <v>2.0218254947011681E-3</v>
      </c>
      <c r="P76" s="13">
        <f t="shared" si="87"/>
        <v>1.918258672927269E-3</v>
      </c>
      <c r="Q76" s="20">
        <f t="shared" si="54"/>
        <v>6.8623132586195278E-3</v>
      </c>
      <c r="R76" s="59">
        <f t="shared" si="55"/>
        <v>293.34019564659195</v>
      </c>
      <c r="S76" s="59">
        <f ca="1">AVERAGE(OFFSET($R$3,0,0,'Données projet'!$E$9+1,1))-AVERAGE(OFFSET($H$3,0,0,'Données projet'!$E$9+1,1))</f>
        <v>71.898749633453065</v>
      </c>
      <c r="T76" s="59">
        <f t="shared" si="88"/>
        <v>213.4524723740343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14.434664637333285</v>
      </c>
      <c r="AA76" s="21">
        <f>EXP(-LN(2)/25)*AA75+(1-EXP(-LN(2)/25))/(LN(2)/25)*Calculateur!V76*Calculateur!X76*VLOOKUP('Données projet'!$B$9,Paramètres!$A$1:$I$89,3,0)*0.475*44/12</f>
        <v>1.3076627725466452</v>
      </c>
      <c r="AB76" s="21">
        <f>EXP(-LN(2)/2)*AB75+(1-EXP(-LN(2)/2))/(LN(2)/2)*V76*Y76*VLOOKUP('Données projet'!$B$9,Paramètres!$A$1:$I$89,3,0)*0.475*44/12</f>
        <v>2.1720302988687629E-8</v>
      </c>
      <c r="AC76" s="22">
        <f t="shared" si="57"/>
        <v>15.742327431600234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3.9755889073092021E-3</v>
      </c>
      <c r="O77" s="13">
        <f>N77*VLOOKUP('Données projet'!$B$9,Paramètres!$A$1:$I$89,3,0)*VLOOKUP('Données projet'!$B$9,Paramètres!$A$1:$I$89,5,0)</f>
        <v>2.0218254947011681E-3</v>
      </c>
      <c r="P77" s="13">
        <f t="shared" si="87"/>
        <v>1.918258672927269E-3</v>
      </c>
      <c r="Q77" s="20">
        <f t="shared" si="54"/>
        <v>6.8623132586195278E-3</v>
      </c>
      <c r="R77" s="59">
        <f t="shared" si="55"/>
        <v>293.34019564659195</v>
      </c>
      <c r="S77" s="59">
        <f ca="1">AVERAGE(OFFSET($R$3,0,0,'Données projet'!$E$9+1,1))-AVERAGE(OFFSET($H$3,0,0,'Données projet'!$E$9+1,1))</f>
        <v>71.898749633453065</v>
      </c>
      <c r="T77" s="59">
        <f t="shared" si="88"/>
        <v>213.4524723740343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14.151609668071258</v>
      </c>
      <c r="AA77" s="21">
        <f>EXP(-LN(2)/25)*AA76+(1-EXP(-LN(2)/25))/(LN(2)/25)*Calculateur!V77*Calculateur!X77*VLOOKUP('Données projet'!$B$9,Paramètres!$A$1:$I$89,3,0)*0.475*44/12</f>
        <v>1.2719046652643606</v>
      </c>
      <c r="AB77" s="21">
        <f>EXP(-LN(2)/2)*AB76+(1-EXP(-LN(2)/2))/(LN(2)/2)*V77*Y77*VLOOKUP('Données projet'!$B$9,Paramètres!$A$1:$I$89,3,0)*0.475*44/12</f>
        <v>1.5358573532727457E-8</v>
      </c>
      <c r="AC77" s="22">
        <f t="shared" si="57"/>
        <v>15.423514348694191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3.9755889073092021E-3</v>
      </c>
      <c r="O78" s="13">
        <f>N78*VLOOKUP('Données projet'!$B$9,Paramètres!$A$1:$I$89,3,0)*VLOOKUP('Données projet'!$B$9,Paramètres!$A$1:$I$89,5,0)</f>
        <v>2.0218254947011681E-3</v>
      </c>
      <c r="P78" s="13">
        <f t="shared" si="87"/>
        <v>1.918258672927269E-3</v>
      </c>
      <c r="Q78" s="20">
        <f t="shared" si="54"/>
        <v>6.8623132586195278E-3</v>
      </c>
      <c r="R78" s="59">
        <f t="shared" si="55"/>
        <v>293.34019564659195</v>
      </c>
      <c r="S78" s="59">
        <f ca="1">AVERAGE(OFFSET($R$3,0,0,'Données projet'!$E$9+1,1))-AVERAGE(OFFSET($H$3,0,0,'Données projet'!$E$9+1,1))</f>
        <v>71.898749633453065</v>
      </c>
      <c r="T78" s="59">
        <f t="shared" si="88"/>
        <v>213.4524723740343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13.874105234109974</v>
      </c>
      <c r="AA78" s="21">
        <f>EXP(-LN(2)/25)*AA77+(1-EXP(-LN(2)/25))/(LN(2)/25)*Calculateur!V78*Calculateur!X78*VLOOKUP('Données projet'!$B$9,Paramètres!$A$1:$I$89,3,0)*0.475*44/12</f>
        <v>1.2371243653061472</v>
      </c>
      <c r="AB78" s="21">
        <f>EXP(-LN(2)/2)*AB77+(1-EXP(-LN(2)/2))/(LN(2)/2)*V78*Y78*VLOOKUP('Données projet'!$B$9,Paramètres!$A$1:$I$89,3,0)*0.475*44/12</f>
        <v>1.0860151494343815E-8</v>
      </c>
      <c r="AC78" s="22">
        <f t="shared" si="57"/>
        <v>15.111229610276274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3.9755889073092021E-3</v>
      </c>
      <c r="O79" s="13">
        <f>N79*VLOOKUP('Données projet'!$B$9,Paramètres!$A$1:$I$89,3,0)*VLOOKUP('Données projet'!$B$9,Paramètres!$A$1:$I$89,5,0)</f>
        <v>2.0218254947011681E-3</v>
      </c>
      <c r="P79" s="13">
        <f t="shared" si="87"/>
        <v>1.918258672927269E-3</v>
      </c>
      <c r="Q79" s="20">
        <f t="shared" si="54"/>
        <v>6.8623132586195278E-3</v>
      </c>
      <c r="R79" s="59">
        <f t="shared" si="55"/>
        <v>293.34019564659195</v>
      </c>
      <c r="S79" s="59">
        <f ca="1">AVERAGE(OFFSET($R$3,0,0,'Données projet'!$E$9+1,1))-AVERAGE(OFFSET($H$3,0,0,'Données projet'!$E$9+1,1))</f>
        <v>71.898749633453065</v>
      </c>
      <c r="T79" s="59">
        <f t="shared" si="88"/>
        <v>213.4524723740343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13.602042492837681</v>
      </c>
      <c r="AA79" s="21">
        <f>EXP(-LN(2)/25)*AA78+(1-EXP(-LN(2)/25))/(LN(2)/25)*Calculateur!V79*Calculateur!X79*VLOOKUP('Données projet'!$B$9,Paramètres!$A$1:$I$89,3,0)*0.475*44/12</f>
        <v>1.2032951344793077</v>
      </c>
      <c r="AB79" s="21">
        <f>EXP(-LN(2)/2)*AB78+(1-EXP(-LN(2)/2))/(LN(2)/2)*V79*Y79*VLOOKUP('Données projet'!$B$9,Paramètres!$A$1:$I$89,3,0)*0.475*44/12</f>
        <v>7.6792867663637287E-9</v>
      </c>
      <c r="AC79" s="22">
        <f t="shared" si="57"/>
        <v>14.805337634996276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3.9755889073092021E-3</v>
      </c>
      <c r="O80" s="13">
        <f>N80*VLOOKUP('Données projet'!$B$9,Paramètres!$A$1:$I$89,3,0)*VLOOKUP('Données projet'!$B$9,Paramètres!$A$1:$I$89,5,0)</f>
        <v>2.0218254947011681E-3</v>
      </c>
      <c r="P80" s="13">
        <f t="shared" si="87"/>
        <v>1.918258672927269E-3</v>
      </c>
      <c r="Q80" s="20">
        <f t="shared" si="54"/>
        <v>6.8623132586195278E-3</v>
      </c>
      <c r="R80" s="59">
        <f t="shared" si="55"/>
        <v>293.34019564659195</v>
      </c>
      <c r="S80" s="59">
        <f ca="1">AVERAGE(OFFSET($R$3,0,0,'Données projet'!$E$9+1,1))-AVERAGE(OFFSET($H$3,0,0,'Données projet'!$E$9+1,1))</f>
        <v>71.898749633453065</v>
      </c>
      <c r="T80" s="59">
        <f t="shared" si="88"/>
        <v>213.4524723740343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13.33531473597985</v>
      </c>
      <c r="AA80" s="21">
        <f>EXP(-LN(2)/25)*AA79+(1-EXP(-LN(2)/25))/(LN(2)/25)*Calculateur!V80*Calculateur!X80*VLOOKUP('Données projet'!$B$9,Paramètres!$A$1:$I$89,3,0)*0.475*44/12</f>
        <v>1.1703909657484302</v>
      </c>
      <c r="AB80" s="21">
        <f>EXP(-LN(2)/2)*AB79+(1-EXP(-LN(2)/2))/(LN(2)/2)*V80*Y80*VLOOKUP('Données projet'!$B$9,Paramètres!$A$1:$I$89,3,0)*0.475*44/12</f>
        <v>5.4300757471719073E-9</v>
      </c>
      <c r="AC80" s="22">
        <f t="shared" si="57"/>
        <v>14.505705707158356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3.9755889073092021E-3</v>
      </c>
      <c r="O81" s="13">
        <f>N81*VLOOKUP('Données projet'!$B$9,Paramètres!$A$1:$I$89,3,0)*VLOOKUP('Données projet'!$B$9,Paramètres!$A$1:$I$89,5,0)</f>
        <v>2.0218254947011681E-3</v>
      </c>
      <c r="P81" s="13">
        <f t="shared" si="87"/>
        <v>1.918258672927269E-3</v>
      </c>
      <c r="Q81" s="20">
        <f t="shared" si="54"/>
        <v>6.8623132586195278E-3</v>
      </c>
      <c r="R81" s="59">
        <f t="shared" si="55"/>
        <v>293.34019564659195</v>
      </c>
      <c r="S81" s="59">
        <f ca="1">AVERAGE(OFFSET($R$3,0,0,'Données projet'!$E$9+1,1))-AVERAGE(OFFSET($H$3,0,0,'Données projet'!$E$9+1,1))</f>
        <v>71.898749633453065</v>
      </c>
      <c r="T81" s="59">
        <f t="shared" si="88"/>
        <v>213.4524723740343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13.073817347746134</v>
      </c>
      <c r="AA81" s="21">
        <f>EXP(-LN(2)/25)*AA80+(1-EXP(-LN(2)/25))/(LN(2)/25)*Calculateur!V81*Calculateur!X81*VLOOKUP('Données projet'!$B$9,Paramètres!$A$1:$I$89,3,0)*0.475*44/12</f>
        <v>1.1383865632418535</v>
      </c>
      <c r="AB81" s="21">
        <f>EXP(-LN(2)/2)*AB80+(1-EXP(-LN(2)/2))/(LN(2)/2)*V81*Y81*VLOOKUP('Données projet'!$B$9,Paramètres!$A$1:$I$89,3,0)*0.475*44/12</f>
        <v>3.8396433831818643E-9</v>
      </c>
      <c r="AC81" s="22">
        <f t="shared" si="57"/>
        <v>14.212203914827631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3.9755889073092021E-3</v>
      </c>
      <c r="O82" s="13">
        <f>N82*VLOOKUP('Données projet'!$B$9,Paramètres!$A$1:$I$89,3,0)*VLOOKUP('Données projet'!$B$9,Paramètres!$A$1:$I$89,5,0)</f>
        <v>2.0218254947011681E-3</v>
      </c>
      <c r="P82" s="13">
        <f t="shared" si="87"/>
        <v>1.918258672927269E-3</v>
      </c>
      <c r="Q82" s="20">
        <f t="shared" si="54"/>
        <v>6.8623132586195278E-3</v>
      </c>
      <c r="R82" s="59">
        <f t="shared" si="55"/>
        <v>293.34019564659195</v>
      </c>
      <c r="S82" s="59">
        <f ca="1">AVERAGE(OFFSET($R$3,0,0,'Données projet'!$E$9+1,1))-AVERAGE(OFFSET($H$3,0,0,'Données projet'!$E$9+1,1))</f>
        <v>71.898749633453065</v>
      </c>
      <c r="T82" s="59">
        <f t="shared" si="88"/>
        <v>213.4524723740343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12.817447763798024</v>
      </c>
      <c r="AA82" s="21">
        <f>EXP(-LN(2)/25)*AA81+(1-EXP(-LN(2)/25))/(LN(2)/25)*Calculateur!V82*Calculateur!X82*VLOOKUP('Données projet'!$B$9,Paramètres!$A$1:$I$89,3,0)*0.475*44/12</f>
        <v>1.1072573228048574</v>
      </c>
      <c r="AB82" s="21">
        <f>EXP(-LN(2)/2)*AB81+(1-EXP(-LN(2)/2))/(LN(2)/2)*V82*Y82*VLOOKUP('Données projet'!$B$9,Paramètres!$A$1:$I$89,3,0)*0.475*44/12</f>
        <v>2.7150378735859537E-9</v>
      </c>
      <c r="AC82" s="22">
        <f t="shared" si="57"/>
        <v>13.924705089317918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3.9755889073092021E-3</v>
      </c>
      <c r="O83" s="13">
        <f>N83*VLOOKUP('Données projet'!$B$9,Paramètres!$A$1:$I$89,3,0)*VLOOKUP('Données projet'!$B$9,Paramètres!$A$1:$I$89,5,0)</f>
        <v>2.0218254947011681E-3</v>
      </c>
      <c r="P83" s="13">
        <f t="shared" si="87"/>
        <v>1.918258672927269E-3</v>
      </c>
      <c r="Q83" s="20">
        <f t="shared" si="54"/>
        <v>6.8623132586195278E-3</v>
      </c>
      <c r="R83" s="59">
        <f t="shared" si="55"/>
        <v>293.34019564659195</v>
      </c>
      <c r="S83" s="59">
        <f ca="1">AVERAGE(OFFSET($R$3,0,0,'Données projet'!$E$9+1,1))-AVERAGE(OFFSET($H$3,0,0,'Données projet'!$E$9+1,1))</f>
        <v>71.898749633453065</v>
      </c>
      <c r="T83" s="59">
        <f t="shared" si="88"/>
        <v>213.4524723740343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12.56610543102113</v>
      </c>
      <c r="AA83" s="21">
        <f>EXP(-LN(2)/25)*AA82+(1-EXP(-LN(2)/25))/(LN(2)/25)*Calculateur!V83*Calculateur!X83*VLOOKUP('Données projet'!$B$9,Paramètres!$A$1:$I$89,3,0)*0.475*44/12</f>
        <v>1.0769793130846266</v>
      </c>
      <c r="AB83" s="21">
        <f>EXP(-LN(2)/2)*AB82+(1-EXP(-LN(2)/2))/(LN(2)/2)*V83*Y83*VLOOKUP('Données projet'!$B$9,Paramètres!$A$1:$I$89,3,0)*0.475*44/12</f>
        <v>1.9198216915909322E-9</v>
      </c>
      <c r="AC83" s="22">
        <f t="shared" si="57"/>
        <v>13.643084746025579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3.9755889073092021E-3</v>
      </c>
      <c r="O84" s="13">
        <f>N84*VLOOKUP('Données projet'!$B$9,Paramètres!$A$1:$I$89,3,0)*VLOOKUP('Données projet'!$B$9,Paramètres!$A$1:$I$89,5,0)</f>
        <v>2.0218254947011681E-3</v>
      </c>
      <c r="P84" s="13">
        <f t="shared" si="87"/>
        <v>1.918258672927269E-3</v>
      </c>
      <c r="Q84" s="20">
        <f t="shared" si="54"/>
        <v>6.8623132586195278E-3</v>
      </c>
      <c r="R84" s="59">
        <f t="shared" si="55"/>
        <v>293.34019564659195</v>
      </c>
      <c r="S84" s="59">
        <f ca="1">AVERAGE(OFFSET($R$3,0,0,'Données projet'!$E$9+1,1))-AVERAGE(OFFSET($H$3,0,0,'Données projet'!$E$9+1,1))</f>
        <v>71.898749633453065</v>
      </c>
      <c r="T84" s="59">
        <f t="shared" si="88"/>
        <v>213.4524723740343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12.319691768086306</v>
      </c>
      <c r="AA84" s="21">
        <f>EXP(-LN(2)/25)*AA83+(1-EXP(-LN(2)/25))/(LN(2)/25)*Calculateur!V84*Calculateur!X84*VLOOKUP('Données projet'!$B$9,Paramètres!$A$1:$I$89,3,0)*0.475*44/12</f>
        <v>1.0475292571324468</v>
      </c>
      <c r="AB84" s="21">
        <f>EXP(-LN(2)/2)*AB83+(1-EXP(-LN(2)/2))/(LN(2)/2)*V84*Y84*VLOOKUP('Données projet'!$B$9,Paramètres!$A$1:$I$89,3,0)*0.475*44/12</f>
        <v>1.3575189367929768E-9</v>
      </c>
      <c r="AC84" s="22">
        <f t="shared" si="57"/>
        <v>13.367221026576273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3.9755889073092021E-3</v>
      </c>
      <c r="O85" s="13">
        <f>N85*VLOOKUP('Données projet'!$B$9,Paramètres!$A$1:$I$89,3,0)*VLOOKUP('Données projet'!$B$9,Paramètres!$A$1:$I$89,5,0)</f>
        <v>2.0218254947011681E-3</v>
      </c>
      <c r="P85" s="13">
        <f t="shared" si="87"/>
        <v>1.918258672927269E-3</v>
      </c>
      <c r="Q85" s="20">
        <f t="shared" si="54"/>
        <v>6.8623132586195278E-3</v>
      </c>
      <c r="R85" s="59">
        <f t="shared" si="55"/>
        <v>293.34019564659195</v>
      </c>
      <c r="S85" s="59">
        <f ca="1">AVERAGE(OFFSET($R$3,0,0,'Données projet'!$E$9+1,1))-AVERAGE(OFFSET($H$3,0,0,'Données projet'!$E$9+1,1))</f>
        <v>71.898749633453065</v>
      </c>
      <c r="T85" s="59">
        <f t="shared" si="88"/>
        <v>213.4524723740343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12.078110126784139</v>
      </c>
      <c r="AA85" s="21">
        <f>EXP(-LN(2)/25)*AA84+(1-EXP(-LN(2)/25))/(LN(2)/25)*Calculateur!V85*Calculateur!X85*VLOOKUP('Données projet'!$B$9,Paramètres!$A$1:$I$89,3,0)*0.475*44/12</f>
        <v>1.0188845145089906</v>
      </c>
      <c r="AB85" s="21">
        <f>EXP(-LN(2)/2)*AB84+(1-EXP(-LN(2)/2))/(LN(2)/2)*V85*Y85*VLOOKUP('Données projet'!$B$9,Paramètres!$A$1:$I$89,3,0)*0.475*44/12</f>
        <v>9.5991084579546608E-10</v>
      </c>
      <c r="AC85" s="22">
        <f t="shared" si="57"/>
        <v>13.096994642253041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3.9755889073092021E-3</v>
      </c>
      <c r="O86" s="13">
        <f>N86*VLOOKUP('Données projet'!$B$9,Paramètres!$A$1:$I$89,3,0)*VLOOKUP('Données projet'!$B$9,Paramètres!$A$1:$I$89,5,0)</f>
        <v>2.0218254947011681E-3</v>
      </c>
      <c r="P86" s="13">
        <f t="shared" si="87"/>
        <v>1.918258672927269E-3</v>
      </c>
      <c r="Q86" s="20">
        <f t="shared" si="54"/>
        <v>6.8623132586195278E-3</v>
      </c>
      <c r="R86" s="59">
        <f t="shared" si="55"/>
        <v>293.34019564659195</v>
      </c>
      <c r="S86" s="59">
        <f ca="1">AVERAGE(OFFSET($R$3,0,0,'Données projet'!$E$9+1,1))-AVERAGE(OFFSET($H$3,0,0,'Données projet'!$E$9+1,1))</f>
        <v>71.898749633453065</v>
      </c>
      <c r="T86" s="59">
        <f t="shared" si="88"/>
        <v>213.4524723740343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11.841265754117657</v>
      </c>
      <c r="AA86" s="21">
        <f>EXP(-LN(2)/25)*AA85+(1-EXP(-LN(2)/25))/(LN(2)/25)*Calculateur!V86*Calculateur!X86*VLOOKUP('Données projet'!$B$9,Paramètres!$A$1:$I$89,3,0)*0.475*44/12</f>
        <v>0.99102306387893435</v>
      </c>
      <c r="AB86" s="21">
        <f>EXP(-LN(2)/2)*AB85+(1-EXP(-LN(2)/2))/(LN(2)/2)*V86*Y86*VLOOKUP('Données projet'!$B$9,Paramètres!$A$1:$I$89,3,0)*0.475*44/12</f>
        <v>6.7875946839648842E-10</v>
      </c>
      <c r="AC86" s="22">
        <f t="shared" si="57"/>
        <v>12.832288818675352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3.9755889073092021E-3</v>
      </c>
      <c r="O87" s="13">
        <f>N87*VLOOKUP('Données projet'!$B$9,Paramètres!$A$1:$I$89,3,0)*VLOOKUP('Données projet'!$B$9,Paramètres!$A$1:$I$89,5,0)</f>
        <v>2.0218254947011681E-3</v>
      </c>
      <c r="P87" s="13">
        <f t="shared" si="87"/>
        <v>1.918258672927269E-3</v>
      </c>
      <c r="Q87" s="20">
        <f t="shared" si="54"/>
        <v>6.8623132586195278E-3</v>
      </c>
      <c r="R87" s="59">
        <f t="shared" si="55"/>
        <v>293.34019564659195</v>
      </c>
      <c r="S87" s="59">
        <f ca="1">AVERAGE(OFFSET($R$3,0,0,'Données projet'!$E$9+1,1))-AVERAGE(OFFSET($H$3,0,0,'Données projet'!$E$9+1,1))</f>
        <v>71.898749633453065</v>
      </c>
      <c r="T87" s="59">
        <f t="shared" si="88"/>
        <v>213.4524723740343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11.609065755138362</v>
      </c>
      <c r="AA87" s="21">
        <f>EXP(-LN(2)/25)*AA86+(1-EXP(-LN(2)/25))/(LN(2)/25)*Calculateur!V87*Calculateur!X87*VLOOKUP('Données projet'!$B$9,Paramètres!$A$1:$I$89,3,0)*0.475*44/12</f>
        <v>0.963923486081527</v>
      </c>
      <c r="AB87" s="21">
        <f>EXP(-LN(2)/2)*AB86+(1-EXP(-LN(2)/2))/(LN(2)/2)*V87*Y87*VLOOKUP('Données projet'!$B$9,Paramètres!$A$1:$I$89,3,0)*0.475*44/12</f>
        <v>4.7995542289773304E-10</v>
      </c>
      <c r="AC87" s="22">
        <f t="shared" si="57"/>
        <v>12.572989241699844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3.9755889073092021E-3</v>
      </c>
      <c r="O88" s="13">
        <f>N88*VLOOKUP('Données projet'!$B$9,Paramètres!$A$1:$I$89,3,0)*VLOOKUP('Données projet'!$B$9,Paramètres!$A$1:$I$89,5,0)</f>
        <v>2.0218254947011681E-3</v>
      </c>
      <c r="P88" s="13">
        <f t="shared" si="87"/>
        <v>1.918258672927269E-3</v>
      </c>
      <c r="Q88" s="20">
        <f t="shared" si="54"/>
        <v>6.8623132586195278E-3</v>
      </c>
      <c r="R88" s="59">
        <f t="shared" si="55"/>
        <v>293.34019564659195</v>
      </c>
      <c r="S88" s="59">
        <f ca="1">AVERAGE(OFFSET($R$3,0,0,'Données projet'!$E$9+1,1))-AVERAGE(OFFSET($H$3,0,0,'Données projet'!$E$9+1,1))</f>
        <v>71.898749633453065</v>
      </c>
      <c r="T88" s="59">
        <f t="shared" si="88"/>
        <v>213.4524723740343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11.381419056511035</v>
      </c>
      <c r="AA88" s="21">
        <f>EXP(-LN(2)/25)*AA87+(1-EXP(-LN(2)/25))/(LN(2)/25)*Calculateur!V88*Calculateur!X88*VLOOKUP('Données projet'!$B$9,Paramètres!$A$1:$I$89,3,0)*0.475*44/12</f>
        <v>0.93756494766409459</v>
      </c>
      <c r="AB88" s="21">
        <f>EXP(-LN(2)/2)*AB87+(1-EXP(-LN(2)/2))/(LN(2)/2)*V88*Y88*VLOOKUP('Données projet'!$B$9,Paramètres!$A$1:$I$89,3,0)*0.475*44/12</f>
        <v>3.3937973419824421E-10</v>
      </c>
      <c r="AC88" s="22">
        <f t="shared" si="57"/>
        <v>12.31898400451451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3.9755889073092021E-3</v>
      </c>
      <c r="O89" s="13">
        <f>N89*VLOOKUP('Données projet'!$B$9,Paramètres!$A$1:$I$89,3,0)*VLOOKUP('Données projet'!$B$9,Paramètres!$A$1:$I$89,5,0)</f>
        <v>2.0218254947011681E-3</v>
      </c>
      <c r="P89" s="13">
        <f t="shared" si="87"/>
        <v>1.918258672927269E-3</v>
      </c>
      <c r="Q89" s="20">
        <f t="shared" si="54"/>
        <v>6.8623132586195278E-3</v>
      </c>
      <c r="R89" s="59">
        <f t="shared" si="55"/>
        <v>293.34019564659195</v>
      </c>
      <c r="S89" s="59">
        <f ca="1">AVERAGE(OFFSET($R$3,0,0,'Données projet'!$E$9+1,1))-AVERAGE(OFFSET($H$3,0,0,'Données projet'!$E$9+1,1))</f>
        <v>71.898749633453065</v>
      </c>
      <c r="T89" s="59">
        <f t="shared" si="88"/>
        <v>213.4524723740343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11.158236370793015</v>
      </c>
      <c r="AA89" s="21">
        <f>EXP(-LN(2)/25)*AA88+(1-EXP(-LN(2)/25))/(LN(2)/25)*Calculateur!V89*Calculateur!X89*VLOOKUP('Données projet'!$B$9,Paramètres!$A$1:$I$89,3,0)*0.475*44/12</f>
        <v>0.91192718486582214</v>
      </c>
      <c r="AB89" s="21">
        <f>EXP(-LN(2)/2)*AB88+(1-EXP(-LN(2)/2))/(LN(2)/2)*V89*Y89*VLOOKUP('Données projet'!$B$9,Paramètres!$A$1:$I$89,3,0)*0.475*44/12</f>
        <v>2.3997771144886652E-10</v>
      </c>
      <c r="AC89" s="22">
        <f t="shared" si="57"/>
        <v>12.070163555898814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3.9755889073092021E-3</v>
      </c>
      <c r="O90" s="13">
        <f>N90*VLOOKUP('Données projet'!$B$9,Paramètres!$A$1:$I$89,3,0)*VLOOKUP('Données projet'!$B$9,Paramètres!$A$1:$I$89,5,0)</f>
        <v>2.0218254947011681E-3</v>
      </c>
      <c r="P90" s="13">
        <f t="shared" si="87"/>
        <v>1.918258672927269E-3</v>
      </c>
      <c r="Q90" s="20">
        <f t="shared" si="54"/>
        <v>6.8623132586195278E-3</v>
      </c>
      <c r="R90" s="59">
        <f t="shared" si="55"/>
        <v>293.34019564659195</v>
      </c>
      <c r="S90" s="59">
        <f ca="1">AVERAGE(OFFSET($R$3,0,0,'Données projet'!$E$9+1,1))-AVERAGE(OFFSET($H$3,0,0,'Données projet'!$E$9+1,1))</f>
        <v>71.898749633453065</v>
      </c>
      <c r="T90" s="59">
        <f t="shared" si="88"/>
        <v>213.4524723740343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10.939430161413927</v>
      </c>
      <c r="AA90" s="21">
        <f>EXP(-LN(2)/25)*AA89+(1-EXP(-LN(2)/25))/(LN(2)/25)*Calculateur!V90*Calculateur!X90*VLOOKUP('Données projet'!$B$9,Paramètres!$A$1:$I$89,3,0)*0.475*44/12</f>
        <v>0.88699048803949987</v>
      </c>
      <c r="AB90" s="21">
        <f>EXP(-LN(2)/2)*AB89+(1-EXP(-LN(2)/2))/(LN(2)/2)*V90*Y90*VLOOKUP('Données projet'!$B$9,Paramètres!$A$1:$I$89,3,0)*0.475*44/12</f>
        <v>1.696898670991221E-10</v>
      </c>
      <c r="AC90" s="22">
        <f t="shared" si="57"/>
        <v>11.826420649623117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3.9755889073092021E-3</v>
      </c>
      <c r="O91" s="13">
        <f>N91*VLOOKUP('Données projet'!$B$9,Paramètres!$A$1:$I$89,3,0)*VLOOKUP('Données projet'!$B$9,Paramètres!$A$1:$I$89,5,0)</f>
        <v>2.0218254947011681E-3</v>
      </c>
      <c r="P91" s="13">
        <f t="shared" si="87"/>
        <v>1.918258672927269E-3</v>
      </c>
      <c r="Q91" s="20">
        <f t="shared" si="54"/>
        <v>6.8623132586195278E-3</v>
      </c>
      <c r="R91" s="59">
        <f t="shared" si="55"/>
        <v>293.34019564659195</v>
      </c>
      <c r="S91" s="59">
        <f ca="1">AVERAGE(OFFSET($R$3,0,0,'Données projet'!$E$9+1,1))-AVERAGE(OFFSET($H$3,0,0,'Données projet'!$E$9+1,1))</f>
        <v>71.898749633453065</v>
      </c>
      <c r="T91" s="59">
        <f t="shared" si="88"/>
        <v>213.4524723740343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10.724914608342155</v>
      </c>
      <c r="AA91" s="21">
        <f>EXP(-LN(2)/25)*AA90+(1-EXP(-LN(2)/25))/(LN(2)/25)*Calculateur!V91*Calculateur!X91*VLOOKUP('Données projet'!$B$9,Paramètres!$A$1:$I$89,3,0)*0.475*44/12</f>
        <v>0.86273568649925725</v>
      </c>
      <c r="AB91" s="21">
        <f>EXP(-LN(2)/2)*AB90+(1-EXP(-LN(2)/2))/(LN(2)/2)*V91*Y91*VLOOKUP('Données projet'!$B$9,Paramètres!$A$1:$I$89,3,0)*0.475*44/12</f>
        <v>1.1998885572443326E-10</v>
      </c>
      <c r="AC91" s="22">
        <f t="shared" si="57"/>
        <v>11.587650294961403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3.9755889073092021E-3</v>
      </c>
      <c r="O92" s="13">
        <f>N92*VLOOKUP('Données projet'!$B$9,Paramètres!$A$1:$I$89,3,0)*VLOOKUP('Données projet'!$B$9,Paramètres!$A$1:$I$89,5,0)</f>
        <v>2.0218254947011681E-3</v>
      </c>
      <c r="P92" s="13">
        <f t="shared" si="87"/>
        <v>1.918258672927269E-3</v>
      </c>
      <c r="Q92" s="20">
        <f t="shared" si="54"/>
        <v>6.8623132586195278E-3</v>
      </c>
      <c r="R92" s="59">
        <f t="shared" si="55"/>
        <v>293.34019564659195</v>
      </c>
      <c r="S92" s="59">
        <f ca="1">AVERAGE(OFFSET($R$3,0,0,'Données projet'!$E$9+1,1))-AVERAGE(OFFSET($H$3,0,0,'Données projet'!$E$9+1,1))</f>
        <v>71.898749633453065</v>
      </c>
      <c r="T92" s="59">
        <f t="shared" si="88"/>
        <v>213.4524723740343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10.514605574424552</v>
      </c>
      <c r="AA92" s="21">
        <f>EXP(-LN(2)/25)*AA91+(1-EXP(-LN(2)/25))/(LN(2)/25)*Calculateur!V92*Calculateur!X92*VLOOKUP('Données projet'!$B$9,Paramètres!$A$1:$I$89,3,0)*0.475*44/12</f>
        <v>0.83914413378263708</v>
      </c>
      <c r="AB92" s="21">
        <f>EXP(-LN(2)/2)*AB91+(1-EXP(-LN(2)/2))/(LN(2)/2)*V92*Y92*VLOOKUP('Données projet'!$B$9,Paramètres!$A$1:$I$89,3,0)*0.475*44/12</f>
        <v>8.4844933549561052E-11</v>
      </c>
      <c r="AC92" s="22">
        <f t="shared" si="57"/>
        <v>11.353749708292034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3.9755889073092021E-3</v>
      </c>
      <c r="O93" s="13">
        <f>N93*VLOOKUP('Données projet'!$B$9,Paramètres!$A$1:$I$89,3,0)*VLOOKUP('Données projet'!$B$9,Paramètres!$A$1:$I$89,5,0)</f>
        <v>2.0218254947011681E-3</v>
      </c>
      <c r="P93" s="13">
        <f t="shared" si="87"/>
        <v>1.918258672927269E-3</v>
      </c>
      <c r="Q93" s="20">
        <f t="shared" si="54"/>
        <v>6.8623132586195278E-3</v>
      </c>
      <c r="R93" s="59">
        <f t="shared" si="55"/>
        <v>293.34019564659195</v>
      </c>
      <c r="S93" s="59">
        <f ca="1">AVERAGE(OFFSET($R$3,0,0,'Données projet'!$E$9+1,1))-AVERAGE(OFFSET($H$3,0,0,'Données projet'!$E$9+1,1))</f>
        <v>71.898749633453065</v>
      </c>
      <c r="T93" s="59">
        <f t="shared" si="88"/>
        <v>213.4524723740343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10.308420572386229</v>
      </c>
      <c r="AA93" s="21">
        <f>EXP(-LN(2)/25)*AA92+(1-EXP(-LN(2)/25))/(LN(2)/25)*Calculateur!V93*Calculateur!X93*VLOOKUP('Données projet'!$B$9,Paramètres!$A$1:$I$89,3,0)*0.475*44/12</f>
        <v>0.81619769331567882</v>
      </c>
      <c r="AB93" s="21">
        <f>EXP(-LN(2)/2)*AB92+(1-EXP(-LN(2)/2))/(LN(2)/2)*V93*Y93*VLOOKUP('Données projet'!$B$9,Paramètres!$A$1:$I$89,3,0)*0.475*44/12</f>
        <v>5.999442786221663E-11</v>
      </c>
      <c r="AC93" s="22">
        <f t="shared" si="57"/>
        <v>11.124618265761903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3.9755889073092021E-3</v>
      </c>
      <c r="O94" s="13">
        <f>N94*VLOOKUP('Données projet'!$B$9,Paramètres!$A$1:$I$89,3,0)*VLOOKUP('Données projet'!$B$9,Paramètres!$A$1:$I$89,5,0)</f>
        <v>2.0218254947011681E-3</v>
      </c>
      <c r="P94" s="13">
        <f t="shared" si="87"/>
        <v>1.918258672927269E-3</v>
      </c>
      <c r="Q94" s="20">
        <f t="shared" si="54"/>
        <v>6.8623132586195278E-3</v>
      </c>
      <c r="R94" s="59">
        <f t="shared" si="55"/>
        <v>293.34019564659195</v>
      </c>
      <c r="S94" s="59">
        <f ca="1">AVERAGE(OFFSET($R$3,0,0,'Données projet'!$E$9+1,1))-AVERAGE(OFFSET($H$3,0,0,'Données projet'!$E$9+1,1))</f>
        <v>71.898749633453065</v>
      </c>
      <c r="T94" s="59">
        <f t="shared" si="88"/>
        <v>213.4524723740343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10.106278732477444</v>
      </c>
      <c r="AA94" s="21">
        <f>EXP(-LN(2)/25)*AA93+(1-EXP(-LN(2)/25))/(LN(2)/25)*Calculateur!V94*Calculateur!X94*VLOOKUP('Données projet'!$B$9,Paramètres!$A$1:$I$89,3,0)*0.475*44/12</f>
        <v>0.7938787244699903</v>
      </c>
      <c r="AB94" s="21">
        <f>EXP(-LN(2)/2)*AB93+(1-EXP(-LN(2)/2))/(LN(2)/2)*V94*Y94*VLOOKUP('Données projet'!$B$9,Paramètres!$A$1:$I$89,3,0)*0.475*44/12</f>
        <v>4.2422466774780526E-11</v>
      </c>
      <c r="AC94" s="22">
        <f t="shared" si="57"/>
        <v>10.900157456989858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3.9755889073092021E-3</v>
      </c>
      <c r="O95" s="13">
        <f>N95*VLOOKUP('Données projet'!$B$9,Paramètres!$A$1:$I$89,3,0)*VLOOKUP('Données projet'!$B$9,Paramètres!$A$1:$I$89,5,0)</f>
        <v>2.0218254947011681E-3</v>
      </c>
      <c r="P95" s="13">
        <f t="shared" si="87"/>
        <v>1.918258672927269E-3</v>
      </c>
      <c r="Q95" s="20">
        <f t="shared" si="54"/>
        <v>6.8623132586195278E-3</v>
      </c>
      <c r="R95" s="59">
        <f t="shared" si="55"/>
        <v>293.34019564659195</v>
      </c>
      <c r="S95" s="59">
        <f ca="1">AVERAGE(OFFSET($R$3,0,0,'Données projet'!$E$9+1,1))-AVERAGE(OFFSET($H$3,0,0,'Données projet'!$E$9+1,1))</f>
        <v>71.898749633453065</v>
      </c>
      <c r="T95" s="59">
        <f t="shared" si="88"/>
        <v>213.4524723740343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9.9081007707549222</v>
      </c>
      <c r="AA95" s="21">
        <f>EXP(-LN(2)/25)*AA94+(1-EXP(-LN(2)/25))/(LN(2)/25)*Calculateur!V95*Calculateur!X95*VLOOKUP('Données projet'!$B$9,Paramètres!$A$1:$I$89,3,0)*0.475*44/12</f>
        <v>0.77217006900109075</v>
      </c>
      <c r="AB95" s="21">
        <f>EXP(-LN(2)/2)*AB94+(1-EXP(-LN(2)/2))/(LN(2)/2)*V95*Y95*VLOOKUP('Données projet'!$B$9,Paramètres!$A$1:$I$89,3,0)*0.475*44/12</f>
        <v>2.9997213931108315E-11</v>
      </c>
      <c r="AC95" s="22">
        <f t="shared" si="57"/>
        <v>10.68027083978601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3.9755889073092021E-3</v>
      </c>
      <c r="O96" s="13">
        <f>N96*VLOOKUP('Données projet'!$B$9,Paramètres!$A$1:$I$89,3,0)*VLOOKUP('Données projet'!$B$9,Paramètres!$A$1:$I$89,5,0)</f>
        <v>2.0218254947011681E-3</v>
      </c>
      <c r="P96" s="13">
        <f t="shared" si="87"/>
        <v>1.918258672927269E-3</v>
      </c>
      <c r="Q96" s="20">
        <f t="shared" si="54"/>
        <v>6.8623132586195278E-3</v>
      </c>
      <c r="R96" s="59">
        <f t="shared" si="55"/>
        <v>293.34019564659195</v>
      </c>
      <c r="S96" s="59">
        <f ca="1">AVERAGE(OFFSET($R$3,0,0,'Données projet'!$E$9+1,1))-AVERAGE(OFFSET($H$3,0,0,'Données projet'!$E$9+1,1))</f>
        <v>71.898749633453065</v>
      </c>
      <c r="T96" s="59">
        <f t="shared" si="88"/>
        <v>213.4524723740343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9.7138089579851581</v>
      </c>
      <c r="AA96" s="21">
        <f>EXP(-LN(2)/25)*AA95+(1-EXP(-LN(2)/25))/(LN(2)/25)*Calculateur!V96*Calculateur!X96*VLOOKUP('Données projet'!$B$9,Paramètres!$A$1:$I$89,3,0)*0.475*44/12</f>
        <v>0.75105503785759686</v>
      </c>
      <c r="AB96" s="21">
        <f>EXP(-LN(2)/2)*AB95+(1-EXP(-LN(2)/2))/(LN(2)/2)*V96*Y96*VLOOKUP('Données projet'!$B$9,Paramètres!$A$1:$I$89,3,0)*0.475*44/12</f>
        <v>2.1211233387390263E-11</v>
      </c>
      <c r="AC96" s="22">
        <f t="shared" si="57"/>
        <v>10.464863995863967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3.9755889073092021E-3</v>
      </c>
      <c r="O97" s="13">
        <f>N97*VLOOKUP('Données projet'!$B$9,Paramètres!$A$1:$I$89,3,0)*VLOOKUP('Données projet'!$B$9,Paramètres!$A$1:$I$89,5,0)</f>
        <v>2.0218254947011681E-3</v>
      </c>
      <c r="P97" s="13">
        <f t="shared" si="87"/>
        <v>1.918258672927269E-3</v>
      </c>
      <c r="Q97" s="20">
        <f t="shared" si="54"/>
        <v>6.8623132586195278E-3</v>
      </c>
      <c r="R97" s="59">
        <f t="shared" si="55"/>
        <v>293.34019564659195</v>
      </c>
      <c r="S97" s="59">
        <f ca="1">AVERAGE(OFFSET($R$3,0,0,'Données projet'!$E$9+1,1))-AVERAGE(OFFSET($H$3,0,0,'Données projet'!$E$9+1,1))</f>
        <v>71.898749633453065</v>
      </c>
      <c r="T97" s="59">
        <f t="shared" si="88"/>
        <v>213.4524723740343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9.5233270891575046</v>
      </c>
      <c r="AA97" s="21">
        <f>EXP(-LN(2)/25)*AA96+(1-EXP(-LN(2)/25))/(LN(2)/25)*Calculateur!V97*Calculateur!X97*VLOOKUP('Données projet'!$B$9,Paramètres!$A$1:$I$89,3,0)*0.475*44/12</f>
        <v>0.73051739835111296</v>
      </c>
      <c r="AB97" s="21">
        <f>EXP(-LN(2)/2)*AB96+(1-EXP(-LN(2)/2))/(LN(2)/2)*V97*Y97*VLOOKUP('Données projet'!$B$9,Paramètres!$A$1:$I$89,3,0)*0.475*44/12</f>
        <v>1.4998606965554158E-11</v>
      </c>
      <c r="AC97" s="22">
        <f t="shared" si="57"/>
        <v>10.253844487523615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3.9755889073092021E-3</v>
      </c>
      <c r="O98" s="13">
        <f>N98*VLOOKUP('Données projet'!$B$9,Paramètres!$A$1:$I$89,3,0)*VLOOKUP('Données projet'!$B$9,Paramètres!$A$1:$I$89,5,0)</f>
        <v>2.0218254947011681E-3</v>
      </c>
      <c r="P98" s="13">
        <f t="shared" si="87"/>
        <v>1.918258672927269E-3</v>
      </c>
      <c r="Q98" s="20">
        <f t="shared" si="54"/>
        <v>6.8623132586195278E-3</v>
      </c>
      <c r="R98" s="59">
        <f t="shared" si="55"/>
        <v>293.34019564659195</v>
      </c>
      <c r="S98" s="59">
        <f ca="1">AVERAGE(OFFSET($R$3,0,0,'Données projet'!$E$9+1,1))-AVERAGE(OFFSET($H$3,0,0,'Données projet'!$E$9+1,1))</f>
        <v>71.898749633453065</v>
      </c>
      <c r="T98" s="59">
        <f t="shared" si="88"/>
        <v>213.4524723740343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9.3365804535950936</v>
      </c>
      <c r="AA98" s="21">
        <f>EXP(-LN(2)/25)*AA97+(1-EXP(-LN(2)/25))/(LN(2)/25)*Calculateur!V98*Calculateur!X98*VLOOKUP('Données projet'!$B$9,Paramètres!$A$1:$I$89,3,0)*0.475*44/12</f>
        <v>0.71054136167696136</v>
      </c>
      <c r="AB98" s="21">
        <f>EXP(-LN(2)/2)*AB97+(1-EXP(-LN(2)/2))/(LN(2)/2)*V98*Y98*VLOOKUP('Données projet'!$B$9,Paramètres!$A$1:$I$89,3,0)*0.475*44/12</f>
        <v>1.0605616693695132E-11</v>
      </c>
      <c r="AC98" s="22">
        <f t="shared" si="57"/>
        <v>10.04712181528266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3.9755889073092021E-3</v>
      </c>
      <c r="O99" s="13">
        <f>N99*VLOOKUP('Données projet'!$B$9,Paramètres!$A$1:$I$89,3,0)*VLOOKUP('Données projet'!$B$9,Paramètres!$A$1:$I$89,5,0)</f>
        <v>2.0218254947011681E-3</v>
      </c>
      <c r="P99" s="13">
        <f t="shared" si="87"/>
        <v>1.918258672927269E-3</v>
      </c>
      <c r="Q99" s="20">
        <f t="shared" ref="Q99:Q130" si="107">(O99+P99)*0.475*44/12</f>
        <v>6.8623132586195278E-3</v>
      </c>
      <c r="R99" s="59">
        <f t="shared" si="55"/>
        <v>293.34019564659195</v>
      </c>
      <c r="S99" s="59">
        <f ca="1">AVERAGE(OFFSET($R$3,0,0,'Données projet'!$E$9+1,1))-AVERAGE(OFFSET($H$3,0,0,'Données projet'!$E$9+1,1))</f>
        <v>71.898749633453065</v>
      </c>
      <c r="T99" s="59">
        <f t="shared" si="88"/>
        <v>213.4524723740343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9.1534958056518612</v>
      </c>
      <c r="AA99" s="21">
        <f>EXP(-LN(2)/25)*AA98+(1-EXP(-LN(2)/25))/(LN(2)/25)*Calculateur!V99*Calculateur!X99*VLOOKUP('Données projet'!$B$9,Paramètres!$A$1:$I$89,3,0)*0.475*44/12</f>
        <v>0.69111157077615859</v>
      </c>
      <c r="AB99" s="21">
        <f>EXP(-LN(2)/2)*AB98+(1-EXP(-LN(2)/2))/(LN(2)/2)*V99*Y99*VLOOKUP('Données projet'!$B$9,Paramètres!$A$1:$I$89,3,0)*0.475*44/12</f>
        <v>7.4993034827770788E-12</v>
      </c>
      <c r="AC99" s="22">
        <f t="shared" si="57"/>
        <v>9.8446073764355191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3.9755889073092021E-3</v>
      </c>
      <c r="O100" s="13">
        <f>N100*VLOOKUP('Données projet'!$B$9,Paramètres!$A$1:$I$89,3,0)*VLOOKUP('Données projet'!$B$9,Paramètres!$A$1:$I$89,5,0)</f>
        <v>2.0218254947011681E-3</v>
      </c>
      <c r="P100" s="13">
        <f t="shared" si="87"/>
        <v>1.918258672927269E-3</v>
      </c>
      <c r="Q100" s="20">
        <f t="shared" si="107"/>
        <v>6.8623132586195278E-3</v>
      </c>
      <c r="R100" s="59">
        <f t="shared" si="55"/>
        <v>293.34019564659195</v>
      </c>
      <c r="S100" s="59">
        <f ca="1">AVERAGE(OFFSET($R$3,0,0,'Données projet'!$E$9+1,1))-AVERAGE(OFFSET($H$3,0,0,'Données projet'!$E$9+1,1))</f>
        <v>71.898749633453065</v>
      </c>
      <c r="T100" s="59">
        <f t="shared" si="88"/>
        <v>213.4524723740343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8.9740013359841857</v>
      </c>
      <c r="AA100" s="21">
        <f>EXP(-LN(2)/25)*AA99+(1-EXP(-LN(2)/25))/(LN(2)/25)*Calculateur!V100*Calculateur!X100*VLOOKUP('Données projet'!$B$9,Paramètres!$A$1:$I$89,3,0)*0.475*44/12</f>
        <v>0.67221308852930661</v>
      </c>
      <c r="AB100" s="21">
        <f>EXP(-LN(2)/2)*AB99+(1-EXP(-LN(2)/2))/(LN(2)/2)*V100*Y100*VLOOKUP('Données projet'!$B$9,Paramètres!$A$1:$I$89,3,0)*0.475*44/12</f>
        <v>5.3028083468475658E-12</v>
      </c>
      <c r="AC100" s="22">
        <f t="shared" si="57"/>
        <v>9.646214424518794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3.9755889073092021E-3</v>
      </c>
      <c r="O101" s="13">
        <f>N101*VLOOKUP('Données projet'!$B$9,Paramètres!$A$1:$I$89,3,0)*VLOOKUP('Données projet'!$B$9,Paramètres!$A$1:$I$89,5,0)</f>
        <v>2.0218254947011681E-3</v>
      </c>
      <c r="P101" s="13">
        <f t="shared" si="87"/>
        <v>1.918258672927269E-3</v>
      </c>
      <c r="Q101" s="20">
        <f t="shared" si="107"/>
        <v>6.8623132586195278E-3</v>
      </c>
      <c r="R101" s="59">
        <f t="shared" si="55"/>
        <v>293.34019564659195</v>
      </c>
      <c r="S101" s="59">
        <f ca="1">AVERAGE(OFFSET($R$3,0,0,'Données projet'!$E$9+1,1))-AVERAGE(OFFSET($H$3,0,0,'Données projet'!$E$9+1,1))</f>
        <v>71.898749633453065</v>
      </c>
      <c r="T101" s="59">
        <f t="shared" si="88"/>
        <v>213.4524723740343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8.798026643385878</v>
      </c>
      <c r="AA101" s="21">
        <f>EXP(-LN(2)/25)*AA100+(1-EXP(-LN(2)/25))/(LN(2)/25)*Calculateur!V101*Calculateur!X101*VLOOKUP('Données projet'!$B$9,Paramètres!$A$1:$I$89,3,0)*0.475*44/12</f>
        <v>0.65383138627332271</v>
      </c>
      <c r="AB101" s="21">
        <f>EXP(-LN(2)/2)*AB100+(1-EXP(-LN(2)/2))/(LN(2)/2)*V101*Y101*VLOOKUP('Données projet'!$B$9,Paramètres!$A$1:$I$89,3,0)*0.475*44/12</f>
        <v>3.7496517413885394E-12</v>
      </c>
      <c r="AC101" s="22">
        <f t="shared" si="57"/>
        <v>9.4518580296629509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3.9755889073092021E-3</v>
      </c>
      <c r="O102" s="13">
        <f>N102*VLOOKUP('Données projet'!$B$9,Paramètres!$A$1:$I$89,3,0)*VLOOKUP('Données projet'!$B$9,Paramètres!$A$1:$I$89,5,0)</f>
        <v>2.0218254947011681E-3</v>
      </c>
      <c r="P102" s="13">
        <f t="shared" si="87"/>
        <v>1.918258672927269E-3</v>
      </c>
      <c r="Q102" s="20">
        <f t="shared" si="107"/>
        <v>6.8623132586195278E-3</v>
      </c>
      <c r="R102" s="59">
        <f t="shared" si="55"/>
        <v>293.34019564659195</v>
      </c>
      <c r="S102" s="59">
        <f ca="1">AVERAGE(OFFSET($R$3,0,0,'Données projet'!$E$9+1,1))-AVERAGE(OFFSET($H$3,0,0,'Données projet'!$E$9+1,1))</f>
        <v>71.898749633453065</v>
      </c>
      <c r="T102" s="59">
        <f t="shared" si="88"/>
        <v>213.4524723740343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8.6255027071754586</v>
      </c>
      <c r="AA102" s="21">
        <f>EXP(-LN(2)/25)*AA101+(1-EXP(-LN(2)/25))/(LN(2)/25)*Calculateur!V102*Calculateur!X102*VLOOKUP('Données projet'!$B$9,Paramètres!$A$1:$I$89,3,0)*0.475*44/12</f>
        <v>0.63595233263218043</v>
      </c>
      <c r="AB102" s="21">
        <f>EXP(-LN(2)/2)*AB101+(1-EXP(-LN(2)/2))/(LN(2)/2)*V102*Y102*VLOOKUP('Données projet'!$B$9,Paramètres!$A$1:$I$89,3,0)*0.475*44/12</f>
        <v>2.6514041734237829E-12</v>
      </c>
      <c r="AC102" s="22">
        <f t="shared" si="57"/>
        <v>9.2614550398102917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3.9755889073092021E-3</v>
      </c>
      <c r="O103" s="13">
        <f>N103*VLOOKUP('Données projet'!$B$9,Paramètres!$A$1:$I$89,3,0)*VLOOKUP('Données projet'!$B$9,Paramètres!$A$1:$I$89,5,0)</f>
        <v>2.0218254947011681E-3</v>
      </c>
      <c r="P103" s="13">
        <f t="shared" si="87"/>
        <v>1.918258672927269E-3</v>
      </c>
      <c r="Q103" s="20">
        <f t="shared" si="107"/>
        <v>6.8623132586195278E-3</v>
      </c>
      <c r="R103" s="59">
        <f t="shared" si="55"/>
        <v>293.34019564659195</v>
      </c>
      <c r="S103" s="59">
        <f ca="1">AVERAGE(OFFSET($R$3,0,0,'Données projet'!$E$9+1,1))-AVERAGE(OFFSET($H$3,0,0,'Données projet'!$E$9+1,1))</f>
        <v>71.898749633453065</v>
      </c>
      <c r="T103" s="59">
        <f t="shared" si="88"/>
        <v>213.4524723740343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8.4563618601249146</v>
      </c>
      <c r="AA103" s="21">
        <f>EXP(-LN(2)/25)*AA102+(1-EXP(-LN(2)/25))/(LN(2)/25)*Calculateur!V103*Calculateur!X103*VLOOKUP('Données projet'!$B$9,Paramètres!$A$1:$I$89,3,0)*0.475*44/12</f>
        <v>0.61856218265307372</v>
      </c>
      <c r="AB103" s="21">
        <f>EXP(-LN(2)/2)*AB102+(1-EXP(-LN(2)/2))/(LN(2)/2)*V103*Y103*VLOOKUP('Données projet'!$B$9,Paramètres!$A$1:$I$89,3,0)*0.475*44/12</f>
        <v>1.8748258706942697E-12</v>
      </c>
      <c r="AC103" s="22">
        <f t="shared" si="57"/>
        <v>9.0749240427798625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3.9755889073092021E-3</v>
      </c>
      <c r="O104" s="13">
        <f>N104*VLOOKUP('Données projet'!$B$9,Paramètres!$A$1:$I$89,3,0)*VLOOKUP('Données projet'!$B$9,Paramètres!$A$1:$I$89,5,0)</f>
        <v>2.0218254947011681E-3</v>
      </c>
      <c r="P104" s="13">
        <f t="shared" si="87"/>
        <v>1.918258672927269E-3</v>
      </c>
      <c r="Q104" s="20">
        <f t="shared" si="107"/>
        <v>6.8623132586195278E-3</v>
      </c>
      <c r="R104" s="59">
        <f t="shared" si="55"/>
        <v>293.34019564659195</v>
      </c>
      <c r="S104" s="59">
        <f ca="1">AVERAGE(OFFSET($R$3,0,0,'Données projet'!$E$9+1,1))-AVERAGE(OFFSET($H$3,0,0,'Données projet'!$E$9+1,1))</f>
        <v>71.898749633453065</v>
      </c>
      <c r="T104" s="59">
        <f t="shared" si="88"/>
        <v>213.4524723740343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8.2905377619193015</v>
      </c>
      <c r="AA104" s="21">
        <f>EXP(-LN(2)/25)*AA103+(1-EXP(-LN(2)/25))/(LN(2)/25)*Calculateur!V104*Calculateur!X104*VLOOKUP('Données projet'!$B$9,Paramètres!$A$1:$I$89,3,0)*0.475*44/12</f>
        <v>0.60164756723965396</v>
      </c>
      <c r="AB104" s="21">
        <f>EXP(-LN(2)/2)*AB103+(1-EXP(-LN(2)/2))/(LN(2)/2)*V104*Y104*VLOOKUP('Données projet'!$B$9,Paramètres!$A$1:$I$89,3,0)*0.475*44/12</f>
        <v>1.3257020867118914E-12</v>
      </c>
      <c r="AC104" s="22">
        <f t="shared" si="57"/>
        <v>8.8921853291602808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3.9755889073092021E-3</v>
      </c>
      <c r="O105" s="13">
        <f>N105*VLOOKUP('Données projet'!$B$9,Paramètres!$A$1:$I$89,3,0)*VLOOKUP('Données projet'!$B$9,Paramètres!$A$1:$I$89,5,0)</f>
        <v>2.0218254947011681E-3</v>
      </c>
      <c r="P105" s="13">
        <f t="shared" si="87"/>
        <v>1.918258672927269E-3</v>
      </c>
      <c r="Q105" s="20">
        <f t="shared" si="107"/>
        <v>6.8623132586195278E-3</v>
      </c>
      <c r="R105" s="59">
        <f t="shared" si="55"/>
        <v>293.34019564659195</v>
      </c>
      <c r="S105" s="59">
        <f ca="1">AVERAGE(OFFSET($R$3,0,0,'Données projet'!$E$9+1,1))-AVERAGE(OFFSET($H$3,0,0,'Données projet'!$E$9+1,1))</f>
        <v>71.898749633453065</v>
      </c>
      <c r="T105" s="59">
        <f t="shared" si="88"/>
        <v>213.4524723740343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8.1279653731367887</v>
      </c>
      <c r="AA105" s="21">
        <f>EXP(-LN(2)/25)*AA104+(1-EXP(-LN(2)/25))/(LN(2)/25)*Calculateur!V105*Calculateur!X105*VLOOKUP('Données projet'!$B$9,Paramètres!$A$1:$I$89,3,0)*0.475*44/12</f>
        <v>0.58519548287421519</v>
      </c>
      <c r="AB105" s="21">
        <f>EXP(-LN(2)/2)*AB104+(1-EXP(-LN(2)/2))/(LN(2)/2)*V105*Y105*VLOOKUP('Données projet'!$B$9,Paramètres!$A$1:$I$89,3,0)*0.475*44/12</f>
        <v>9.3741293534713485E-13</v>
      </c>
      <c r="AC105" s="22">
        <f t="shared" si="57"/>
        <v>8.7131608560119425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3.9755889073092021E-3</v>
      </c>
      <c r="O106" s="13">
        <f>N106*VLOOKUP('Données projet'!$B$9,Paramètres!$A$1:$I$89,3,0)*VLOOKUP('Données projet'!$B$9,Paramètres!$A$1:$I$89,5,0)</f>
        <v>2.0218254947011681E-3</v>
      </c>
      <c r="P106" s="13">
        <f t="shared" si="87"/>
        <v>1.918258672927269E-3</v>
      </c>
      <c r="Q106" s="20">
        <f t="shared" si="107"/>
        <v>6.8623132586195278E-3</v>
      </c>
      <c r="R106" s="59">
        <f t="shared" si="55"/>
        <v>293.34019564659195</v>
      </c>
      <c r="S106" s="59">
        <f ca="1">AVERAGE(OFFSET($R$3,0,0,'Données projet'!$E$9+1,1))-AVERAGE(OFFSET($H$3,0,0,'Données projet'!$E$9+1,1))</f>
        <v>71.898749633453065</v>
      </c>
      <c r="T106" s="59">
        <f t="shared" si="88"/>
        <v>213.4524723740343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7.9685809297389349</v>
      </c>
      <c r="AA106" s="21">
        <f>EXP(-LN(2)/25)*AA105+(1-EXP(-LN(2)/25))/(LN(2)/25)*Calculateur!V106*Calculateur!X106*VLOOKUP('Données projet'!$B$9,Paramètres!$A$1:$I$89,3,0)*0.475*44/12</f>
        <v>0.56919328162092686</v>
      </c>
      <c r="AB106" s="21">
        <f>EXP(-LN(2)/2)*AB105+(1-EXP(-LN(2)/2))/(LN(2)/2)*V106*Y106*VLOOKUP('Données projet'!$B$9,Paramètres!$A$1:$I$89,3,0)*0.475*44/12</f>
        <v>6.6285104335594572E-13</v>
      </c>
      <c r="AC106" s="22">
        <f t="shared" si="57"/>
        <v>8.5377742113605244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3.9755889073092021E-3</v>
      </c>
      <c r="O107" s="13">
        <f>N107*VLOOKUP('Données projet'!$B$9,Paramètres!$A$1:$I$89,3,0)*VLOOKUP('Données projet'!$B$9,Paramètres!$A$1:$I$89,5,0)</f>
        <v>2.0218254947011681E-3</v>
      </c>
      <c r="P107" s="13">
        <f t="shared" si="87"/>
        <v>1.918258672927269E-3</v>
      </c>
      <c r="Q107" s="20">
        <f t="shared" si="107"/>
        <v>6.8623132586195278E-3</v>
      </c>
      <c r="R107" s="59">
        <f t="shared" si="55"/>
        <v>293.34019564659195</v>
      </c>
      <c r="S107" s="59">
        <f ca="1">AVERAGE(OFFSET($R$3,0,0,'Données projet'!$E$9+1,1))-AVERAGE(OFFSET($H$3,0,0,'Données projet'!$E$9+1,1))</f>
        <v>71.898749633453065</v>
      </c>
      <c r="T107" s="59">
        <f t="shared" si="88"/>
        <v>213.4524723740343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7.8123219180612011</v>
      </c>
      <c r="AA107" s="21">
        <f>EXP(-LN(2)/25)*AA106+(1-EXP(-LN(2)/25))/(LN(2)/25)*Calculateur!V107*Calculateur!X107*VLOOKUP('Données projet'!$B$9,Paramètres!$A$1:$I$89,3,0)*0.475*44/12</f>
        <v>0.55362866140242883</v>
      </c>
      <c r="AB107" s="21">
        <f>EXP(-LN(2)/2)*AB106+(1-EXP(-LN(2)/2))/(LN(2)/2)*V107*Y107*VLOOKUP('Données projet'!$B$9,Paramètres!$A$1:$I$89,3,0)*0.475*44/12</f>
        <v>4.6870646767356742E-13</v>
      </c>
      <c r="AC107" s="22">
        <f t="shared" si="57"/>
        <v>8.3659505794640996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3.9755889073092021E-3</v>
      </c>
      <c r="O108" s="13">
        <f>N108*VLOOKUP('Données projet'!$B$9,Paramètres!$A$1:$I$89,3,0)*VLOOKUP('Données projet'!$B$9,Paramètres!$A$1:$I$89,5,0)</f>
        <v>2.0218254947011681E-3</v>
      </c>
      <c r="P108" s="13">
        <f t="shared" si="87"/>
        <v>1.918258672927269E-3</v>
      </c>
      <c r="Q108" s="20">
        <f t="shared" si="107"/>
        <v>6.8623132586195278E-3</v>
      </c>
      <c r="R108" s="59">
        <f t="shared" si="55"/>
        <v>293.34019564659195</v>
      </c>
      <c r="S108" s="59">
        <f ca="1">AVERAGE(OFFSET($R$3,0,0,'Données projet'!$E$9+1,1))-AVERAGE(OFFSET($H$3,0,0,'Données projet'!$E$9+1,1))</f>
        <v>71.898749633453065</v>
      </c>
      <c r="T108" s="59">
        <f t="shared" si="88"/>
        <v>213.4524723740343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7.6591270502938817</v>
      </c>
      <c r="AA108" s="21">
        <f>EXP(-LN(2)/25)*AA107+(1-EXP(-LN(2)/25))/(LN(2)/25)*Calculateur!V108*Calculateur!X108*VLOOKUP('Données projet'!$B$9,Paramètres!$A$1:$I$89,3,0)*0.475*44/12</f>
        <v>0.5384896565423134</v>
      </c>
      <c r="AB108" s="21">
        <f>EXP(-LN(2)/2)*AB107+(1-EXP(-LN(2)/2))/(LN(2)/2)*V108*Y108*VLOOKUP('Données projet'!$B$9,Paramètres!$A$1:$I$89,3,0)*0.475*44/12</f>
        <v>3.3142552167797286E-13</v>
      </c>
      <c r="AC108" s="22">
        <f t="shared" si="57"/>
        <v>8.1976167068365271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3.9755889073092021E-3</v>
      </c>
      <c r="O109" s="13">
        <f>N109*VLOOKUP('Données projet'!$B$9,Paramètres!$A$1:$I$89,3,0)*VLOOKUP('Données projet'!$B$9,Paramètres!$A$1:$I$89,5,0)</f>
        <v>2.0218254947011681E-3</v>
      </c>
      <c r="P109" s="13">
        <f t="shared" si="87"/>
        <v>1.918258672927269E-3</v>
      </c>
      <c r="Q109" s="20">
        <f t="shared" si="107"/>
        <v>6.8623132586195278E-3</v>
      </c>
      <c r="R109" s="59">
        <f t="shared" si="55"/>
        <v>293.34019564659195</v>
      </c>
      <c r="S109" s="59">
        <f ca="1">AVERAGE(OFFSET($R$3,0,0,'Données projet'!$E$9+1,1))-AVERAGE(OFFSET($H$3,0,0,'Données projet'!$E$9+1,1))</f>
        <v>71.898749633453065</v>
      </c>
      <c r="T109" s="59">
        <f t="shared" si="88"/>
        <v>213.4524723740343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7.5089362404438367</v>
      </c>
      <c r="AA109" s="21">
        <f>EXP(-LN(2)/25)*AA108+(1-EXP(-LN(2)/25))/(LN(2)/25)*Calculateur!V109*Calculateur!X109*VLOOKUP('Données projet'!$B$9,Paramètres!$A$1:$I$89,3,0)*0.475*44/12</f>
        <v>0.52376462856622352</v>
      </c>
      <c r="AB109" s="21">
        <f>EXP(-LN(2)/2)*AB108+(1-EXP(-LN(2)/2))/(LN(2)/2)*V109*Y109*VLOOKUP('Données projet'!$B$9,Paramètres!$A$1:$I$89,3,0)*0.475*44/12</f>
        <v>2.3435323383678371E-13</v>
      </c>
      <c r="AC109" s="22">
        <f t="shared" si="57"/>
        <v>8.032700869010295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3.9755889073092021E-3</v>
      </c>
      <c r="O110" s="13">
        <f>N110*VLOOKUP('Données projet'!$B$9,Paramètres!$A$1:$I$89,3,0)*VLOOKUP('Données projet'!$B$9,Paramètres!$A$1:$I$89,5,0)</f>
        <v>2.0218254947011681E-3</v>
      </c>
      <c r="P110" s="13">
        <f t="shared" si="87"/>
        <v>1.918258672927269E-3</v>
      </c>
      <c r="Q110" s="20">
        <f t="shared" si="107"/>
        <v>6.8623132586195278E-3</v>
      </c>
      <c r="R110" s="59">
        <f t="shared" si="55"/>
        <v>293.34019564659195</v>
      </c>
      <c r="S110" s="59">
        <f ca="1">AVERAGE(OFFSET($R$3,0,0,'Données projet'!$E$9+1,1))-AVERAGE(OFFSET($H$3,0,0,'Données projet'!$E$9+1,1))</f>
        <v>71.898749633453065</v>
      </c>
      <c r="T110" s="59">
        <f t="shared" si="88"/>
        <v>213.4524723740343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7.3616905807676023</v>
      </c>
      <c r="AA110" s="21">
        <f>EXP(-LN(2)/25)*AA109+(1-EXP(-LN(2)/25))/(LN(2)/25)*Calculateur!V110*Calculateur!X110*VLOOKUP('Données projet'!$B$9,Paramètres!$A$1:$I$89,3,0)*0.475*44/12</f>
        <v>0.50944225725449543</v>
      </c>
      <c r="AB110" s="21">
        <f>EXP(-LN(2)/2)*AB109+(1-EXP(-LN(2)/2))/(LN(2)/2)*V110*Y110*VLOOKUP('Données projet'!$B$9,Paramètres!$A$1:$I$89,3,0)*0.475*44/12</f>
        <v>1.6571276083898643E-13</v>
      </c>
      <c r="AC110" s="22">
        <f t="shared" si="57"/>
        <v>7.8711328380222634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3.9755889073092021E-3</v>
      </c>
      <c r="O111" s="13">
        <f>N111*VLOOKUP('Données projet'!$B$9,Paramètres!$A$1:$I$89,3,0)*VLOOKUP('Données projet'!$B$9,Paramètres!$A$1:$I$89,5,0)</f>
        <v>2.0218254947011681E-3</v>
      </c>
      <c r="P111" s="13">
        <f t="shared" si="87"/>
        <v>1.918258672927269E-3</v>
      </c>
      <c r="Q111" s="20">
        <f t="shared" si="107"/>
        <v>6.8623132586195278E-3</v>
      </c>
      <c r="R111" s="59">
        <f t="shared" si="55"/>
        <v>293.34019564659195</v>
      </c>
      <c r="S111" s="59">
        <f ca="1">AVERAGE(OFFSET($R$3,0,0,'Données projet'!$E$9+1,1))-AVERAGE(OFFSET($H$3,0,0,'Données projet'!$E$9+1,1))</f>
        <v>71.898749633453065</v>
      </c>
      <c r="T111" s="59">
        <f t="shared" si="88"/>
        <v>213.4524723740343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7.2173323186666343</v>
      </c>
      <c r="AA111" s="21">
        <f>EXP(-LN(2)/25)*AA110+(1-EXP(-LN(2)/25))/(LN(2)/25)*Calculateur!V111*Calculateur!X111*VLOOKUP('Données projet'!$B$9,Paramètres!$A$1:$I$89,3,0)*0.475*44/12</f>
        <v>0.49551153193946729</v>
      </c>
      <c r="AB111" s="21">
        <f>EXP(-LN(2)/2)*AB110+(1-EXP(-LN(2)/2))/(LN(2)/2)*V111*Y111*VLOOKUP('Données projet'!$B$9,Paramètres!$A$1:$I$89,3,0)*0.475*44/12</f>
        <v>1.1717661691839186E-13</v>
      </c>
      <c r="AC111" s="22">
        <f t="shared" si="57"/>
        <v>7.7128438506062187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3.9755889073092021E-3</v>
      </c>
      <c r="O112" s="13">
        <f>N112*VLOOKUP('Données projet'!$B$9,Paramètres!$A$1:$I$89,3,0)*VLOOKUP('Données projet'!$B$9,Paramètres!$A$1:$I$89,5,0)</f>
        <v>2.0218254947011681E-3</v>
      </c>
      <c r="P112" s="13">
        <f t="shared" si="87"/>
        <v>1.918258672927269E-3</v>
      </c>
      <c r="Q112" s="20">
        <f t="shared" si="107"/>
        <v>6.8623132586195278E-3</v>
      </c>
      <c r="R112" s="59">
        <f t="shared" si="55"/>
        <v>293.34019564659195</v>
      </c>
      <c r="S112" s="59">
        <f ca="1">AVERAGE(OFFSET($R$3,0,0,'Données projet'!$E$9+1,1))-AVERAGE(OFFSET($H$3,0,0,'Données projet'!$E$9+1,1))</f>
        <v>71.898749633453065</v>
      </c>
      <c r="T112" s="59">
        <f t="shared" si="88"/>
        <v>213.4524723740343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7.0758048340356208</v>
      </c>
      <c r="AA112" s="21">
        <f>EXP(-LN(2)/25)*AA111+(1-EXP(-LN(2)/25))/(LN(2)/25)*Calculateur!V112*Calculateur!X112*VLOOKUP('Données projet'!$B$9,Paramètres!$A$1:$I$89,3,0)*0.475*44/12</f>
        <v>0.48196174304076361</v>
      </c>
      <c r="AB112" s="21">
        <f>EXP(-LN(2)/2)*AB111+(1-EXP(-LN(2)/2))/(LN(2)/2)*V112*Y112*VLOOKUP('Données projet'!$B$9,Paramètres!$A$1:$I$89,3,0)*0.475*44/12</f>
        <v>8.2856380419493215E-14</v>
      </c>
      <c r="AC112" s="22">
        <f t="shared" si="57"/>
        <v>7.5577665770764666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3.9755889073092021E-3</v>
      </c>
      <c r="O113" s="13">
        <f>N113*VLOOKUP('Données projet'!$B$9,Paramètres!$A$1:$I$89,3,0)*VLOOKUP('Données projet'!$B$9,Paramètres!$A$1:$I$89,5,0)</f>
        <v>2.0218254947011681E-3</v>
      </c>
      <c r="P113" s="13">
        <f t="shared" si="87"/>
        <v>1.918258672927269E-3</v>
      </c>
      <c r="Q113" s="20">
        <f t="shared" si="107"/>
        <v>6.8623132586195278E-3</v>
      </c>
      <c r="R113" s="59">
        <f t="shared" si="55"/>
        <v>293.34019564659195</v>
      </c>
      <c r="S113" s="59">
        <f ca="1">AVERAGE(OFFSET($R$3,0,0,'Données projet'!$E$9+1,1))-AVERAGE(OFFSET($H$3,0,0,'Données projet'!$E$9+1,1))</f>
        <v>71.898749633453065</v>
      </c>
      <c r="T113" s="59">
        <f t="shared" si="88"/>
        <v>213.4524723740343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6.93705261705498</v>
      </c>
      <c r="AA113" s="21">
        <f>EXP(-LN(2)/25)*AA112+(1-EXP(-LN(2)/25))/(LN(2)/25)*Calculateur!V113*Calculateur!X113*VLOOKUP('Données projet'!$B$9,Paramètres!$A$1:$I$89,3,0)*0.475*44/12</f>
        <v>0.46878247383204741</v>
      </c>
      <c r="AB113" s="21">
        <f>EXP(-LN(2)/2)*AB112+(1-EXP(-LN(2)/2))/(LN(2)/2)*V113*Y113*VLOOKUP('Données projet'!$B$9,Paramètres!$A$1:$I$89,3,0)*0.475*44/12</f>
        <v>5.8588308459195928E-14</v>
      </c>
      <c r="AC113" s="22">
        <f t="shared" si="57"/>
        <v>7.405835090887086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3.9755889073092021E-3</v>
      </c>
      <c r="O114" s="13">
        <f>N114*VLOOKUP('Données projet'!$B$9,Paramètres!$A$1:$I$89,3,0)*VLOOKUP('Données projet'!$B$9,Paramètres!$A$1:$I$89,5,0)</f>
        <v>2.0218254947011681E-3</v>
      </c>
      <c r="P114" s="13">
        <f t="shared" si="87"/>
        <v>1.918258672927269E-3</v>
      </c>
      <c r="Q114" s="20">
        <f t="shared" si="107"/>
        <v>6.8623132586195278E-3</v>
      </c>
      <c r="R114" s="59">
        <f t="shared" si="55"/>
        <v>293.34019564659195</v>
      </c>
      <c r="S114" s="59">
        <f ca="1">AVERAGE(OFFSET($R$3,0,0,'Données projet'!$E$9+1,1))-AVERAGE(OFFSET($H$3,0,0,'Données projet'!$E$9+1,1))</f>
        <v>71.898749633453065</v>
      </c>
      <c r="T114" s="59">
        <f t="shared" si="88"/>
        <v>213.4524723740343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6.8010212464188333</v>
      </c>
      <c r="AA114" s="21">
        <f>EXP(-LN(2)/25)*AA113+(1-EXP(-LN(2)/25))/(LN(2)/25)*Calculateur!V114*Calculateur!X114*VLOOKUP('Données projet'!$B$9,Paramètres!$A$1:$I$89,3,0)*0.475*44/12</f>
        <v>0.45596359243291118</v>
      </c>
      <c r="AB114" s="21">
        <f>EXP(-LN(2)/2)*AB113+(1-EXP(-LN(2)/2))/(LN(2)/2)*V114*Y114*VLOOKUP('Données projet'!$B$9,Paramètres!$A$1:$I$89,3,0)*0.475*44/12</f>
        <v>4.1428190209746608E-14</v>
      </c>
      <c r="AC114" s="22">
        <f t="shared" si="57"/>
        <v>7.2569848388517864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3.9755889073092021E-3</v>
      </c>
      <c r="O115" s="13">
        <f>N115*VLOOKUP('Données projet'!$B$9,Paramètres!$A$1:$I$89,3,0)*VLOOKUP('Données projet'!$B$9,Paramètres!$A$1:$I$89,5,0)</f>
        <v>2.0218254947011681E-3</v>
      </c>
      <c r="P115" s="13">
        <f t="shared" si="87"/>
        <v>1.918258672927269E-3</v>
      </c>
      <c r="Q115" s="20">
        <f t="shared" si="107"/>
        <v>6.8623132586195278E-3</v>
      </c>
      <c r="R115" s="59">
        <f t="shared" si="55"/>
        <v>293.34019564659195</v>
      </c>
      <c r="S115" s="59">
        <f ca="1">AVERAGE(OFFSET($R$3,0,0,'Données projet'!$E$9+1,1))-AVERAGE(OFFSET($H$3,0,0,'Données projet'!$E$9+1,1))</f>
        <v>71.898749633453065</v>
      </c>
      <c r="T115" s="59">
        <f t="shared" si="88"/>
        <v>213.4524723740343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6.6676573679899187</v>
      </c>
      <c r="AA115" s="21">
        <f>EXP(-LN(2)/25)*AA114+(1-EXP(-LN(2)/25))/(LN(2)/25)*Calculateur!V115*Calculateur!X115*VLOOKUP('Données projet'!$B$9,Paramètres!$A$1:$I$89,3,0)*0.475*44/12</f>
        <v>0.44349524401974999</v>
      </c>
      <c r="AB115" s="21">
        <f>EXP(-LN(2)/2)*AB114+(1-EXP(-LN(2)/2))/(LN(2)/2)*V115*Y115*VLOOKUP('Données projet'!$B$9,Paramètres!$A$1:$I$89,3,0)*0.475*44/12</f>
        <v>2.9294154229597964E-14</v>
      </c>
      <c r="AC115" s="22">
        <f t="shared" si="57"/>
        <v>7.1111526120096977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3.9755889073092021E-3</v>
      </c>
      <c r="O116" s="13">
        <f>N116*VLOOKUP('Données projet'!$B$9,Paramètres!$A$1:$I$89,3,0)*VLOOKUP('Données projet'!$B$9,Paramètres!$A$1:$I$89,5,0)</f>
        <v>2.0218254947011681E-3</v>
      </c>
      <c r="P116" s="13">
        <f t="shared" si="87"/>
        <v>1.918258672927269E-3</v>
      </c>
      <c r="Q116" s="20">
        <f t="shared" si="107"/>
        <v>6.8623132586195278E-3</v>
      </c>
      <c r="R116" s="59">
        <f t="shared" si="55"/>
        <v>293.34019564659195</v>
      </c>
      <c r="S116" s="59">
        <f ca="1">AVERAGE(OFFSET($R$3,0,0,'Données projet'!$E$9+1,1))-AVERAGE(OFFSET($H$3,0,0,'Données projet'!$E$9+1,1))</f>
        <v>71.898749633453065</v>
      </c>
      <c r="T116" s="59">
        <f t="shared" si="88"/>
        <v>213.4524723740343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6.5369086738730608</v>
      </c>
      <c r="AA116" s="21">
        <f>EXP(-LN(2)/25)*AA115+(1-EXP(-LN(2)/25))/(LN(2)/25)*Calculateur!V116*Calculateur!X116*VLOOKUP('Données projet'!$B$9,Paramètres!$A$1:$I$89,3,0)*0.475*44/12</f>
        <v>0.43136784324962868</v>
      </c>
      <c r="AB116" s="21">
        <f>EXP(-LN(2)/2)*AB115+(1-EXP(-LN(2)/2))/(LN(2)/2)*V116*Y116*VLOOKUP('Données projet'!$B$9,Paramètres!$A$1:$I$89,3,0)*0.475*44/12</f>
        <v>2.0714095104873304E-14</v>
      </c>
      <c r="AC116" s="22">
        <f t="shared" si="57"/>
        <v>6.9682765171227103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3.9755889073092021E-3</v>
      </c>
      <c r="O117" s="13">
        <f>N117*VLOOKUP('Données projet'!$B$9,Paramètres!$A$1:$I$89,3,0)*VLOOKUP('Données projet'!$B$9,Paramètres!$A$1:$I$89,5,0)</f>
        <v>2.0218254947011681E-3</v>
      </c>
      <c r="P117" s="13">
        <f t="shared" si="87"/>
        <v>1.918258672927269E-3</v>
      </c>
      <c r="Q117" s="20">
        <f t="shared" si="107"/>
        <v>6.8623132586195278E-3</v>
      </c>
      <c r="R117" s="59">
        <f t="shared" si="55"/>
        <v>293.34019564659195</v>
      </c>
      <c r="S117" s="59">
        <f ca="1">AVERAGE(OFFSET($R$3,0,0,'Données projet'!$E$9+1,1))-AVERAGE(OFFSET($H$3,0,0,'Données projet'!$E$9+1,1))</f>
        <v>71.898749633453065</v>
      </c>
      <c r="T117" s="59">
        <f t="shared" si="88"/>
        <v>213.4524723740343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6.4087238818990055</v>
      </c>
      <c r="AA117" s="21">
        <f>EXP(-LN(2)/25)*AA116+(1-EXP(-LN(2)/25))/(LN(2)/25)*Calculateur!V117*Calculateur!X117*VLOOKUP('Données projet'!$B$9,Paramètres!$A$1:$I$89,3,0)*0.475*44/12</f>
        <v>0.4195720668913186</v>
      </c>
      <c r="AB117" s="21">
        <f>EXP(-LN(2)/2)*AB116+(1-EXP(-LN(2)/2))/(LN(2)/2)*V117*Y117*VLOOKUP('Données projet'!$B$9,Paramètres!$A$1:$I$89,3,0)*0.475*44/12</f>
        <v>1.4647077114798982E-14</v>
      </c>
      <c r="AC117" s="22">
        <f t="shared" si="57"/>
        <v>6.8282959487903385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3.9755889073092021E-3</v>
      </c>
      <c r="O118" s="13">
        <f>N118*VLOOKUP('Données projet'!$B$9,Paramètres!$A$1:$I$89,3,0)*VLOOKUP('Données projet'!$B$9,Paramètres!$A$1:$I$89,5,0)</f>
        <v>2.0218254947011681E-3</v>
      </c>
      <c r="P118" s="13">
        <f t="shared" si="87"/>
        <v>1.918258672927269E-3</v>
      </c>
      <c r="Q118" s="20">
        <f t="shared" si="107"/>
        <v>6.8623132586195278E-3</v>
      </c>
      <c r="R118" s="59">
        <f t="shared" si="55"/>
        <v>293.34019564659195</v>
      </c>
      <c r="S118" s="59">
        <f ca="1">AVERAGE(OFFSET($R$3,0,0,'Données projet'!$E$9+1,1))-AVERAGE(OFFSET($H$3,0,0,'Données projet'!$E$9+1,1))</f>
        <v>71.898749633453065</v>
      </c>
      <c r="T118" s="59">
        <f t="shared" si="88"/>
        <v>213.4524723740343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6.2830527155105589</v>
      </c>
      <c r="AA118" s="21">
        <f>EXP(-LN(2)/25)*AA117+(1-EXP(-LN(2)/25))/(LN(2)/25)*Calculateur!V118*Calculateur!X118*VLOOKUP('Données projet'!$B$9,Paramètres!$A$1:$I$89,3,0)*0.475*44/12</f>
        <v>0.40809884665783941</v>
      </c>
      <c r="AB118" s="21">
        <f>EXP(-LN(2)/2)*AB117+(1-EXP(-LN(2)/2))/(LN(2)/2)*V118*Y118*VLOOKUP('Données projet'!$B$9,Paramètres!$A$1:$I$89,3,0)*0.475*44/12</f>
        <v>1.0357047552436652E-14</v>
      </c>
      <c r="AC118" s="22">
        <f t="shared" si="57"/>
        <v>6.6911515621684092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3.9755889073092021E-3</v>
      </c>
      <c r="O119" s="13">
        <f>N119*VLOOKUP('Données projet'!$B$9,Paramètres!$A$1:$I$89,3,0)*VLOOKUP('Données projet'!$B$9,Paramètres!$A$1:$I$89,5,0)</f>
        <v>2.0218254947011681E-3</v>
      </c>
      <c r="P119" s="13">
        <f t="shared" si="87"/>
        <v>1.918258672927269E-3</v>
      </c>
      <c r="Q119" s="20">
        <f t="shared" si="107"/>
        <v>6.8623132586195278E-3</v>
      </c>
      <c r="R119" s="59">
        <f t="shared" si="55"/>
        <v>293.34019564659195</v>
      </c>
      <c r="S119" s="59">
        <f ca="1">AVERAGE(OFFSET($R$3,0,0,'Données projet'!$E$9+1,1))-AVERAGE(OFFSET($H$3,0,0,'Données projet'!$E$9+1,1))</f>
        <v>71.898749633453065</v>
      </c>
      <c r="T119" s="59">
        <f t="shared" si="88"/>
        <v>213.4524723740343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6.1598458840431469</v>
      </c>
      <c r="AA119" s="21">
        <f>EXP(-LN(2)/25)*AA118+(1-EXP(-LN(2)/25))/(LN(2)/25)*Calculateur!V119*Calculateur!X119*VLOOKUP('Données projet'!$B$9,Paramètres!$A$1:$I$89,3,0)*0.475*44/12</f>
        <v>0.39693936223499515</v>
      </c>
      <c r="AB119" s="21">
        <f>EXP(-LN(2)/2)*AB118+(1-EXP(-LN(2)/2))/(LN(2)/2)*V119*Y119*VLOOKUP('Données projet'!$B$9,Paramètres!$A$1:$I$89,3,0)*0.475*44/12</f>
        <v>7.323538557399491E-15</v>
      </c>
      <c r="AC119" s="22">
        <f t="shared" si="57"/>
        <v>6.5567852462781495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3.9755889073092021E-3</v>
      </c>
      <c r="O120" s="13">
        <f>N120*VLOOKUP('Données projet'!$B$9,Paramètres!$A$1:$I$89,3,0)*VLOOKUP('Données projet'!$B$9,Paramètres!$A$1:$I$89,5,0)</f>
        <v>2.0218254947011681E-3</v>
      </c>
      <c r="P120" s="13">
        <f t="shared" si="87"/>
        <v>1.918258672927269E-3</v>
      </c>
      <c r="Q120" s="20">
        <f t="shared" si="107"/>
        <v>6.8623132586195278E-3</v>
      </c>
      <c r="R120" s="59">
        <f t="shared" si="55"/>
        <v>293.34019564659195</v>
      </c>
      <c r="S120" s="59">
        <f ca="1">AVERAGE(OFFSET($R$3,0,0,'Données projet'!$E$9+1,1))-AVERAGE(OFFSET($H$3,0,0,'Données projet'!$E$9+1,1))</f>
        <v>71.898749633453065</v>
      </c>
      <c r="T120" s="59">
        <f t="shared" si="88"/>
        <v>213.4524723740343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6.0390550633920634</v>
      </c>
      <c r="AA120" s="21">
        <f>EXP(-LN(2)/25)*AA119+(1-EXP(-LN(2)/25))/(LN(2)/25)*Calculateur!V120*Calculateur!X120*VLOOKUP('Données projet'!$B$9,Paramètres!$A$1:$I$89,3,0)*0.475*44/12</f>
        <v>0.38608503450054538</v>
      </c>
      <c r="AB120" s="21">
        <f>EXP(-LN(2)/2)*AB119+(1-EXP(-LN(2)/2))/(LN(2)/2)*V120*Y120*VLOOKUP('Données projet'!$B$9,Paramètres!$A$1:$I$89,3,0)*0.475*44/12</f>
        <v>5.1785237762183259E-15</v>
      </c>
      <c r="AC120" s="22">
        <f t="shared" si="57"/>
        <v>6.4251400978926139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3.9755889073092021E-3</v>
      </c>
      <c r="O121" s="13">
        <f>N121*VLOOKUP('Données projet'!$B$9,Paramètres!$A$1:$I$89,3,0)*VLOOKUP('Données projet'!$B$9,Paramètres!$A$1:$I$89,5,0)</f>
        <v>2.0218254947011681E-3</v>
      </c>
      <c r="P121" s="13">
        <f t="shared" si="87"/>
        <v>1.918258672927269E-3</v>
      </c>
      <c r="Q121" s="20">
        <f t="shared" si="107"/>
        <v>6.8623132586195278E-3</v>
      </c>
      <c r="R121" s="59">
        <f t="shared" si="55"/>
        <v>293.34019564659195</v>
      </c>
      <c r="S121" s="59">
        <f ca="1">AVERAGE(OFFSET($R$3,0,0,'Données projet'!$E$9+1,1))-AVERAGE(OFFSET($H$3,0,0,'Données projet'!$E$9+1,1))</f>
        <v>71.898749633453065</v>
      </c>
      <c r="T121" s="59">
        <f t="shared" si="88"/>
        <v>213.4524723740343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5.9206328770588224</v>
      </c>
      <c r="AA121" s="21">
        <f>EXP(-LN(2)/25)*AA120+(1-EXP(-LN(2)/25))/(LN(2)/25)*Calculateur!V121*Calculateur!X121*VLOOKUP('Données projet'!$B$9,Paramètres!$A$1:$I$89,3,0)*0.475*44/12</f>
        <v>0.37552751892879843</v>
      </c>
      <c r="AB121" s="21">
        <f>EXP(-LN(2)/2)*AB120+(1-EXP(-LN(2)/2))/(LN(2)/2)*V121*Y121*VLOOKUP('Données projet'!$B$9,Paramètres!$A$1:$I$89,3,0)*0.475*44/12</f>
        <v>3.6617692786997455E-15</v>
      </c>
      <c r="AC121" s="22">
        <f t="shared" si="57"/>
        <v>6.2961603959876244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3.9755889073092021E-3</v>
      </c>
      <c r="O122" s="13">
        <f>N122*VLOOKUP('Données projet'!$B$9,Paramètres!$A$1:$I$89,3,0)*VLOOKUP('Données projet'!$B$9,Paramètres!$A$1:$I$89,5,0)</f>
        <v>2.0218254947011681E-3</v>
      </c>
      <c r="P122" s="13">
        <f t="shared" si="87"/>
        <v>1.918258672927269E-3</v>
      </c>
      <c r="Q122" s="20">
        <f t="shared" si="107"/>
        <v>6.8623132586195278E-3</v>
      </c>
      <c r="R122" s="59">
        <f t="shared" si="55"/>
        <v>293.34019564659195</v>
      </c>
      <c r="S122" s="59">
        <f ca="1">AVERAGE(OFFSET($R$3,0,0,'Données projet'!$E$9+1,1))-AVERAGE(OFFSET($H$3,0,0,'Données projet'!$E$9+1,1))</f>
        <v>71.898749633453065</v>
      </c>
      <c r="T122" s="59">
        <f t="shared" si="88"/>
        <v>213.4524723740343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5.8045328775691747</v>
      </c>
      <c r="AA122" s="21">
        <f>EXP(-LN(2)/25)*AA121+(1-EXP(-LN(2)/25))/(LN(2)/25)*Calculateur!V122*Calculateur!X122*VLOOKUP('Données projet'!$B$9,Paramètres!$A$1:$I$89,3,0)*0.475*44/12</f>
        <v>0.36525869917555648</v>
      </c>
      <c r="AB122" s="21">
        <f>EXP(-LN(2)/2)*AB121+(1-EXP(-LN(2)/2))/(LN(2)/2)*V122*Y122*VLOOKUP('Données projet'!$B$9,Paramètres!$A$1:$I$89,3,0)*0.475*44/12</f>
        <v>2.589261888109163E-15</v>
      </c>
      <c r="AC122" s="22">
        <f t="shared" si="57"/>
        <v>6.1697915767447338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3.9755889073092021E-3</v>
      </c>
      <c r="O123" s="13">
        <f>N123*VLOOKUP('Données projet'!$B$9,Paramètres!$A$1:$I$89,3,0)*VLOOKUP('Données projet'!$B$9,Paramètres!$A$1:$I$89,5,0)</f>
        <v>2.0218254947011681E-3</v>
      </c>
      <c r="P123" s="13">
        <f t="shared" si="87"/>
        <v>1.918258672927269E-3</v>
      </c>
      <c r="Q123" s="20">
        <f t="shared" si="107"/>
        <v>6.8623132586195278E-3</v>
      </c>
      <c r="R123" s="59">
        <f t="shared" si="55"/>
        <v>293.34019564659195</v>
      </c>
      <c r="S123" s="59">
        <f ca="1">AVERAGE(OFFSET($R$3,0,0,'Données projet'!$E$9+1,1))-AVERAGE(OFFSET($H$3,0,0,'Données projet'!$E$9+1,1))</f>
        <v>71.898749633453065</v>
      </c>
      <c r="T123" s="59">
        <f t="shared" si="88"/>
        <v>213.4524723740343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5.6907095282555114</v>
      </c>
      <c r="AA123" s="21">
        <f>EXP(-LN(2)/25)*AA122+(1-EXP(-LN(2)/25))/(LN(2)/25)*Calculateur!V123*Calculateur!X123*VLOOKUP('Données projet'!$B$9,Paramètres!$A$1:$I$89,3,0)*0.475*44/12</f>
        <v>0.35527068083848068</v>
      </c>
      <c r="AB123" s="21">
        <f>EXP(-LN(2)/2)*AB122+(1-EXP(-LN(2)/2))/(LN(2)/2)*V123*Y123*VLOOKUP('Données projet'!$B$9,Paramètres!$A$1:$I$89,3,0)*0.475*44/12</f>
        <v>1.8308846393498727E-15</v>
      </c>
      <c r="AC123" s="22">
        <f t="shared" si="57"/>
        <v>6.0459802090939938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3.9755889073092021E-3</v>
      </c>
      <c r="O124" s="13">
        <f>N124*VLOOKUP('Données projet'!$B$9,Paramètres!$A$1:$I$89,3,0)*VLOOKUP('Données projet'!$B$9,Paramètres!$A$1:$I$89,5,0)</f>
        <v>2.0218254947011681E-3</v>
      </c>
      <c r="P124" s="13">
        <f t="shared" si="87"/>
        <v>1.918258672927269E-3</v>
      </c>
      <c r="Q124" s="20">
        <f t="shared" si="107"/>
        <v>6.8623132586195278E-3</v>
      </c>
      <c r="R124" s="59">
        <f t="shared" si="55"/>
        <v>293.34019564659195</v>
      </c>
      <c r="S124" s="59">
        <f ca="1">AVERAGE(OFFSET($R$3,0,0,'Données projet'!$E$9+1,1))-AVERAGE(OFFSET($H$3,0,0,'Données projet'!$E$9+1,1))</f>
        <v>71.898749633453065</v>
      </c>
      <c r="T124" s="59">
        <f t="shared" si="88"/>
        <v>213.4524723740343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5.5791181853965011</v>
      </c>
      <c r="AA124" s="21">
        <f>EXP(-LN(2)/25)*AA123+(1-EXP(-LN(2)/25))/(LN(2)/25)*Calculateur!V124*Calculateur!X124*VLOOKUP('Données projet'!$B$9,Paramètres!$A$1:$I$89,3,0)*0.475*44/12</f>
        <v>0.3455557853880793</v>
      </c>
      <c r="AB124" s="21">
        <f>EXP(-LN(2)/2)*AB123+(1-EXP(-LN(2)/2))/(LN(2)/2)*V124*Y124*VLOOKUP('Données projet'!$B$9,Paramètres!$A$1:$I$89,3,0)*0.475*44/12</f>
        <v>1.2946309440545815E-15</v>
      </c>
      <c r="AC124" s="22">
        <f t="shared" si="57"/>
        <v>5.924673970784581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3.9755889073092021E-3</v>
      </c>
      <c r="O125" s="13">
        <f>N125*VLOOKUP('Données projet'!$B$9,Paramètres!$A$1:$I$89,3,0)*VLOOKUP('Données projet'!$B$9,Paramètres!$A$1:$I$89,5,0)</f>
        <v>2.0218254947011681E-3</v>
      </c>
      <c r="P125" s="13">
        <f t="shared" si="87"/>
        <v>1.918258672927269E-3</v>
      </c>
      <c r="Q125" s="20">
        <f t="shared" si="107"/>
        <v>6.8623132586195278E-3</v>
      </c>
      <c r="R125" s="59">
        <f t="shared" si="55"/>
        <v>293.34019564659195</v>
      </c>
      <c r="S125" s="59">
        <f ca="1">AVERAGE(OFFSET($R$3,0,0,'Données projet'!$E$9+1,1))-AVERAGE(OFFSET($H$3,0,0,'Données projet'!$E$9+1,1))</f>
        <v>71.898749633453065</v>
      </c>
      <c r="T125" s="59">
        <f t="shared" si="88"/>
        <v>213.4524723740343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5.4697150807069574</v>
      </c>
      <c r="AA125" s="21">
        <f>EXP(-LN(2)/25)*AA124+(1-EXP(-LN(2)/25))/(LN(2)/25)*Calculateur!V125*Calculateur!X125*VLOOKUP('Données projet'!$B$9,Paramètres!$A$1:$I$89,3,0)*0.475*44/12</f>
        <v>0.33610654426465331</v>
      </c>
      <c r="AB125" s="21">
        <f>EXP(-LN(2)/2)*AB124+(1-EXP(-LN(2)/2))/(LN(2)/2)*V125*Y125*VLOOKUP('Données projet'!$B$9,Paramètres!$A$1:$I$89,3,0)*0.475*44/12</f>
        <v>9.1544231967493637E-16</v>
      </c>
      <c r="AC125" s="22">
        <f t="shared" si="57"/>
        <v>5.8058216249716113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3.9755889073092021E-3</v>
      </c>
      <c r="O126" s="13">
        <f>N126*VLOOKUP('Données projet'!$B$9,Paramètres!$A$1:$I$89,3,0)*VLOOKUP('Données projet'!$B$9,Paramètres!$A$1:$I$89,5,0)</f>
        <v>2.0218254947011681E-3</v>
      </c>
      <c r="P126" s="13">
        <f t="shared" si="87"/>
        <v>1.918258672927269E-3</v>
      </c>
      <c r="Q126" s="20">
        <f t="shared" si="107"/>
        <v>6.8623132586195278E-3</v>
      </c>
      <c r="R126" s="59">
        <f t="shared" si="55"/>
        <v>293.34019564659195</v>
      </c>
      <c r="S126" s="59">
        <f ca="1">AVERAGE(OFFSET($R$3,0,0,'Données projet'!$E$9+1,1))-AVERAGE(OFFSET($H$3,0,0,'Données projet'!$E$9+1,1))</f>
        <v>71.898749633453065</v>
      </c>
      <c r="T126" s="59">
        <f t="shared" si="88"/>
        <v>213.4524723740343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5.3624573041710715</v>
      </c>
      <c r="AA126" s="21">
        <f>EXP(-LN(2)/25)*AA125+(1-EXP(-LN(2)/25))/(LN(2)/25)*Calculateur!V126*Calculateur!X126*VLOOKUP('Données projet'!$B$9,Paramètres!$A$1:$I$89,3,0)*0.475*44/12</f>
        <v>0.32691569313666136</v>
      </c>
      <c r="AB126" s="21">
        <f>EXP(-LN(2)/2)*AB125+(1-EXP(-LN(2)/2))/(LN(2)/2)*V126*Y126*VLOOKUP('Données projet'!$B$9,Paramètres!$A$1:$I$89,3,0)*0.475*44/12</f>
        <v>6.4731547202729074E-16</v>
      </c>
      <c r="AC126" s="22">
        <f t="shared" si="57"/>
        <v>5.6893729973077338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3.9755889073092021E-3</v>
      </c>
      <c r="O127" s="13">
        <f>N127*VLOOKUP('Données projet'!$B$9,Paramètres!$A$1:$I$89,3,0)*VLOOKUP('Données projet'!$B$9,Paramètres!$A$1:$I$89,5,0)</f>
        <v>2.0218254947011681E-3</v>
      </c>
      <c r="P127" s="13">
        <f t="shared" si="87"/>
        <v>1.918258672927269E-3</v>
      </c>
      <c r="Q127" s="20">
        <f t="shared" si="107"/>
        <v>6.8623132586195278E-3</v>
      </c>
      <c r="R127" s="59">
        <f t="shared" si="55"/>
        <v>293.34019564659195</v>
      </c>
      <c r="S127" s="59">
        <f ca="1">AVERAGE(OFFSET($R$3,0,0,'Données projet'!$E$9+1,1))-AVERAGE(OFFSET($H$3,0,0,'Données projet'!$E$9+1,1))</f>
        <v>71.898749633453065</v>
      </c>
      <c r="T127" s="59">
        <f t="shared" si="88"/>
        <v>213.4524723740343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5.2573027872122697</v>
      </c>
      <c r="AA127" s="21">
        <f>EXP(-LN(2)/25)*AA126+(1-EXP(-LN(2)/25))/(LN(2)/25)*Calculateur!V127*Calculateur!X127*VLOOKUP('Données projet'!$B$9,Paramètres!$A$1:$I$89,3,0)*0.475*44/12</f>
        <v>0.31797616631609021</v>
      </c>
      <c r="AB127" s="21">
        <f>EXP(-LN(2)/2)*AB126+(1-EXP(-LN(2)/2))/(LN(2)/2)*V127*Y127*VLOOKUP('Données projet'!$B$9,Paramètres!$A$1:$I$89,3,0)*0.475*44/12</f>
        <v>4.5772115983746819E-16</v>
      </c>
      <c r="AC127" s="22">
        <f t="shared" si="57"/>
        <v>5.5752789535283611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3.9755889073092021E-3</v>
      </c>
      <c r="O128" s="13">
        <f>N128*VLOOKUP('Données projet'!$B$9,Paramètres!$A$1:$I$89,3,0)*VLOOKUP('Données projet'!$B$9,Paramètres!$A$1:$I$89,5,0)</f>
        <v>2.0218254947011681E-3</v>
      </c>
      <c r="P128" s="13">
        <f t="shared" si="87"/>
        <v>1.918258672927269E-3</v>
      </c>
      <c r="Q128" s="20">
        <f t="shared" si="107"/>
        <v>6.8623132586195278E-3</v>
      </c>
      <c r="R128" s="59">
        <f t="shared" si="55"/>
        <v>293.34019564659195</v>
      </c>
      <c r="S128" s="59">
        <f ca="1">AVERAGE(OFFSET($R$3,0,0,'Données projet'!$E$9+1,1))-AVERAGE(OFFSET($H$3,0,0,'Données projet'!$E$9+1,1))</f>
        <v>71.898749633453065</v>
      </c>
      <c r="T128" s="59">
        <f t="shared" si="88"/>
        <v>213.4524723740343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5.1542102861931083</v>
      </c>
      <c r="AA128" s="21">
        <f>EXP(-LN(2)/25)*AA127+(1-EXP(-LN(2)/25))/(LN(2)/25)*Calculateur!V128*Calculateur!X128*VLOOKUP('Données projet'!$B$9,Paramètres!$A$1:$I$89,3,0)*0.475*44/12</f>
        <v>0.30928109132653686</v>
      </c>
      <c r="AB128" s="21">
        <f>EXP(-LN(2)/2)*AB127+(1-EXP(-LN(2)/2))/(LN(2)/2)*V128*Y128*VLOOKUP('Données projet'!$B$9,Paramètres!$A$1:$I$89,3,0)*0.475*44/12</f>
        <v>3.2365773601364537E-16</v>
      </c>
      <c r="AC128" s="22">
        <f t="shared" si="57"/>
        <v>5.4634913775196452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3.9755889073092021E-3</v>
      </c>
      <c r="O129" s="13">
        <f>N129*VLOOKUP('Données projet'!$B$9,Paramètres!$A$1:$I$89,3,0)*VLOOKUP('Données projet'!$B$9,Paramètres!$A$1:$I$89,5,0)</f>
        <v>2.0218254947011681E-3</v>
      </c>
      <c r="P129" s="13">
        <f t="shared" si="87"/>
        <v>1.918258672927269E-3</v>
      </c>
      <c r="Q129" s="20">
        <f t="shared" si="107"/>
        <v>6.8623132586195278E-3</v>
      </c>
      <c r="R129" s="59">
        <f t="shared" si="55"/>
        <v>293.34019564659195</v>
      </c>
      <c r="S129" s="59">
        <f ca="1">AVERAGE(OFFSET($R$3,0,0,'Données projet'!$E$9+1,1))-AVERAGE(OFFSET($H$3,0,0,'Données projet'!$E$9+1,1))</f>
        <v>71.898749633453065</v>
      </c>
      <c r="T129" s="59">
        <f t="shared" si="88"/>
        <v>213.4524723740343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5.0531393662387156</v>
      </c>
      <c r="AA129" s="21">
        <f>EXP(-LN(2)/25)*AA128+(1-EXP(-LN(2)/25))/(LN(2)/25)*Calculateur!V129*Calculateur!X129*VLOOKUP('Données projet'!$B$9,Paramètres!$A$1:$I$89,3,0)*0.475*44/12</f>
        <v>0.30082378361982698</v>
      </c>
      <c r="AB129" s="21">
        <f>EXP(-LN(2)/2)*AB128+(1-EXP(-LN(2)/2))/(LN(2)/2)*V129*Y129*VLOOKUP('Données projet'!$B$9,Paramètres!$A$1:$I$89,3,0)*0.475*44/12</f>
        <v>2.2886057991873409E-16</v>
      </c>
      <c r="AC129" s="22">
        <f t="shared" si="57"/>
        <v>5.3539631498585427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3.9755889073092021E-3</v>
      </c>
      <c r="O130" s="13">
        <f>N130*VLOOKUP('Données projet'!$B$9,Paramètres!$A$1:$I$89,3,0)*VLOOKUP('Données projet'!$B$9,Paramètres!$A$1:$I$89,5,0)</f>
        <v>2.0218254947011681E-3</v>
      </c>
      <c r="P130" s="13">
        <f t="shared" si="87"/>
        <v>1.918258672927269E-3</v>
      </c>
      <c r="Q130" s="20">
        <f t="shared" si="107"/>
        <v>6.8623132586195278E-3</v>
      </c>
      <c r="R130" s="59">
        <f t="shared" si="55"/>
        <v>293.34019564659195</v>
      </c>
      <c r="S130" s="59">
        <f ca="1">AVERAGE(OFFSET($R$3,0,0,'Données projet'!$E$9+1,1))-AVERAGE(OFFSET($H$3,0,0,'Données projet'!$E$9+1,1))</f>
        <v>71.898749633453065</v>
      </c>
      <c r="T130" s="59">
        <f t="shared" si="88"/>
        <v>213.4524723740343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4.9540503853774549</v>
      </c>
      <c r="AA130" s="21">
        <f>EXP(-LN(2)/25)*AA129+(1-EXP(-LN(2)/25))/(LN(2)/25)*Calculateur!V130*Calculateur!X130*VLOOKUP('Données projet'!$B$9,Paramètres!$A$1:$I$89,3,0)*0.475*44/12</f>
        <v>0.29259774143710759</v>
      </c>
      <c r="AB130" s="21">
        <f>EXP(-LN(2)/2)*AB129+(1-EXP(-LN(2)/2))/(LN(2)/2)*V130*Y130*VLOOKUP('Données projet'!$B$9,Paramètres!$A$1:$I$89,3,0)*0.475*44/12</f>
        <v>1.6182886800682269E-16</v>
      </c>
      <c r="AC130" s="22">
        <f t="shared" si="57"/>
        <v>5.2466481268145628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3.9755889073092021E-3</v>
      </c>
      <c r="O131" s="13">
        <f>N131*VLOOKUP('Données projet'!$B$9,Paramètres!$A$1:$I$89,3,0)*VLOOKUP('Données projet'!$B$9,Paramètres!$A$1:$I$89,5,0)</f>
        <v>2.0218254947011681E-3</v>
      </c>
      <c r="P131" s="13">
        <f t="shared" si="87"/>
        <v>1.918258672927269E-3</v>
      </c>
      <c r="Q131" s="20">
        <f t="shared" ref="Q131:Q153" si="108">(O131+P131)*0.475*44/12</f>
        <v>6.8623132586195278E-3</v>
      </c>
      <c r="R131" s="59">
        <f t="shared" ref="R131:R194" si="109">Q131+(I131+J131)*44/12</f>
        <v>293.34019564659195</v>
      </c>
      <c r="S131" s="59">
        <f ca="1">AVERAGE(OFFSET($R$3,0,0,'Données projet'!$E$9+1,1))-AVERAGE(OFFSET($H$3,0,0,'Données projet'!$E$9+1,1))</f>
        <v>71.898749633453065</v>
      </c>
      <c r="T131" s="59">
        <f t="shared" si="88"/>
        <v>213.4524723740343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4.8569044789925728</v>
      </c>
      <c r="AA131" s="21">
        <f>EXP(-LN(2)/25)*AA130+(1-EXP(-LN(2)/25))/(LN(2)/25)*Calculateur!V131*Calculateur!X131*VLOOKUP('Données projet'!$B$9,Paramètres!$A$1:$I$89,3,0)*0.475*44/12</f>
        <v>0.28459664081046343</v>
      </c>
      <c r="AB131" s="21">
        <f>EXP(-LN(2)/2)*AB130+(1-EXP(-LN(2)/2))/(LN(2)/2)*V131*Y131*VLOOKUP('Données projet'!$B$9,Paramètres!$A$1:$I$89,3,0)*0.475*44/12</f>
        <v>1.1443028995936705E-16</v>
      </c>
      <c r="AC131" s="22">
        <f t="shared" si="57"/>
        <v>5.1415011198030367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3.9755889073092021E-3</v>
      </c>
      <c r="O132" s="13">
        <f>N132*VLOOKUP('Données projet'!$B$9,Paramètres!$A$1:$I$89,3,0)*VLOOKUP('Données projet'!$B$9,Paramètres!$A$1:$I$89,5,0)</f>
        <v>2.0218254947011681E-3</v>
      </c>
      <c r="P132" s="13">
        <f t="shared" si="87"/>
        <v>1.918258672927269E-3</v>
      </c>
      <c r="Q132" s="20">
        <f t="shared" si="108"/>
        <v>6.8623132586195278E-3</v>
      </c>
      <c r="R132" s="59">
        <f t="shared" si="109"/>
        <v>293.34019564659195</v>
      </c>
      <c r="S132" s="59">
        <f ca="1">AVERAGE(OFFSET($R$3,0,0,'Données projet'!$E$9+1,1))-AVERAGE(OFFSET($H$3,0,0,'Données projet'!$E$9+1,1))</f>
        <v>71.898749633453065</v>
      </c>
      <c r="T132" s="59">
        <f t="shared" si="88"/>
        <v>213.4524723740343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4.7616635445787461</v>
      </c>
      <c r="AA132" s="21">
        <f>EXP(-LN(2)/25)*AA131+(1-EXP(-LN(2)/25))/(LN(2)/25)*Calculateur!V132*Calculateur!X132*VLOOKUP('Données projet'!$B$9,Paramètres!$A$1:$I$89,3,0)*0.475*44/12</f>
        <v>0.27681433070121442</v>
      </c>
      <c r="AB132" s="21">
        <f>EXP(-LN(2)/2)*AB131+(1-EXP(-LN(2)/2))/(LN(2)/2)*V132*Y132*VLOOKUP('Données projet'!$B$9,Paramètres!$A$1:$I$89,3,0)*0.475*44/12</f>
        <v>8.0914434003411343E-17</v>
      </c>
      <c r="AC132" s="22">
        <f t="shared" ref="AC132:AC153" si="111">SUM(Z132:AB132)</f>
        <v>5.0384778752799608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3.9755889073092021E-3</v>
      </c>
      <c r="O133" s="13">
        <f>N133*VLOOKUP('Données projet'!$B$9,Paramètres!$A$1:$I$89,3,0)*VLOOKUP('Données projet'!$B$9,Paramètres!$A$1:$I$89,5,0)</f>
        <v>2.0218254947011681E-3</v>
      </c>
      <c r="P133" s="13">
        <f t="shared" ref="P133:P196" si="141">EXP(-1.0587+0.8836*LN(O133)+0.284)</f>
        <v>1.918258672927269E-3</v>
      </c>
      <c r="Q133" s="20">
        <f t="shared" si="108"/>
        <v>6.8623132586195278E-3</v>
      </c>
      <c r="R133" s="59">
        <f t="shared" si="109"/>
        <v>293.34019564659195</v>
      </c>
      <c r="S133" s="59">
        <f ca="1">AVERAGE(OFFSET($R$3,0,0,'Données projet'!$E$9+1,1))-AVERAGE(OFFSET($H$3,0,0,'Données projet'!$E$9+1,1))</f>
        <v>71.898749633453065</v>
      </c>
      <c r="T133" s="59">
        <f t="shared" ref="T133:T196" si="142">$T$3</f>
        <v>213.4524723740343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4.6682902267975406</v>
      </c>
      <c r="AA133" s="21">
        <f>EXP(-LN(2)/25)*AA132+(1-EXP(-LN(2)/25))/(LN(2)/25)*Calculateur!V133*Calculateur!X133*VLOOKUP('Données projet'!$B$9,Paramètres!$A$1:$I$89,3,0)*0.475*44/12</f>
        <v>0.2692448282711567</v>
      </c>
      <c r="AB133" s="21">
        <f>EXP(-LN(2)/2)*AB132+(1-EXP(-LN(2)/2))/(LN(2)/2)*V133*Y133*VLOOKUP('Données projet'!$B$9,Paramètres!$A$1:$I$89,3,0)*0.475*44/12</f>
        <v>5.7215144979683523E-17</v>
      </c>
      <c r="AC133" s="22">
        <f t="shared" si="111"/>
        <v>4.9375350550686976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3.9755889073092021E-3</v>
      </c>
      <c r="O134" s="13">
        <f>N134*VLOOKUP('Données projet'!$B$9,Paramètres!$A$1:$I$89,3,0)*VLOOKUP('Données projet'!$B$9,Paramètres!$A$1:$I$89,5,0)</f>
        <v>2.0218254947011681E-3</v>
      </c>
      <c r="P134" s="13">
        <f t="shared" si="141"/>
        <v>1.918258672927269E-3</v>
      </c>
      <c r="Q134" s="20">
        <f t="shared" si="108"/>
        <v>6.8623132586195278E-3</v>
      </c>
      <c r="R134" s="59">
        <f t="shared" si="109"/>
        <v>293.34019564659195</v>
      </c>
      <c r="S134" s="59">
        <f ca="1">AVERAGE(OFFSET($R$3,0,0,'Données projet'!$E$9+1,1))-AVERAGE(OFFSET($H$3,0,0,'Données projet'!$E$9+1,1))</f>
        <v>71.898749633453065</v>
      </c>
      <c r="T134" s="59">
        <f t="shared" si="142"/>
        <v>213.4524723740343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4.5767479028259244</v>
      </c>
      <c r="AA134" s="21">
        <f>EXP(-LN(2)/25)*AA133+(1-EXP(-LN(2)/25))/(LN(2)/25)*Calculateur!V134*Calculateur!X134*VLOOKUP('Données projet'!$B$9,Paramètres!$A$1:$I$89,3,0)*0.475*44/12</f>
        <v>0.26188231428311176</v>
      </c>
      <c r="AB134" s="21">
        <f>EXP(-LN(2)/2)*AB133+(1-EXP(-LN(2)/2))/(LN(2)/2)*V134*Y134*VLOOKUP('Données projet'!$B$9,Paramètres!$A$1:$I$89,3,0)*0.475*44/12</f>
        <v>4.0457217001705671E-17</v>
      </c>
      <c r="AC134" s="22">
        <f t="shared" si="111"/>
        <v>4.8386302171090358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3.9755889073092021E-3</v>
      </c>
      <c r="O135" s="13">
        <f>N135*VLOOKUP('Données projet'!$B$9,Paramètres!$A$1:$I$89,3,0)*VLOOKUP('Données projet'!$B$9,Paramètres!$A$1:$I$89,5,0)</f>
        <v>2.0218254947011681E-3</v>
      </c>
      <c r="P135" s="13">
        <f t="shared" si="141"/>
        <v>1.918258672927269E-3</v>
      </c>
      <c r="Q135" s="20">
        <f t="shared" si="108"/>
        <v>6.8623132586195278E-3</v>
      </c>
      <c r="R135" s="59">
        <f t="shared" si="109"/>
        <v>293.34019564659195</v>
      </c>
      <c r="S135" s="59">
        <f ca="1">AVERAGE(OFFSET($R$3,0,0,'Données projet'!$E$9+1,1))-AVERAGE(OFFSET($H$3,0,0,'Données projet'!$E$9+1,1))</f>
        <v>71.898749633453065</v>
      </c>
      <c r="T135" s="59">
        <f t="shared" si="142"/>
        <v>213.4524723740343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4.4870006679920866</v>
      </c>
      <c r="AA135" s="21">
        <f>EXP(-LN(2)/25)*AA134+(1-EXP(-LN(2)/25))/(LN(2)/25)*Calculateur!V135*Calculateur!X135*VLOOKUP('Données projet'!$B$9,Paramètres!$A$1:$I$89,3,0)*0.475*44/12</f>
        <v>0.25472112862724772</v>
      </c>
      <c r="AB135" s="21">
        <f>EXP(-LN(2)/2)*AB134+(1-EXP(-LN(2)/2))/(LN(2)/2)*V135*Y135*VLOOKUP('Données projet'!$B$9,Paramètres!$A$1:$I$89,3,0)*0.475*44/12</f>
        <v>2.8607572489841762E-17</v>
      </c>
      <c r="AC135" s="22">
        <f t="shared" si="111"/>
        <v>4.7417217966193341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3.9755889073092021E-3</v>
      </c>
      <c r="O136" s="13">
        <f>N136*VLOOKUP('Données projet'!$B$9,Paramètres!$A$1:$I$89,3,0)*VLOOKUP('Données projet'!$B$9,Paramètres!$A$1:$I$89,5,0)</f>
        <v>2.0218254947011681E-3</v>
      </c>
      <c r="P136" s="13">
        <f t="shared" si="141"/>
        <v>1.918258672927269E-3</v>
      </c>
      <c r="Q136" s="20">
        <f t="shared" si="108"/>
        <v>6.8623132586195278E-3</v>
      </c>
      <c r="R136" s="59">
        <f t="shared" si="109"/>
        <v>293.34019564659195</v>
      </c>
      <c r="S136" s="59">
        <f ca="1">AVERAGE(OFFSET($R$3,0,0,'Données projet'!$E$9+1,1))-AVERAGE(OFFSET($H$3,0,0,'Données projet'!$E$9+1,1))</f>
        <v>71.898749633453065</v>
      </c>
      <c r="T136" s="59">
        <f t="shared" si="142"/>
        <v>213.4524723740343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4.3990133216929328</v>
      </c>
      <c r="AA136" s="21">
        <f>EXP(-LN(2)/25)*AA135+(1-EXP(-LN(2)/25))/(LN(2)/25)*Calculateur!V136*Calculateur!X136*VLOOKUP('Données projet'!$B$9,Paramètres!$A$1:$I$89,3,0)*0.475*44/12</f>
        <v>0.24775576596973364</v>
      </c>
      <c r="AB136" s="21">
        <f>EXP(-LN(2)/2)*AB135+(1-EXP(-LN(2)/2))/(LN(2)/2)*V136*Y136*VLOOKUP('Données projet'!$B$9,Paramètres!$A$1:$I$89,3,0)*0.475*44/12</f>
        <v>2.0228608500852836E-17</v>
      </c>
      <c r="AC136" s="22">
        <f t="shared" si="111"/>
        <v>4.6467690876626664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3.9755889073092021E-3</v>
      </c>
      <c r="O137" s="13">
        <f>N137*VLOOKUP('Données projet'!$B$9,Paramètres!$A$1:$I$89,3,0)*VLOOKUP('Données projet'!$B$9,Paramètres!$A$1:$I$89,5,0)</f>
        <v>2.0218254947011681E-3</v>
      </c>
      <c r="P137" s="13">
        <f t="shared" si="141"/>
        <v>1.918258672927269E-3</v>
      </c>
      <c r="Q137" s="20">
        <f t="shared" si="108"/>
        <v>6.8623132586195278E-3</v>
      </c>
      <c r="R137" s="59">
        <f t="shared" si="109"/>
        <v>293.34019564659195</v>
      </c>
      <c r="S137" s="59">
        <f ca="1">AVERAGE(OFFSET($R$3,0,0,'Données projet'!$E$9+1,1))-AVERAGE(OFFSET($H$3,0,0,'Données projet'!$E$9+1,1))</f>
        <v>71.898749633453065</v>
      </c>
      <c r="T137" s="59">
        <f t="shared" si="142"/>
        <v>213.4524723740343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4.3127513535877231</v>
      </c>
      <c r="AA137" s="21">
        <f>EXP(-LN(2)/25)*AA136+(1-EXP(-LN(2)/25))/(LN(2)/25)*Calculateur!V137*Calculateur!X137*VLOOKUP('Données projet'!$B$9,Paramètres!$A$1:$I$89,3,0)*0.475*44/12</f>
        <v>0.24098087152038181</v>
      </c>
      <c r="AB137" s="21">
        <f>EXP(-LN(2)/2)*AB136+(1-EXP(-LN(2)/2))/(LN(2)/2)*V137*Y137*VLOOKUP('Données projet'!$B$9,Paramètres!$A$1:$I$89,3,0)*0.475*44/12</f>
        <v>1.4303786244920881E-17</v>
      </c>
      <c r="AC137" s="22">
        <f t="shared" si="111"/>
        <v>4.5537322251081047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3.9755889073092021E-3</v>
      </c>
      <c r="O138" s="13">
        <f>N138*VLOOKUP('Données projet'!$B$9,Paramètres!$A$1:$I$89,3,0)*VLOOKUP('Données projet'!$B$9,Paramètres!$A$1:$I$89,5,0)</f>
        <v>2.0218254947011681E-3</v>
      </c>
      <c r="P138" s="13">
        <f t="shared" si="141"/>
        <v>1.918258672927269E-3</v>
      </c>
      <c r="Q138" s="20">
        <f t="shared" si="108"/>
        <v>6.8623132586195278E-3</v>
      </c>
      <c r="R138" s="59">
        <f t="shared" si="109"/>
        <v>293.34019564659195</v>
      </c>
      <c r="S138" s="59">
        <f ca="1">AVERAGE(OFFSET($R$3,0,0,'Données projet'!$E$9+1,1))-AVERAGE(OFFSET($H$3,0,0,'Données projet'!$E$9+1,1))</f>
        <v>71.898749633453065</v>
      </c>
      <c r="T138" s="59">
        <f t="shared" si="142"/>
        <v>213.4524723740343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4.2281809300624511</v>
      </c>
      <c r="AA138" s="21">
        <f>EXP(-LN(2)/25)*AA137+(1-EXP(-LN(2)/25))/(LN(2)/25)*Calculateur!V138*Calculateur!X138*VLOOKUP('Données projet'!$B$9,Paramètres!$A$1:$I$89,3,0)*0.475*44/12</f>
        <v>0.2343912369160237</v>
      </c>
      <c r="AB138" s="21">
        <f>EXP(-LN(2)/2)*AB137+(1-EXP(-LN(2)/2))/(LN(2)/2)*V138*Y138*VLOOKUP('Données projet'!$B$9,Paramètres!$A$1:$I$89,3,0)*0.475*44/12</f>
        <v>1.0114304250426418E-17</v>
      </c>
      <c r="AC138" s="22">
        <f t="shared" si="111"/>
        <v>4.4625721669784753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3.9755889073092021E-3</v>
      </c>
      <c r="O139" s="13">
        <f>N139*VLOOKUP('Données projet'!$B$9,Paramètres!$A$1:$I$89,3,0)*VLOOKUP('Données projet'!$B$9,Paramètres!$A$1:$I$89,5,0)</f>
        <v>2.0218254947011681E-3</v>
      </c>
      <c r="P139" s="13">
        <f t="shared" si="141"/>
        <v>1.918258672927269E-3</v>
      </c>
      <c r="Q139" s="20">
        <f t="shared" si="108"/>
        <v>6.8623132586195278E-3</v>
      </c>
      <c r="R139" s="59">
        <f t="shared" si="109"/>
        <v>293.34019564659195</v>
      </c>
      <c r="S139" s="59">
        <f ca="1">AVERAGE(OFFSET($R$3,0,0,'Données projet'!$E$9+1,1))-AVERAGE(OFFSET($H$3,0,0,'Données projet'!$E$9+1,1))</f>
        <v>71.898749633453065</v>
      </c>
      <c r="T139" s="59">
        <f t="shared" si="142"/>
        <v>213.4524723740343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4.1452688809596454</v>
      </c>
      <c r="AA139" s="21">
        <f>EXP(-LN(2)/25)*AA138+(1-EXP(-LN(2)/25))/(LN(2)/25)*Calculateur!V139*Calculateur!X139*VLOOKUP('Données projet'!$B$9,Paramètres!$A$1:$I$89,3,0)*0.475*44/12</f>
        <v>0.22798179621645559</v>
      </c>
      <c r="AB139" s="21">
        <f>EXP(-LN(2)/2)*AB138+(1-EXP(-LN(2)/2))/(LN(2)/2)*V139*Y139*VLOOKUP('Données projet'!$B$9,Paramètres!$A$1:$I$89,3,0)*0.475*44/12</f>
        <v>7.1518931224604404E-18</v>
      </c>
      <c r="AC139" s="22">
        <f t="shared" si="111"/>
        <v>4.3732506771761006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3.9755889073092021E-3</v>
      </c>
      <c r="O140" s="13">
        <f>N140*VLOOKUP('Données projet'!$B$9,Paramètres!$A$1:$I$89,3,0)*VLOOKUP('Données projet'!$B$9,Paramètres!$A$1:$I$89,5,0)</f>
        <v>2.0218254947011681E-3</v>
      </c>
      <c r="P140" s="13">
        <f t="shared" si="141"/>
        <v>1.918258672927269E-3</v>
      </c>
      <c r="Q140" s="20">
        <f t="shared" si="108"/>
        <v>6.8623132586195278E-3</v>
      </c>
      <c r="R140" s="59">
        <f t="shared" si="109"/>
        <v>293.34019564659195</v>
      </c>
      <c r="S140" s="59">
        <f ca="1">AVERAGE(OFFSET($R$3,0,0,'Données projet'!$E$9+1,1))-AVERAGE(OFFSET($H$3,0,0,'Données projet'!$E$9+1,1))</f>
        <v>71.898749633453065</v>
      </c>
      <c r="T140" s="59">
        <f t="shared" si="142"/>
        <v>213.4524723740343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4.063982686568389</v>
      </c>
      <c r="AA140" s="21">
        <f>EXP(-LN(2)/25)*AA139+(1-EXP(-LN(2)/25))/(LN(2)/25)*Calculateur!V140*Calculateur!X140*VLOOKUP('Données projet'!$B$9,Paramètres!$A$1:$I$89,3,0)*0.475*44/12</f>
        <v>0.221747622009875</v>
      </c>
      <c r="AB140" s="21">
        <f>EXP(-LN(2)/2)*AB139+(1-EXP(-LN(2)/2))/(LN(2)/2)*V140*Y140*VLOOKUP('Données projet'!$B$9,Paramètres!$A$1:$I$89,3,0)*0.475*44/12</f>
        <v>5.0571521252132089E-18</v>
      </c>
      <c r="AC140" s="22">
        <f t="shared" si="111"/>
        <v>4.2857303085782643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3.9755889073092021E-3</v>
      </c>
      <c r="O141" s="13">
        <f>N141*VLOOKUP('Données projet'!$B$9,Paramètres!$A$1:$I$89,3,0)*VLOOKUP('Données projet'!$B$9,Paramètres!$A$1:$I$89,5,0)</f>
        <v>2.0218254947011681E-3</v>
      </c>
      <c r="P141" s="13">
        <f t="shared" si="141"/>
        <v>1.918258672927269E-3</v>
      </c>
      <c r="Q141" s="20">
        <f t="shared" si="108"/>
        <v>6.8623132586195278E-3</v>
      </c>
      <c r="R141" s="59">
        <f t="shared" si="109"/>
        <v>293.34019564659195</v>
      </c>
      <c r="S141" s="59">
        <f ca="1">AVERAGE(OFFSET($R$3,0,0,'Données projet'!$E$9+1,1))-AVERAGE(OFFSET($H$3,0,0,'Données projet'!$E$9+1,1))</f>
        <v>71.898749633453065</v>
      </c>
      <c r="T141" s="59">
        <f t="shared" si="142"/>
        <v>213.4524723740343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3.9842904648694621</v>
      </c>
      <c r="AA141" s="21">
        <f>EXP(-LN(2)/25)*AA140+(1-EXP(-LN(2)/25))/(LN(2)/25)*Calculateur!V141*Calculateur!X141*VLOOKUP('Données projet'!$B$9,Paramètres!$A$1:$I$89,3,0)*0.475*44/12</f>
        <v>0.21568392162481434</v>
      </c>
      <c r="AB141" s="21">
        <f>EXP(-LN(2)/2)*AB140+(1-EXP(-LN(2)/2))/(LN(2)/2)*V141*Y141*VLOOKUP('Données projet'!$B$9,Paramètres!$A$1:$I$89,3,0)*0.475*44/12</f>
        <v>3.5759465612302202E-18</v>
      </c>
      <c r="AC141" s="22">
        <f t="shared" si="111"/>
        <v>4.1999743864942767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3.9755889073092021E-3</v>
      </c>
      <c r="O142" s="13">
        <f>N142*VLOOKUP('Données projet'!$B$9,Paramètres!$A$1:$I$89,3,0)*VLOOKUP('Données projet'!$B$9,Paramètres!$A$1:$I$89,5,0)</f>
        <v>2.0218254947011681E-3</v>
      </c>
      <c r="P142" s="13">
        <f t="shared" si="141"/>
        <v>1.918258672927269E-3</v>
      </c>
      <c r="Q142" s="20">
        <f t="shared" si="108"/>
        <v>6.8623132586195278E-3</v>
      </c>
      <c r="R142" s="59">
        <f t="shared" si="109"/>
        <v>293.34019564659195</v>
      </c>
      <c r="S142" s="59">
        <f ca="1">AVERAGE(OFFSET($R$3,0,0,'Données projet'!$E$9+1,1))-AVERAGE(OFFSET($H$3,0,0,'Données projet'!$E$9+1,1))</f>
        <v>71.898749633453065</v>
      </c>
      <c r="T142" s="59">
        <f t="shared" si="142"/>
        <v>213.4524723740343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3.9061609590305957</v>
      </c>
      <c r="AA142" s="21">
        <f>EXP(-LN(2)/25)*AA141+(1-EXP(-LN(2)/25))/(LN(2)/25)*Calculateur!V142*Calculateur!X142*VLOOKUP('Données projet'!$B$9,Paramètres!$A$1:$I$89,3,0)*0.475*44/12</f>
        <v>0.2097860334456593</v>
      </c>
      <c r="AB142" s="21">
        <f>EXP(-LN(2)/2)*AB141+(1-EXP(-LN(2)/2))/(LN(2)/2)*V142*Y142*VLOOKUP('Données projet'!$B$9,Paramètres!$A$1:$I$89,3,0)*0.475*44/12</f>
        <v>2.5285760626066045E-18</v>
      </c>
      <c r="AC142" s="22">
        <f t="shared" si="111"/>
        <v>4.1159469924762551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3.9755889073092021E-3</v>
      </c>
      <c r="O143" s="13">
        <f>N143*VLOOKUP('Données projet'!$B$9,Paramètres!$A$1:$I$89,3,0)*VLOOKUP('Données projet'!$B$9,Paramètres!$A$1:$I$89,5,0)</f>
        <v>2.0218254947011681E-3</v>
      </c>
      <c r="P143" s="13">
        <f t="shared" si="141"/>
        <v>1.918258672927269E-3</v>
      </c>
      <c r="Q143" s="20">
        <f t="shared" si="108"/>
        <v>6.8623132586195278E-3</v>
      </c>
      <c r="R143" s="59">
        <f t="shared" si="109"/>
        <v>293.34019564659195</v>
      </c>
      <c r="S143" s="59">
        <f ca="1">AVERAGE(OFFSET($R$3,0,0,'Données projet'!$E$9+1,1))-AVERAGE(OFFSET($H$3,0,0,'Données projet'!$E$9+1,1))</f>
        <v>71.898749633453065</v>
      </c>
      <c r="T143" s="59">
        <f t="shared" si="142"/>
        <v>213.4524723740343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3.829563525146936</v>
      </c>
      <c r="AA143" s="21">
        <f>EXP(-LN(2)/25)*AA142+(1-EXP(-LN(2)/25))/(LN(2)/25)*Calculateur!V143*Calculateur!X143*VLOOKUP('Données projet'!$B$9,Paramètres!$A$1:$I$89,3,0)*0.475*44/12</f>
        <v>0.2040494233289197</v>
      </c>
      <c r="AB143" s="21">
        <f>EXP(-LN(2)/2)*AB142+(1-EXP(-LN(2)/2))/(LN(2)/2)*V143*Y143*VLOOKUP('Données projet'!$B$9,Paramètres!$A$1:$I$89,3,0)*0.475*44/12</f>
        <v>1.7879732806151101E-18</v>
      </c>
      <c r="AC143" s="22">
        <f t="shared" si="111"/>
        <v>4.0336129484758558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3.9755889073092021E-3</v>
      </c>
      <c r="O144" s="13">
        <f>N144*VLOOKUP('Données projet'!$B$9,Paramètres!$A$1:$I$89,3,0)*VLOOKUP('Données projet'!$B$9,Paramètres!$A$1:$I$89,5,0)</f>
        <v>2.0218254947011681E-3</v>
      </c>
      <c r="P144" s="13">
        <f t="shared" si="141"/>
        <v>1.918258672927269E-3</v>
      </c>
      <c r="Q144" s="20">
        <f t="shared" si="108"/>
        <v>6.8623132586195278E-3</v>
      </c>
      <c r="R144" s="59">
        <f t="shared" si="109"/>
        <v>293.34019564659195</v>
      </c>
      <c r="S144" s="59">
        <f ca="1">AVERAGE(OFFSET($R$3,0,0,'Données projet'!$E$9+1,1))-AVERAGE(OFFSET($H$3,0,0,'Données projet'!$E$9+1,1))</f>
        <v>71.898749633453065</v>
      </c>
      <c r="T144" s="59">
        <f t="shared" si="142"/>
        <v>213.4524723740343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3.7544681202219135</v>
      </c>
      <c r="AA144" s="21">
        <f>EXP(-LN(2)/25)*AA143+(1-EXP(-LN(2)/25))/(LN(2)/25)*Calculateur!V144*Calculateur!X144*VLOOKUP('Données projet'!$B$9,Paramètres!$A$1:$I$89,3,0)*0.475*44/12</f>
        <v>0.19846968111749758</v>
      </c>
      <c r="AB144" s="21">
        <f>EXP(-LN(2)/2)*AB143+(1-EXP(-LN(2)/2))/(LN(2)/2)*V144*Y144*VLOOKUP('Données projet'!$B$9,Paramètres!$A$1:$I$89,3,0)*0.475*44/12</f>
        <v>1.2642880313033022E-18</v>
      </c>
      <c r="AC144" s="22">
        <f t="shared" si="111"/>
        <v>3.9529378013394112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3.9755889073092021E-3</v>
      </c>
      <c r="O145" s="13">
        <f>N145*VLOOKUP('Données projet'!$B$9,Paramètres!$A$1:$I$89,3,0)*VLOOKUP('Données projet'!$B$9,Paramètres!$A$1:$I$89,5,0)</f>
        <v>2.0218254947011681E-3</v>
      </c>
      <c r="P145" s="13">
        <f t="shared" si="141"/>
        <v>1.918258672927269E-3</v>
      </c>
      <c r="Q145" s="20">
        <f t="shared" si="108"/>
        <v>6.8623132586195278E-3</v>
      </c>
      <c r="R145" s="59">
        <f t="shared" si="109"/>
        <v>293.34019564659195</v>
      </c>
      <c r="S145" s="59">
        <f ca="1">AVERAGE(OFFSET($R$3,0,0,'Données projet'!$E$9+1,1))-AVERAGE(OFFSET($H$3,0,0,'Données projet'!$E$9+1,1))</f>
        <v>71.898749633453065</v>
      </c>
      <c r="T145" s="59">
        <f t="shared" si="142"/>
        <v>213.4524723740343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3.6808452903837963</v>
      </c>
      <c r="AA145" s="21">
        <f>EXP(-LN(2)/25)*AA144+(1-EXP(-LN(2)/25))/(LN(2)/25)*Calculateur!V145*Calculateur!X145*VLOOKUP('Données projet'!$B$9,Paramètres!$A$1:$I$89,3,0)*0.475*44/12</f>
        <v>0.19304251725027269</v>
      </c>
      <c r="AB145" s="21">
        <f>EXP(-LN(2)/2)*AB144+(1-EXP(-LN(2)/2))/(LN(2)/2)*V145*Y145*VLOOKUP('Données projet'!$B$9,Paramètres!$A$1:$I$89,3,0)*0.475*44/12</f>
        <v>8.9398664030755505E-19</v>
      </c>
      <c r="AC145" s="22">
        <f t="shared" si="111"/>
        <v>3.8738878076340688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3.9755889073092021E-3</v>
      </c>
      <c r="O146" s="13">
        <f>N146*VLOOKUP('Données projet'!$B$9,Paramètres!$A$1:$I$89,3,0)*VLOOKUP('Données projet'!$B$9,Paramètres!$A$1:$I$89,5,0)</f>
        <v>2.0218254947011681E-3</v>
      </c>
      <c r="P146" s="13">
        <f t="shared" si="141"/>
        <v>1.918258672927269E-3</v>
      </c>
      <c r="Q146" s="20">
        <f t="shared" si="108"/>
        <v>6.8623132586195278E-3</v>
      </c>
      <c r="R146" s="59">
        <f t="shared" si="109"/>
        <v>293.34019564659195</v>
      </c>
      <c r="S146" s="59">
        <f ca="1">AVERAGE(OFFSET($R$3,0,0,'Données projet'!$E$9+1,1))-AVERAGE(OFFSET($H$3,0,0,'Données projet'!$E$9+1,1))</f>
        <v>71.898749633453065</v>
      </c>
      <c r="T146" s="59">
        <f t="shared" si="142"/>
        <v>213.4524723740343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3.6086661593333127</v>
      </c>
      <c r="AA146" s="21">
        <f>EXP(-LN(2)/25)*AA145+(1-EXP(-LN(2)/25))/(LN(2)/25)*Calculateur!V146*Calculateur!X146*VLOOKUP('Données projet'!$B$9,Paramètres!$A$1:$I$89,3,0)*0.475*44/12</f>
        <v>0.18776375946439922</v>
      </c>
      <c r="AB146" s="21">
        <f>EXP(-LN(2)/2)*AB145+(1-EXP(-LN(2)/2))/(LN(2)/2)*V146*Y146*VLOOKUP('Données projet'!$B$9,Paramètres!$A$1:$I$89,3,0)*0.475*44/12</f>
        <v>6.3214401565165112E-19</v>
      </c>
      <c r="AC146" s="22">
        <f t="shared" si="111"/>
        <v>3.796429918797712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3.9755889073092021E-3</v>
      </c>
      <c r="O147" s="13">
        <f>N147*VLOOKUP('Données projet'!$B$9,Paramètres!$A$1:$I$89,3,0)*VLOOKUP('Données projet'!$B$9,Paramètres!$A$1:$I$89,5,0)</f>
        <v>2.0218254947011681E-3</v>
      </c>
      <c r="P147" s="13">
        <f t="shared" si="141"/>
        <v>1.918258672927269E-3</v>
      </c>
      <c r="Q147" s="20">
        <f t="shared" si="108"/>
        <v>6.8623132586195278E-3</v>
      </c>
      <c r="R147" s="59">
        <f t="shared" si="109"/>
        <v>293.34019564659195</v>
      </c>
      <c r="S147" s="59">
        <f ca="1">AVERAGE(OFFSET($R$3,0,0,'Données projet'!$E$9+1,1))-AVERAGE(OFFSET($H$3,0,0,'Données projet'!$E$9+1,1))</f>
        <v>71.898749633453065</v>
      </c>
      <c r="T147" s="59">
        <f t="shared" si="142"/>
        <v>213.4524723740343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3.5379024170178059</v>
      </c>
      <c r="AA147" s="21">
        <f>EXP(-LN(2)/25)*AA146+(1-EXP(-LN(2)/25))/(LN(2)/25)*Calculateur!V147*Calculateur!X147*VLOOKUP('Données projet'!$B$9,Paramètres!$A$1:$I$89,3,0)*0.475*44/12</f>
        <v>0.18262934958777824</v>
      </c>
      <c r="AB147" s="21">
        <f>EXP(-LN(2)/2)*AB146+(1-EXP(-LN(2)/2))/(LN(2)/2)*V147*Y147*VLOOKUP('Données projet'!$B$9,Paramètres!$A$1:$I$89,3,0)*0.475*44/12</f>
        <v>4.4699332015377753E-19</v>
      </c>
      <c r="AC147" s="22">
        <f t="shared" si="111"/>
        <v>3.7205317666055842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3.9755889073092021E-3</v>
      </c>
      <c r="O148" s="13">
        <f>N148*VLOOKUP('Données projet'!$B$9,Paramètres!$A$1:$I$89,3,0)*VLOOKUP('Données projet'!$B$9,Paramètres!$A$1:$I$89,5,0)</f>
        <v>2.0218254947011681E-3</v>
      </c>
      <c r="P148" s="13">
        <f t="shared" si="141"/>
        <v>1.918258672927269E-3</v>
      </c>
      <c r="Q148" s="20">
        <f t="shared" si="108"/>
        <v>6.8623132586195278E-3</v>
      </c>
      <c r="R148" s="59">
        <f t="shared" si="109"/>
        <v>293.34019564659195</v>
      </c>
      <c r="S148" s="59">
        <f ca="1">AVERAGE(OFFSET($R$3,0,0,'Données projet'!$E$9+1,1))-AVERAGE(OFFSET($H$3,0,0,'Données projet'!$E$9+1,1))</f>
        <v>71.898749633453065</v>
      </c>
      <c r="T148" s="59">
        <f t="shared" si="142"/>
        <v>213.4524723740343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3.4685263085274856</v>
      </c>
      <c r="AA148" s="21">
        <f>EXP(-LN(2)/25)*AA147+(1-EXP(-LN(2)/25))/(LN(2)/25)*Calculateur!V148*Calculateur!X148*VLOOKUP('Données projet'!$B$9,Paramètres!$A$1:$I$89,3,0)*0.475*44/12</f>
        <v>0.17763534041924034</v>
      </c>
      <c r="AB148" s="21">
        <f>EXP(-LN(2)/2)*AB147+(1-EXP(-LN(2)/2))/(LN(2)/2)*V148*Y148*VLOOKUP('Données projet'!$B$9,Paramètres!$A$1:$I$89,3,0)*0.475*44/12</f>
        <v>3.1607200782582556E-19</v>
      </c>
      <c r="AC148" s="22">
        <f t="shared" si="111"/>
        <v>3.6461616489467259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3.9755889073092021E-3</v>
      </c>
      <c r="O149" s="13">
        <f>N149*VLOOKUP('Données projet'!$B$9,Paramètres!$A$1:$I$89,3,0)*VLOOKUP('Données projet'!$B$9,Paramètres!$A$1:$I$89,5,0)</f>
        <v>2.0218254947011681E-3</v>
      </c>
      <c r="P149" s="13">
        <f t="shared" si="141"/>
        <v>1.918258672927269E-3</v>
      </c>
      <c r="Q149" s="20">
        <f t="shared" si="108"/>
        <v>6.8623132586195278E-3</v>
      </c>
      <c r="R149" s="59">
        <f t="shared" si="109"/>
        <v>293.34019564659195</v>
      </c>
      <c r="S149" s="59">
        <f ca="1">AVERAGE(OFFSET($R$3,0,0,'Données projet'!$E$9+1,1))-AVERAGE(OFFSET($H$3,0,0,'Données projet'!$E$9+1,1))</f>
        <v>71.898749633453065</v>
      </c>
      <c r="T149" s="59">
        <f t="shared" si="142"/>
        <v>213.4524723740343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3.4005106232094122</v>
      </c>
      <c r="AA149" s="21">
        <f>EXP(-LN(2)/25)*AA148+(1-EXP(-LN(2)/25))/(LN(2)/25)*Calculateur!V149*Calculateur!X149*VLOOKUP('Données projet'!$B$9,Paramètres!$A$1:$I$89,3,0)*0.475*44/12</f>
        <v>0.17277789269403965</v>
      </c>
      <c r="AB149" s="21">
        <f>EXP(-LN(2)/2)*AB148+(1-EXP(-LN(2)/2))/(LN(2)/2)*V149*Y149*VLOOKUP('Données projet'!$B$9,Paramètres!$A$1:$I$89,3,0)*0.475*44/12</f>
        <v>2.2349666007688876E-19</v>
      </c>
      <c r="AC149" s="22">
        <f t="shared" si="111"/>
        <v>3.5732885159034518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3.9755889073092021E-3</v>
      </c>
      <c r="O150" s="13">
        <f>N150*VLOOKUP('Données projet'!$B$9,Paramètres!$A$1:$I$89,3,0)*VLOOKUP('Données projet'!$B$9,Paramètres!$A$1:$I$89,5,0)</f>
        <v>2.0218254947011681E-3</v>
      </c>
      <c r="P150" s="13">
        <f t="shared" si="141"/>
        <v>1.918258672927269E-3</v>
      </c>
      <c r="Q150" s="20">
        <f t="shared" si="108"/>
        <v>6.8623132586195278E-3</v>
      </c>
      <c r="R150" s="59">
        <f t="shared" si="109"/>
        <v>293.34019564659195</v>
      </c>
      <c r="S150" s="59">
        <f ca="1">AVERAGE(OFFSET($R$3,0,0,'Données projet'!$E$9+1,1))-AVERAGE(OFFSET($H$3,0,0,'Données projet'!$E$9+1,1))</f>
        <v>71.898749633453065</v>
      </c>
      <c r="T150" s="59">
        <f t="shared" si="142"/>
        <v>213.4524723740343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3.3338286839949549</v>
      </c>
      <c r="AA150" s="21">
        <f>EXP(-LN(2)/25)*AA149+(1-EXP(-LN(2)/25))/(LN(2)/25)*Calculateur!V150*Calculateur!X150*VLOOKUP('Données projet'!$B$9,Paramètres!$A$1:$I$89,3,0)*0.475*44/12</f>
        <v>0.16805327213232665</v>
      </c>
      <c r="AB150" s="21">
        <f>EXP(-LN(2)/2)*AB149+(1-EXP(-LN(2)/2))/(LN(2)/2)*V150*Y150*VLOOKUP('Données projet'!$B$9,Paramètres!$A$1:$I$89,3,0)*0.475*44/12</f>
        <v>1.5803600391291278E-19</v>
      </c>
      <c r="AC150" s="22">
        <f t="shared" si="111"/>
        <v>3.5018819561272814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3.9755889073092021E-3</v>
      </c>
      <c r="O151" s="13">
        <f>N151*VLOOKUP('Données projet'!$B$9,Paramètres!$A$1:$I$89,3,0)*VLOOKUP('Données projet'!$B$9,Paramètres!$A$1:$I$89,5,0)</f>
        <v>2.0218254947011681E-3</v>
      </c>
      <c r="P151" s="13">
        <f t="shared" si="141"/>
        <v>1.918258672927269E-3</v>
      </c>
      <c r="Q151" s="20">
        <f t="shared" si="108"/>
        <v>6.8623132586195278E-3</v>
      </c>
      <c r="R151" s="59">
        <f t="shared" si="109"/>
        <v>293.34019564659195</v>
      </c>
      <c r="S151" s="59">
        <f ca="1">AVERAGE(OFFSET($R$3,0,0,'Données projet'!$E$9+1,1))-AVERAGE(OFFSET($H$3,0,0,'Données projet'!$E$9+1,1))</f>
        <v>71.898749633453065</v>
      </c>
      <c r="T151" s="59">
        <f t="shared" si="142"/>
        <v>213.4524723740343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3.268454336936526</v>
      </c>
      <c r="AA151" s="21">
        <f>EXP(-LN(2)/25)*AA150+(1-EXP(-LN(2)/25))/(LN(2)/25)*Calculateur!V151*Calculateur!X151*VLOOKUP('Données projet'!$B$9,Paramètres!$A$1:$I$89,3,0)*0.475*44/12</f>
        <v>0.16345784656833068</v>
      </c>
      <c r="AB151" s="21">
        <f>EXP(-LN(2)/2)*AB150+(1-EXP(-LN(2)/2))/(LN(2)/2)*V151*Y151*VLOOKUP('Données projet'!$B$9,Paramètres!$A$1:$I$89,3,0)*0.475*44/12</f>
        <v>1.1174833003844438E-19</v>
      </c>
      <c r="AC151" s="22">
        <f t="shared" si="111"/>
        <v>3.4319121835048567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3.9755889073092021E-3</v>
      </c>
      <c r="O152" s="13">
        <f>N152*VLOOKUP('Données projet'!$B$9,Paramètres!$A$1:$I$89,3,0)*VLOOKUP('Données projet'!$B$9,Paramètres!$A$1:$I$89,5,0)</f>
        <v>2.0218254947011681E-3</v>
      </c>
      <c r="P152" s="13">
        <f t="shared" si="141"/>
        <v>1.918258672927269E-3</v>
      </c>
      <c r="Q152" s="20">
        <f t="shared" si="108"/>
        <v>6.8623132586195278E-3</v>
      </c>
      <c r="R152" s="59">
        <f t="shared" si="109"/>
        <v>293.34019564659195</v>
      </c>
      <c r="S152" s="59">
        <f ca="1">AVERAGE(OFFSET($R$3,0,0,'Données projet'!$E$9+1,1))-AVERAGE(OFFSET($H$3,0,0,'Données projet'!$E$9+1,1))</f>
        <v>71.898749633453065</v>
      </c>
      <c r="T152" s="59">
        <f t="shared" si="142"/>
        <v>213.4524723740343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3.2043619409494983</v>
      </c>
      <c r="AA152" s="21">
        <f>EXP(-LN(2)/25)*AA151+(1-EXP(-LN(2)/25))/(LN(2)/25)*Calculateur!V152*Calculateur!X152*VLOOKUP('Données projet'!$B$9,Paramètres!$A$1:$I$89,3,0)*0.475*44/12</f>
        <v>0.15898808315804511</v>
      </c>
      <c r="AB152" s="21">
        <f>EXP(-LN(2)/2)*AB151+(1-EXP(-LN(2)/2))/(LN(2)/2)*V152*Y152*VLOOKUP('Données projet'!$B$9,Paramètres!$A$1:$I$89,3,0)*0.475*44/12</f>
        <v>7.901800195645639E-20</v>
      </c>
      <c r="AC152" s="22">
        <f t="shared" si="111"/>
        <v>3.3633500241075436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3.9755889073092021E-3</v>
      </c>
      <c r="O153" s="13">
        <f>N153*VLOOKUP('Données projet'!$B$9,Paramètres!$A$1:$I$89,3,0)*VLOOKUP('Données projet'!$B$9,Paramètres!$A$1:$I$89,5,0)</f>
        <v>2.0218254947011681E-3</v>
      </c>
      <c r="P153" s="13">
        <f t="shared" si="141"/>
        <v>1.918258672927269E-3</v>
      </c>
      <c r="Q153" s="20">
        <f t="shared" si="108"/>
        <v>6.8623132586195278E-3</v>
      </c>
      <c r="R153" s="59">
        <f t="shared" si="109"/>
        <v>293.34019564659195</v>
      </c>
      <c r="S153" s="59">
        <f ca="1">AVERAGE(OFFSET($R$3,0,0,'Données projet'!$E$9+1,1))-AVERAGE(OFFSET($H$3,0,0,'Données projet'!$E$9+1,1))</f>
        <v>71.898749633453065</v>
      </c>
      <c r="T153" s="59">
        <f t="shared" si="142"/>
        <v>213.4524723740343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3.141526357755275</v>
      </c>
      <c r="AA153" s="21">
        <f>EXP(-LN(2)/25)*AA152+(1-EXP(-LN(2)/25))/(LN(2)/25)*Calculateur!V153*Calculateur!X153*VLOOKUP('Données projet'!$B$9,Paramètres!$A$1:$I$89,3,0)*0.475*44/12</f>
        <v>0.15464054566326843</v>
      </c>
      <c r="AB153" s="21">
        <f>EXP(-LN(2)/2)*AB152+(1-EXP(-LN(2)/2))/(LN(2)/2)*V153*Y153*VLOOKUP('Données projet'!$B$9,Paramètres!$A$1:$I$89,3,0)*0.475*44/12</f>
        <v>5.5874165019222191E-20</v>
      </c>
      <c r="AC153" s="22">
        <f t="shared" si="111"/>
        <v>3.2961669034185435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3.9755889073092021E-3</v>
      </c>
      <c r="O154" s="13">
        <f>N154*VLOOKUP('Données projet'!$B$9,Paramètres!$A$1:$I$89,3,0)*VLOOKUP('Données projet'!$B$9,Paramètres!$A$1:$I$89,5,0)</f>
        <v>2.0218254947011681E-3</v>
      </c>
      <c r="P154" s="13">
        <f t="shared" si="141"/>
        <v>1.918258672927269E-3</v>
      </c>
      <c r="Q154" s="20">
        <f t="shared" ref="Q154:Q203" si="162">(O154+P154)*0.475*44/12</f>
        <v>6.8623132586195278E-3</v>
      </c>
      <c r="R154" s="59">
        <f t="shared" si="109"/>
        <v>293.34019564659195</v>
      </c>
      <c r="S154" s="59">
        <f ca="1">AVERAGE(OFFSET($R$3,0,0,'Données projet'!$E$9+1,1))-AVERAGE(OFFSET($H$3,0,0,'Données projet'!$E$9+1,1))</f>
        <v>71.898749633453065</v>
      </c>
      <c r="T154" s="59">
        <f t="shared" si="142"/>
        <v>213.4524723740343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3.079922942021569</v>
      </c>
      <c r="AA154" s="21">
        <f>EXP(-LN(2)/25)*AA153+(1-EXP(-LN(2)/25))/(LN(2)/25)*Calculateur!V154*Calculateur!X154*VLOOKUP('Données projet'!$B$9,Paramètres!$A$1:$I$89,3,0)*0.475*44/12</f>
        <v>0.15041189180991349</v>
      </c>
      <c r="AB154" s="21">
        <f>EXP(-LN(2)/2)*AB153+(1-EXP(-LN(2)/2))/(LN(2)/2)*V154*Y154*VLOOKUP('Données projet'!$B$9,Paramètres!$A$1:$I$89,3,0)*0.475*44/12</f>
        <v>3.9509000978228195E-20</v>
      </c>
      <c r="AC154" s="22">
        <f t="shared" ref="AC154:AC203" si="163">SUM(Z154:AB154)</f>
        <v>3.2303348338314826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3.9755889073092021E-3</v>
      </c>
      <c r="O155" s="13">
        <f>N155*VLOOKUP('Données projet'!$B$9,Paramètres!$A$1:$I$89,3,0)*VLOOKUP('Données projet'!$B$9,Paramètres!$A$1:$I$89,5,0)</f>
        <v>2.0218254947011681E-3</v>
      </c>
      <c r="P155" s="13">
        <f t="shared" si="141"/>
        <v>1.918258672927269E-3</v>
      </c>
      <c r="Q155" s="20">
        <f t="shared" si="162"/>
        <v>6.8623132586195278E-3</v>
      </c>
      <c r="R155" s="59">
        <f t="shared" si="109"/>
        <v>293.34019564659195</v>
      </c>
      <c r="S155" s="59">
        <f ca="1">AVERAGE(OFFSET($R$3,0,0,'Données projet'!$E$9+1,1))-AVERAGE(OFFSET($H$3,0,0,'Données projet'!$E$9+1,1))</f>
        <v>71.898749633453065</v>
      </c>
      <c r="T155" s="59">
        <f t="shared" si="142"/>
        <v>213.4524723740343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3.0195275316960277</v>
      </c>
      <c r="AA155" s="21">
        <f>EXP(-LN(2)/25)*AA154+(1-EXP(-LN(2)/25))/(LN(2)/25)*Calculateur!V155*Calculateur!X155*VLOOKUP('Données projet'!$B$9,Paramètres!$A$1:$I$89,3,0)*0.475*44/12</f>
        <v>0.1462988707185538</v>
      </c>
      <c r="AB155" s="21">
        <f>EXP(-LN(2)/2)*AB154+(1-EXP(-LN(2)/2))/(LN(2)/2)*V155*Y155*VLOOKUP('Données projet'!$B$9,Paramètres!$A$1:$I$89,3,0)*0.475*44/12</f>
        <v>2.7937082509611095E-20</v>
      </c>
      <c r="AC155" s="22">
        <f t="shared" si="163"/>
        <v>3.1658264024145817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3.9755889073092021E-3</v>
      </c>
      <c r="O156" s="13">
        <f>N156*VLOOKUP('Données projet'!$B$9,Paramètres!$A$1:$I$89,3,0)*VLOOKUP('Données projet'!$B$9,Paramètres!$A$1:$I$89,5,0)</f>
        <v>2.0218254947011681E-3</v>
      </c>
      <c r="P156" s="13">
        <f t="shared" si="141"/>
        <v>1.918258672927269E-3</v>
      </c>
      <c r="Q156" s="20">
        <f t="shared" si="162"/>
        <v>6.8623132586195278E-3</v>
      </c>
      <c r="R156" s="59">
        <f t="shared" si="109"/>
        <v>293.34019564659195</v>
      </c>
      <c r="S156" s="59">
        <f ca="1">AVERAGE(OFFSET($R$3,0,0,'Données projet'!$E$9+1,1))-AVERAGE(OFFSET($H$3,0,0,'Données projet'!$E$9+1,1))</f>
        <v>71.898749633453065</v>
      </c>
      <c r="T156" s="59">
        <f t="shared" si="142"/>
        <v>213.4524723740343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2.9603164385294072</v>
      </c>
      <c r="AA156" s="21">
        <f>EXP(-LN(2)/25)*AA155+(1-EXP(-LN(2)/25))/(LN(2)/25)*Calculateur!V156*Calculateur!X156*VLOOKUP('Données projet'!$B$9,Paramètres!$A$1:$I$89,3,0)*0.475*44/12</f>
        <v>0.14229832040523172</v>
      </c>
      <c r="AB156" s="21">
        <f>EXP(-LN(2)/2)*AB155+(1-EXP(-LN(2)/2))/(LN(2)/2)*V156*Y156*VLOOKUP('Données projet'!$B$9,Paramètres!$A$1:$I$89,3,0)*0.475*44/12</f>
        <v>1.9754500489114097E-20</v>
      </c>
      <c r="AC156" s="22">
        <f t="shared" si="163"/>
        <v>3.1026147589346387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3.9755889073092021E-3</v>
      </c>
      <c r="O157" s="13">
        <f>N157*VLOOKUP('Données projet'!$B$9,Paramètres!$A$1:$I$89,3,0)*VLOOKUP('Données projet'!$B$9,Paramètres!$A$1:$I$89,5,0)</f>
        <v>2.0218254947011681E-3</v>
      </c>
      <c r="P157" s="13">
        <f t="shared" si="141"/>
        <v>1.918258672927269E-3</v>
      </c>
      <c r="Q157" s="20">
        <f t="shared" si="162"/>
        <v>6.8623132586195278E-3</v>
      </c>
      <c r="R157" s="59">
        <f t="shared" si="109"/>
        <v>293.34019564659195</v>
      </c>
      <c r="S157" s="59">
        <f ca="1">AVERAGE(OFFSET($R$3,0,0,'Données projet'!$E$9+1,1))-AVERAGE(OFFSET($H$3,0,0,'Données projet'!$E$9+1,1))</f>
        <v>71.898749633453065</v>
      </c>
      <c r="T157" s="59">
        <f t="shared" si="142"/>
        <v>213.4524723740343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2.9022664387845833</v>
      </c>
      <c r="AA157" s="21">
        <f>EXP(-LN(2)/25)*AA156+(1-EXP(-LN(2)/25))/(LN(2)/25)*Calculateur!V157*Calculateur!X157*VLOOKUP('Données projet'!$B$9,Paramètres!$A$1:$I$89,3,0)*0.475*44/12</f>
        <v>0.13840716535060721</v>
      </c>
      <c r="AB157" s="21">
        <f>EXP(-LN(2)/2)*AB156+(1-EXP(-LN(2)/2))/(LN(2)/2)*V157*Y157*VLOOKUP('Données projet'!$B$9,Paramètres!$A$1:$I$89,3,0)*0.475*44/12</f>
        <v>1.3968541254805548E-20</v>
      </c>
      <c r="AC157" s="22">
        <f t="shared" si="163"/>
        <v>3.0406736041351907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3.9755889073092021E-3</v>
      </c>
      <c r="O158" s="13">
        <f>N158*VLOOKUP('Données projet'!$B$9,Paramètres!$A$1:$I$89,3,0)*VLOOKUP('Données projet'!$B$9,Paramètres!$A$1:$I$89,5,0)</f>
        <v>2.0218254947011681E-3</v>
      </c>
      <c r="P158" s="13">
        <f t="shared" si="141"/>
        <v>1.918258672927269E-3</v>
      </c>
      <c r="Q158" s="20">
        <f t="shared" si="162"/>
        <v>6.8623132586195278E-3</v>
      </c>
      <c r="R158" s="59">
        <f t="shared" si="109"/>
        <v>293.34019564659195</v>
      </c>
      <c r="S158" s="59">
        <f ca="1">AVERAGE(OFFSET($R$3,0,0,'Données projet'!$E$9+1,1))-AVERAGE(OFFSET($H$3,0,0,'Données projet'!$E$9+1,1))</f>
        <v>71.898749633453065</v>
      </c>
      <c r="T158" s="59">
        <f t="shared" si="142"/>
        <v>213.4524723740343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2.8453547641277517</v>
      </c>
      <c r="AA158" s="21">
        <f>EXP(-LN(2)/25)*AA157+(1-EXP(-LN(2)/25))/(LN(2)/25)*Calculateur!V158*Calculateur!X158*VLOOKUP('Données projet'!$B$9,Paramètres!$A$1:$I$89,3,0)*0.475*44/12</f>
        <v>0.13462241413557835</v>
      </c>
      <c r="AB158" s="21">
        <f>EXP(-LN(2)/2)*AB157+(1-EXP(-LN(2)/2))/(LN(2)/2)*V158*Y158*VLOOKUP('Données projet'!$B$9,Paramètres!$A$1:$I$89,3,0)*0.475*44/12</f>
        <v>9.8772502445570487E-21</v>
      </c>
      <c r="AC158" s="22">
        <f t="shared" si="163"/>
        <v>2.9799771782633302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3.9755889073092021E-3</v>
      </c>
      <c r="O159" s="13">
        <f>N159*VLOOKUP('Données projet'!$B$9,Paramètres!$A$1:$I$89,3,0)*VLOOKUP('Données projet'!$B$9,Paramètres!$A$1:$I$89,5,0)</f>
        <v>2.0218254947011681E-3</v>
      </c>
      <c r="P159" s="13">
        <f t="shared" si="141"/>
        <v>1.918258672927269E-3</v>
      </c>
      <c r="Q159" s="20">
        <f t="shared" si="162"/>
        <v>6.8623132586195278E-3</v>
      </c>
      <c r="R159" s="59">
        <f t="shared" si="109"/>
        <v>293.34019564659195</v>
      </c>
      <c r="S159" s="59">
        <f ca="1">AVERAGE(OFFSET($R$3,0,0,'Données projet'!$E$9+1,1))-AVERAGE(OFFSET($H$3,0,0,'Données projet'!$E$9+1,1))</f>
        <v>71.898749633453065</v>
      </c>
      <c r="T159" s="59">
        <f t="shared" si="142"/>
        <v>213.4524723740343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2.7895590926982465</v>
      </c>
      <c r="AA159" s="21">
        <f>EXP(-LN(2)/25)*AA158+(1-EXP(-LN(2)/25))/(LN(2)/25)*Calculateur!V159*Calculateur!X159*VLOOKUP('Données projet'!$B$9,Paramètres!$A$1:$I$89,3,0)*0.475*44/12</f>
        <v>0.13094115714155588</v>
      </c>
      <c r="AB159" s="21">
        <f>EXP(-LN(2)/2)*AB158+(1-EXP(-LN(2)/2))/(LN(2)/2)*V159*Y159*VLOOKUP('Données projet'!$B$9,Paramètres!$A$1:$I$89,3,0)*0.475*44/12</f>
        <v>6.9842706274027738E-21</v>
      </c>
      <c r="AC159" s="22">
        <f t="shared" si="163"/>
        <v>2.9205002498398023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3.9755889073092021E-3</v>
      </c>
      <c r="O160" s="13">
        <f>N160*VLOOKUP('Données projet'!$B$9,Paramètres!$A$1:$I$89,3,0)*VLOOKUP('Données projet'!$B$9,Paramètres!$A$1:$I$89,5,0)</f>
        <v>2.0218254947011681E-3</v>
      </c>
      <c r="P160" s="13">
        <f t="shared" si="141"/>
        <v>1.918258672927269E-3</v>
      </c>
      <c r="Q160" s="20">
        <f t="shared" si="162"/>
        <v>6.8623132586195278E-3</v>
      </c>
      <c r="R160" s="59">
        <f t="shared" si="109"/>
        <v>293.34019564659195</v>
      </c>
      <c r="S160" s="59">
        <f ca="1">AVERAGE(OFFSET($R$3,0,0,'Données projet'!$E$9+1,1))-AVERAGE(OFFSET($H$3,0,0,'Données projet'!$E$9+1,1))</f>
        <v>71.898749633453065</v>
      </c>
      <c r="T160" s="59">
        <f t="shared" si="142"/>
        <v>213.4524723740343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2.7348575403534747</v>
      </c>
      <c r="AA160" s="21">
        <f>EXP(-LN(2)/25)*AA159+(1-EXP(-LN(2)/25))/(LN(2)/25)*Calculateur!V160*Calculateur!X160*VLOOKUP('Données projet'!$B$9,Paramètres!$A$1:$I$89,3,0)*0.475*44/12</f>
        <v>0.12736056431362386</v>
      </c>
      <c r="AB160" s="21">
        <f>EXP(-LN(2)/2)*AB159+(1-EXP(-LN(2)/2))/(LN(2)/2)*V160*Y160*VLOOKUP('Données projet'!$B$9,Paramètres!$A$1:$I$89,3,0)*0.475*44/12</f>
        <v>4.9386251222785243E-21</v>
      </c>
      <c r="AC160" s="22">
        <f t="shared" si="163"/>
        <v>2.8622181046670985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3.9755889073092021E-3</v>
      </c>
      <c r="O161" s="13">
        <f>N161*VLOOKUP('Données projet'!$B$9,Paramètres!$A$1:$I$89,3,0)*VLOOKUP('Données projet'!$B$9,Paramètres!$A$1:$I$89,5,0)</f>
        <v>2.0218254947011681E-3</v>
      </c>
      <c r="P161" s="13">
        <f t="shared" si="141"/>
        <v>1.918258672927269E-3</v>
      </c>
      <c r="Q161" s="20">
        <f t="shared" si="162"/>
        <v>6.8623132586195278E-3</v>
      </c>
      <c r="R161" s="59">
        <f t="shared" si="109"/>
        <v>293.34019564659195</v>
      </c>
      <c r="S161" s="59">
        <f ca="1">AVERAGE(OFFSET($R$3,0,0,'Données projet'!$E$9+1,1))-AVERAGE(OFFSET($H$3,0,0,'Données projet'!$E$9+1,1))</f>
        <v>71.898749633453065</v>
      </c>
      <c r="T161" s="59">
        <f t="shared" si="142"/>
        <v>213.4524723740343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2.6812286520855317</v>
      </c>
      <c r="AA161" s="21">
        <f>EXP(-LN(2)/25)*AA160+(1-EXP(-LN(2)/25))/(LN(2)/25)*Calculateur!V161*Calculateur!X161*VLOOKUP('Données projet'!$B$9,Paramètres!$A$1:$I$89,3,0)*0.475*44/12</f>
        <v>0.12387788298486682</v>
      </c>
      <c r="AB161" s="21">
        <f>EXP(-LN(2)/2)*AB160+(1-EXP(-LN(2)/2))/(LN(2)/2)*V161*Y161*VLOOKUP('Données projet'!$B$9,Paramètres!$A$1:$I$89,3,0)*0.475*44/12</f>
        <v>3.4921353137013869E-21</v>
      </c>
      <c r="AC161" s="22">
        <f t="shared" si="163"/>
        <v>2.8051065350703985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3.9755889073092021E-3</v>
      </c>
      <c r="O162" s="13">
        <f>N162*VLOOKUP('Données projet'!$B$9,Paramètres!$A$1:$I$89,3,0)*VLOOKUP('Données projet'!$B$9,Paramètres!$A$1:$I$89,5,0)</f>
        <v>2.0218254947011681E-3</v>
      </c>
      <c r="P162" s="13">
        <f t="shared" si="141"/>
        <v>1.918258672927269E-3</v>
      </c>
      <c r="Q162" s="20">
        <f t="shared" si="162"/>
        <v>6.8623132586195278E-3</v>
      </c>
      <c r="R162" s="59">
        <f t="shared" si="109"/>
        <v>293.34019564659195</v>
      </c>
      <c r="S162" s="59">
        <f ca="1">AVERAGE(OFFSET($R$3,0,0,'Données projet'!$E$9+1,1))-AVERAGE(OFFSET($H$3,0,0,'Données projet'!$E$9+1,1))</f>
        <v>71.898749633453065</v>
      </c>
      <c r="T162" s="59">
        <f t="shared" si="142"/>
        <v>213.4524723740343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2.6286513936061309</v>
      </c>
      <c r="AA162" s="21">
        <f>EXP(-LN(2)/25)*AA161+(1-EXP(-LN(2)/25))/(LN(2)/25)*Calculateur!V162*Calculateur!X162*VLOOKUP('Données projet'!$B$9,Paramètres!$A$1:$I$89,3,0)*0.475*44/12</f>
        <v>0.1204904357601909</v>
      </c>
      <c r="AB162" s="21">
        <f>EXP(-LN(2)/2)*AB161+(1-EXP(-LN(2)/2))/(LN(2)/2)*V162*Y162*VLOOKUP('Données projet'!$B$9,Paramètres!$A$1:$I$89,3,0)*0.475*44/12</f>
        <v>2.4693125611392622E-21</v>
      </c>
      <c r="AC162" s="22">
        <f t="shared" si="163"/>
        <v>2.7491418293663217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3.9755889073092021E-3</v>
      </c>
      <c r="O163" s="13">
        <f>N163*VLOOKUP('Données projet'!$B$9,Paramètres!$A$1:$I$89,3,0)*VLOOKUP('Données projet'!$B$9,Paramètres!$A$1:$I$89,5,0)</f>
        <v>2.0218254947011681E-3</v>
      </c>
      <c r="P163" s="13">
        <f t="shared" si="141"/>
        <v>1.918258672927269E-3</v>
      </c>
      <c r="Q163" s="20">
        <f t="shared" si="162"/>
        <v>6.8623132586195278E-3</v>
      </c>
      <c r="R163" s="59">
        <f t="shared" si="109"/>
        <v>293.34019564659195</v>
      </c>
      <c r="S163" s="59">
        <f ca="1">AVERAGE(OFFSET($R$3,0,0,'Données projet'!$E$9+1,1))-AVERAGE(OFFSET($H$3,0,0,'Données projet'!$E$9+1,1))</f>
        <v>71.898749633453065</v>
      </c>
      <c r="T163" s="59">
        <f t="shared" si="142"/>
        <v>213.4524723740343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2.5771051430965501</v>
      </c>
      <c r="AA163" s="21">
        <f>EXP(-LN(2)/25)*AA162+(1-EXP(-LN(2)/25))/(LN(2)/25)*Calculateur!V163*Calculateur!X163*VLOOKUP('Données projet'!$B$9,Paramètres!$A$1:$I$89,3,0)*0.475*44/12</f>
        <v>0.11719561845801185</v>
      </c>
      <c r="AB163" s="21">
        <f>EXP(-LN(2)/2)*AB162+(1-EXP(-LN(2)/2))/(LN(2)/2)*V163*Y163*VLOOKUP('Données projet'!$B$9,Paramètres!$A$1:$I$89,3,0)*0.475*44/12</f>
        <v>1.7460676568506935E-21</v>
      </c>
      <c r="AC163" s="22">
        <f t="shared" si="163"/>
        <v>2.6943007615545618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3.9755889073092021E-3</v>
      </c>
      <c r="O164" s="13">
        <f>N164*VLOOKUP('Données projet'!$B$9,Paramètres!$A$1:$I$89,3,0)*VLOOKUP('Données projet'!$B$9,Paramètres!$A$1:$I$89,5,0)</f>
        <v>2.0218254947011681E-3</v>
      </c>
      <c r="P164" s="13">
        <f t="shared" si="141"/>
        <v>1.918258672927269E-3</v>
      </c>
      <c r="Q164" s="20">
        <f t="shared" si="162"/>
        <v>6.8623132586195278E-3</v>
      </c>
      <c r="R164" s="59">
        <f t="shared" si="109"/>
        <v>293.34019564659195</v>
      </c>
      <c r="S164" s="59">
        <f ca="1">AVERAGE(OFFSET($R$3,0,0,'Données projet'!$E$9+1,1))-AVERAGE(OFFSET($H$3,0,0,'Données projet'!$E$9+1,1))</f>
        <v>71.898749633453065</v>
      </c>
      <c r="T164" s="59">
        <f t="shared" si="142"/>
        <v>213.4524723740343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2.5265696831193538</v>
      </c>
      <c r="AA164" s="21">
        <f>EXP(-LN(2)/25)*AA163+(1-EXP(-LN(2)/25))/(LN(2)/25)*Calculateur!V164*Calculateur!X164*VLOOKUP('Données projet'!$B$9,Paramètres!$A$1:$I$89,3,0)*0.475*44/12</f>
        <v>0.1139908981082278</v>
      </c>
      <c r="AB164" s="21">
        <f>EXP(-LN(2)/2)*AB163+(1-EXP(-LN(2)/2))/(LN(2)/2)*V164*Y164*VLOOKUP('Données projet'!$B$9,Paramètres!$A$1:$I$89,3,0)*0.475*44/12</f>
        <v>1.2346562805696311E-21</v>
      </c>
      <c r="AC164" s="22">
        <f t="shared" si="163"/>
        <v>2.6405605812275814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3.9755889073092021E-3</v>
      </c>
      <c r="O165" s="13">
        <f>N165*VLOOKUP('Données projet'!$B$9,Paramètres!$A$1:$I$89,3,0)*VLOOKUP('Données projet'!$B$9,Paramètres!$A$1:$I$89,5,0)</f>
        <v>2.0218254947011681E-3</v>
      </c>
      <c r="P165" s="13">
        <f t="shared" si="141"/>
        <v>1.918258672927269E-3</v>
      </c>
      <c r="Q165" s="20">
        <f t="shared" si="162"/>
        <v>6.8623132586195278E-3</v>
      </c>
      <c r="R165" s="59">
        <f t="shared" si="109"/>
        <v>293.34019564659195</v>
      </c>
      <c r="S165" s="59">
        <f ca="1">AVERAGE(OFFSET($R$3,0,0,'Données projet'!$E$9+1,1))-AVERAGE(OFFSET($H$3,0,0,'Données projet'!$E$9+1,1))</f>
        <v>71.898749633453065</v>
      </c>
      <c r="T165" s="59">
        <f t="shared" si="142"/>
        <v>213.4524723740343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2.4770251926887235</v>
      </c>
      <c r="AA165" s="21">
        <f>EXP(-LN(2)/25)*AA164+(1-EXP(-LN(2)/25))/(LN(2)/25)*Calculateur!V165*Calculateur!X165*VLOOKUP('Données projet'!$B$9,Paramètres!$A$1:$I$89,3,0)*0.475*44/12</f>
        <v>0.1108738110049375</v>
      </c>
      <c r="AB165" s="21">
        <f>EXP(-LN(2)/2)*AB164+(1-EXP(-LN(2)/2))/(LN(2)/2)*V165*Y165*VLOOKUP('Données projet'!$B$9,Paramètres!$A$1:$I$89,3,0)*0.475*44/12</f>
        <v>8.7303382842534673E-22</v>
      </c>
      <c r="AC165" s="22">
        <f t="shared" si="163"/>
        <v>2.5878990036936611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3.9755889073092021E-3</v>
      </c>
      <c r="O166" s="13">
        <f>N166*VLOOKUP('Données projet'!$B$9,Paramètres!$A$1:$I$89,3,0)*VLOOKUP('Données projet'!$B$9,Paramètres!$A$1:$I$89,5,0)</f>
        <v>2.0218254947011681E-3</v>
      </c>
      <c r="P166" s="13">
        <f t="shared" si="141"/>
        <v>1.918258672927269E-3</v>
      </c>
      <c r="Q166" s="20">
        <f t="shared" si="162"/>
        <v>6.8623132586195278E-3</v>
      </c>
      <c r="R166" s="59">
        <f t="shared" si="109"/>
        <v>293.34019564659195</v>
      </c>
      <c r="S166" s="59">
        <f ca="1">AVERAGE(OFFSET($R$3,0,0,'Données projet'!$E$9+1,1))-AVERAGE(OFFSET($H$3,0,0,'Données projet'!$E$9+1,1))</f>
        <v>71.898749633453065</v>
      </c>
      <c r="T166" s="59">
        <f t="shared" si="142"/>
        <v>213.4524723740343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2.4284522394962824</v>
      </c>
      <c r="AA166" s="21">
        <f>EXP(-LN(2)/25)*AA165+(1-EXP(-LN(2)/25))/(LN(2)/25)*Calculateur!V166*Calculateur!X166*VLOOKUP('Données projet'!$B$9,Paramètres!$A$1:$I$89,3,0)*0.475*44/12</f>
        <v>0.10784196081240717</v>
      </c>
      <c r="AB166" s="21">
        <f>EXP(-LN(2)/2)*AB165+(1-EXP(-LN(2)/2))/(LN(2)/2)*V166*Y166*VLOOKUP('Données projet'!$B$9,Paramètres!$A$1:$I$89,3,0)*0.475*44/12</f>
        <v>6.1732814028481554E-22</v>
      </c>
      <c r="AC166" s="22">
        <f t="shared" si="163"/>
        <v>2.5362942003086895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3.9755889073092021E-3</v>
      </c>
      <c r="O167" s="13">
        <f>N167*VLOOKUP('Données projet'!$B$9,Paramètres!$A$1:$I$89,3,0)*VLOOKUP('Données projet'!$B$9,Paramètres!$A$1:$I$89,5,0)</f>
        <v>2.0218254947011681E-3</v>
      </c>
      <c r="P167" s="13">
        <f t="shared" si="141"/>
        <v>1.918258672927269E-3</v>
      </c>
      <c r="Q167" s="20">
        <f t="shared" si="162"/>
        <v>6.8623132586195278E-3</v>
      </c>
      <c r="R167" s="59">
        <f t="shared" si="109"/>
        <v>293.34019564659195</v>
      </c>
      <c r="S167" s="59">
        <f ca="1">AVERAGE(OFFSET($R$3,0,0,'Données projet'!$E$9+1,1))-AVERAGE(OFFSET($H$3,0,0,'Données projet'!$E$9+1,1))</f>
        <v>71.898749633453065</v>
      </c>
      <c r="T167" s="59">
        <f t="shared" si="142"/>
        <v>213.4524723740343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2.380831772289369</v>
      </c>
      <c r="AA167" s="21">
        <f>EXP(-LN(2)/25)*AA166+(1-EXP(-LN(2)/25))/(LN(2)/25)*Calculateur!V167*Calculateur!X167*VLOOKUP('Données projet'!$B$9,Paramètres!$A$1:$I$89,3,0)*0.475*44/12</f>
        <v>0.10489301672282965</v>
      </c>
      <c r="AB167" s="21">
        <f>EXP(-LN(2)/2)*AB166+(1-EXP(-LN(2)/2))/(LN(2)/2)*V167*Y167*VLOOKUP('Données projet'!$B$9,Paramètres!$A$1:$I$89,3,0)*0.475*44/12</f>
        <v>4.3651691421267336E-22</v>
      </c>
      <c r="AC167" s="22">
        <f t="shared" si="163"/>
        <v>2.4857247890121985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3.9755889073092021E-3</v>
      </c>
      <c r="O168" s="13">
        <f>N168*VLOOKUP('Données projet'!$B$9,Paramètres!$A$1:$I$89,3,0)*VLOOKUP('Données projet'!$B$9,Paramètres!$A$1:$I$89,5,0)</f>
        <v>2.0218254947011681E-3</v>
      </c>
      <c r="P168" s="13">
        <f t="shared" si="141"/>
        <v>1.918258672927269E-3</v>
      </c>
      <c r="Q168" s="20">
        <f t="shared" si="162"/>
        <v>6.8623132586195278E-3</v>
      </c>
      <c r="R168" s="59">
        <f t="shared" si="109"/>
        <v>293.34019564659195</v>
      </c>
      <c r="S168" s="59">
        <f ca="1">AVERAGE(OFFSET($R$3,0,0,'Données projet'!$E$9+1,1))-AVERAGE(OFFSET($H$3,0,0,'Données projet'!$E$9+1,1))</f>
        <v>71.898749633453065</v>
      </c>
      <c r="T168" s="59">
        <f t="shared" si="142"/>
        <v>213.4524723740343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2.3341451133987663</v>
      </c>
      <c r="AA168" s="21">
        <f>EXP(-LN(2)/25)*AA167+(1-EXP(-LN(2)/25))/(LN(2)/25)*Calculateur!V168*Calculateur!X168*VLOOKUP('Données projet'!$B$9,Paramètres!$A$1:$I$89,3,0)*0.475*44/12</f>
        <v>0.10202471166445985</v>
      </c>
      <c r="AB168" s="21">
        <f>EXP(-LN(2)/2)*AB167+(1-EXP(-LN(2)/2))/(LN(2)/2)*V168*Y168*VLOOKUP('Données projet'!$B$9,Paramètres!$A$1:$I$89,3,0)*0.475*44/12</f>
        <v>3.0866407014240777E-22</v>
      </c>
      <c r="AC168" s="22">
        <f t="shared" si="163"/>
        <v>2.4361698250632262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3.9755889073092021E-3</v>
      </c>
      <c r="O169" s="13">
        <f>N169*VLOOKUP('Données projet'!$B$9,Paramètres!$A$1:$I$89,3,0)*VLOOKUP('Données projet'!$B$9,Paramètres!$A$1:$I$89,5,0)</f>
        <v>2.0218254947011681E-3</v>
      </c>
      <c r="P169" s="13">
        <f t="shared" si="141"/>
        <v>1.918258672927269E-3</v>
      </c>
      <c r="Q169" s="20">
        <f t="shared" si="162"/>
        <v>6.8623132586195278E-3</v>
      </c>
      <c r="R169" s="59">
        <f t="shared" si="109"/>
        <v>293.34019564659195</v>
      </c>
      <c r="S169" s="59">
        <f ca="1">AVERAGE(OFFSET($R$3,0,0,'Données projet'!$E$9+1,1))-AVERAGE(OFFSET($H$3,0,0,'Données projet'!$E$9+1,1))</f>
        <v>71.898749633453065</v>
      </c>
      <c r="T169" s="59">
        <f t="shared" si="142"/>
        <v>213.4524723740343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2.2883739514129582</v>
      </c>
      <c r="AA169" s="21">
        <f>EXP(-LN(2)/25)*AA168+(1-EXP(-LN(2)/25))/(LN(2)/25)*Calculateur!V169*Calculateur!X169*VLOOKUP('Données projet'!$B$9,Paramètres!$A$1:$I$89,3,0)*0.475*44/12</f>
        <v>9.9234840558748788E-2</v>
      </c>
      <c r="AB169" s="21">
        <f>EXP(-LN(2)/2)*AB168+(1-EXP(-LN(2)/2))/(LN(2)/2)*V169*Y169*VLOOKUP('Données projet'!$B$9,Paramètres!$A$1:$I$89,3,0)*0.475*44/12</f>
        <v>2.1825845710633668E-22</v>
      </c>
      <c r="AC169" s="22">
        <f t="shared" si="163"/>
        <v>2.3876087919717071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3.9755889073092021E-3</v>
      </c>
      <c r="O170" s="13">
        <f>N170*VLOOKUP('Données projet'!$B$9,Paramètres!$A$1:$I$89,3,0)*VLOOKUP('Données projet'!$B$9,Paramètres!$A$1:$I$89,5,0)</f>
        <v>2.0218254947011681E-3</v>
      </c>
      <c r="P170" s="13">
        <f t="shared" si="141"/>
        <v>1.918258672927269E-3</v>
      </c>
      <c r="Q170" s="20">
        <f t="shared" si="162"/>
        <v>6.8623132586195278E-3</v>
      </c>
      <c r="R170" s="59">
        <f t="shared" si="109"/>
        <v>293.34019564659195</v>
      </c>
      <c r="S170" s="59">
        <f ca="1">AVERAGE(OFFSET($R$3,0,0,'Données projet'!$E$9+1,1))-AVERAGE(OFFSET($H$3,0,0,'Données projet'!$E$9+1,1))</f>
        <v>71.898749633453065</v>
      </c>
      <c r="T170" s="59">
        <f t="shared" si="142"/>
        <v>213.4524723740343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2.2435003339960398</v>
      </c>
      <c r="AA170" s="21">
        <f>EXP(-LN(2)/25)*AA169+(1-EXP(-LN(2)/25))/(LN(2)/25)*Calculateur!V170*Calculateur!X170*VLOOKUP('Données projet'!$B$9,Paramètres!$A$1:$I$89,3,0)*0.475*44/12</f>
        <v>9.6521258625136344E-2</v>
      </c>
      <c r="AB170" s="21">
        <f>EXP(-LN(2)/2)*AB169+(1-EXP(-LN(2)/2))/(LN(2)/2)*V170*Y170*VLOOKUP('Données projet'!$B$9,Paramètres!$A$1:$I$89,3,0)*0.475*44/12</f>
        <v>1.5433203507120389E-22</v>
      </c>
      <c r="AC170" s="22">
        <f t="shared" si="163"/>
        <v>2.3400215926211763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3.9755889073092021E-3</v>
      </c>
      <c r="O171" s="13">
        <f>N171*VLOOKUP('Données projet'!$B$9,Paramètres!$A$1:$I$89,3,0)*VLOOKUP('Données projet'!$B$9,Paramètres!$A$1:$I$89,5,0)</f>
        <v>2.0218254947011681E-3</v>
      </c>
      <c r="P171" s="13">
        <f t="shared" si="141"/>
        <v>1.918258672927269E-3</v>
      </c>
      <c r="Q171" s="20">
        <f t="shared" si="162"/>
        <v>6.8623132586195278E-3</v>
      </c>
      <c r="R171" s="59">
        <f t="shared" si="109"/>
        <v>293.34019564659195</v>
      </c>
      <c r="S171" s="59">
        <f ca="1">AVERAGE(OFFSET($R$3,0,0,'Données projet'!$E$9+1,1))-AVERAGE(OFFSET($H$3,0,0,'Données projet'!$E$9+1,1))</f>
        <v>71.898749633453065</v>
      </c>
      <c r="T171" s="59">
        <f t="shared" si="142"/>
        <v>213.4524723740343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2.1995066608464628</v>
      </c>
      <c r="AA171" s="21">
        <f>EXP(-LN(2)/25)*AA170+(1-EXP(-LN(2)/25))/(LN(2)/25)*Calculateur!V171*Calculateur!X171*VLOOKUP('Données projet'!$B$9,Paramètres!$A$1:$I$89,3,0)*0.475*44/12</f>
        <v>9.3881879732199608E-2</v>
      </c>
      <c r="AB171" s="21">
        <f>EXP(-LN(2)/2)*AB170+(1-EXP(-LN(2)/2))/(LN(2)/2)*V171*Y171*VLOOKUP('Données projet'!$B$9,Paramètres!$A$1:$I$89,3,0)*0.475*44/12</f>
        <v>1.0912922855316834E-22</v>
      </c>
      <c r="AC171" s="22">
        <f t="shared" si="163"/>
        <v>2.2933885405786625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3.9755889073092021E-3</v>
      </c>
      <c r="O172" s="13">
        <f>N172*VLOOKUP('Données projet'!$B$9,Paramètres!$A$1:$I$89,3,0)*VLOOKUP('Données projet'!$B$9,Paramètres!$A$1:$I$89,5,0)</f>
        <v>2.0218254947011681E-3</v>
      </c>
      <c r="P172" s="13">
        <f t="shared" si="141"/>
        <v>1.918258672927269E-3</v>
      </c>
      <c r="Q172" s="20">
        <f t="shared" si="162"/>
        <v>6.8623132586195278E-3</v>
      </c>
      <c r="R172" s="59">
        <f t="shared" si="109"/>
        <v>293.34019564659195</v>
      </c>
      <c r="S172" s="59">
        <f ca="1">AVERAGE(OFFSET($R$3,0,0,'Données projet'!$E$9+1,1))-AVERAGE(OFFSET($H$3,0,0,'Données projet'!$E$9+1,1))</f>
        <v>71.898749633453065</v>
      </c>
      <c r="T172" s="59">
        <f t="shared" si="142"/>
        <v>213.4524723740343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2.156375676793858</v>
      </c>
      <c r="AA172" s="21">
        <f>EXP(-LN(2)/25)*AA171+(1-EXP(-LN(2)/25))/(LN(2)/25)*Calculateur!V172*Calculateur!X172*VLOOKUP('Données projet'!$B$9,Paramètres!$A$1:$I$89,3,0)*0.475*44/12</f>
        <v>9.131467479388912E-2</v>
      </c>
      <c r="AB172" s="21">
        <f>EXP(-LN(2)/2)*AB171+(1-EXP(-LN(2)/2))/(LN(2)/2)*V172*Y172*VLOOKUP('Données projet'!$B$9,Paramètres!$A$1:$I$89,3,0)*0.475*44/12</f>
        <v>7.7166017535601943E-23</v>
      </c>
      <c r="AC172" s="22">
        <f t="shared" si="163"/>
        <v>2.2476903515877473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3.9755889073092021E-3</v>
      </c>
      <c r="O173" s="13">
        <f>N173*VLOOKUP('Données projet'!$B$9,Paramètres!$A$1:$I$89,3,0)*VLOOKUP('Données projet'!$B$9,Paramètres!$A$1:$I$89,5,0)</f>
        <v>2.0218254947011681E-3</v>
      </c>
      <c r="P173" s="13">
        <f t="shared" si="141"/>
        <v>1.918258672927269E-3</v>
      </c>
      <c r="Q173" s="20">
        <f t="shared" si="162"/>
        <v>6.8623132586195278E-3</v>
      </c>
      <c r="R173" s="59">
        <f t="shared" si="109"/>
        <v>293.34019564659195</v>
      </c>
      <c r="S173" s="59">
        <f ca="1">AVERAGE(OFFSET($R$3,0,0,'Données projet'!$E$9+1,1))-AVERAGE(OFFSET($H$3,0,0,'Données projet'!$E$9+1,1))</f>
        <v>71.898749633453065</v>
      </c>
      <c r="T173" s="59">
        <f t="shared" si="142"/>
        <v>213.4524723740343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2.114090465031222</v>
      </c>
      <c r="AA173" s="21">
        <f>EXP(-LN(2)/25)*AA172+(1-EXP(-LN(2)/25))/(LN(2)/25)*Calculateur!V173*Calculateur!X173*VLOOKUP('Données projet'!$B$9,Paramètres!$A$1:$I$89,3,0)*0.475*44/12</f>
        <v>8.881767020962017E-2</v>
      </c>
      <c r="AB173" s="21">
        <f>EXP(-LN(2)/2)*AB172+(1-EXP(-LN(2)/2))/(LN(2)/2)*V173*Y173*VLOOKUP('Données projet'!$B$9,Paramètres!$A$1:$I$89,3,0)*0.475*44/12</f>
        <v>5.4564614276584171E-23</v>
      </c>
      <c r="AC173" s="22">
        <f t="shared" si="163"/>
        <v>2.2029081352408424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3.9755889073092021E-3</v>
      </c>
      <c r="O174" s="13">
        <f>N174*VLOOKUP('Données projet'!$B$9,Paramètres!$A$1:$I$89,3,0)*VLOOKUP('Données projet'!$B$9,Paramètres!$A$1:$I$89,5,0)</f>
        <v>2.0218254947011681E-3</v>
      </c>
      <c r="P174" s="13">
        <f t="shared" si="141"/>
        <v>1.918258672927269E-3</v>
      </c>
      <c r="Q174" s="20">
        <f t="shared" si="162"/>
        <v>6.8623132586195278E-3</v>
      </c>
      <c r="R174" s="59">
        <f t="shared" si="109"/>
        <v>293.34019564659195</v>
      </c>
      <c r="S174" s="59">
        <f ca="1">AVERAGE(OFFSET($R$3,0,0,'Données projet'!$E$9+1,1))-AVERAGE(OFFSET($H$3,0,0,'Données projet'!$E$9+1,1))</f>
        <v>71.898749633453065</v>
      </c>
      <c r="T174" s="59">
        <f t="shared" si="142"/>
        <v>213.4524723740343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2.0726344404798192</v>
      </c>
      <c r="AA174" s="21">
        <f>EXP(-LN(2)/25)*AA173+(1-EXP(-LN(2)/25))/(LN(2)/25)*Calculateur!V174*Calculateur!X174*VLOOKUP('Données projet'!$B$9,Paramètres!$A$1:$I$89,3,0)*0.475*44/12</f>
        <v>8.6388946347019824E-2</v>
      </c>
      <c r="AB174" s="21">
        <f>EXP(-LN(2)/2)*AB173+(1-EXP(-LN(2)/2))/(LN(2)/2)*V174*Y174*VLOOKUP('Données projet'!$B$9,Paramètres!$A$1:$I$89,3,0)*0.475*44/12</f>
        <v>3.8583008767800971E-23</v>
      </c>
      <c r="AC174" s="22">
        <f t="shared" si="163"/>
        <v>2.1590233868268389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3.9755889073092021E-3</v>
      </c>
      <c r="O175" s="13">
        <f>N175*VLOOKUP('Données projet'!$B$9,Paramètres!$A$1:$I$89,3,0)*VLOOKUP('Données projet'!$B$9,Paramètres!$A$1:$I$89,5,0)</f>
        <v>2.0218254947011681E-3</v>
      </c>
      <c r="P175" s="13">
        <f t="shared" si="141"/>
        <v>1.918258672927269E-3</v>
      </c>
      <c r="Q175" s="20">
        <f t="shared" si="162"/>
        <v>6.8623132586195278E-3</v>
      </c>
      <c r="R175" s="59">
        <f t="shared" si="109"/>
        <v>293.34019564659195</v>
      </c>
      <c r="S175" s="59">
        <f ca="1">AVERAGE(OFFSET($R$3,0,0,'Données projet'!$E$9+1,1))-AVERAGE(OFFSET($H$3,0,0,'Données projet'!$E$9+1,1))</f>
        <v>71.898749633453065</v>
      </c>
      <c r="T175" s="59">
        <f t="shared" si="142"/>
        <v>213.4524723740343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2.031991343284191</v>
      </c>
      <c r="AA175" s="21">
        <f>EXP(-LN(2)/25)*AA174+(1-EXP(-LN(2)/25))/(LN(2)/25)*Calculateur!V175*Calculateur!X175*VLOOKUP('Données projet'!$B$9,Paramètres!$A$1:$I$89,3,0)*0.475*44/12</f>
        <v>8.4026636066163327E-2</v>
      </c>
      <c r="AB175" s="21">
        <f>EXP(-LN(2)/2)*AB174+(1-EXP(-LN(2)/2))/(LN(2)/2)*V175*Y175*VLOOKUP('Données projet'!$B$9,Paramètres!$A$1:$I$89,3,0)*0.475*44/12</f>
        <v>2.7282307138292085E-23</v>
      </c>
      <c r="AC175" s="22">
        <f t="shared" si="163"/>
        <v>2.1160179793503544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3.9755889073092021E-3</v>
      </c>
      <c r="O176" s="13">
        <f>N176*VLOOKUP('Données projet'!$B$9,Paramètres!$A$1:$I$89,3,0)*VLOOKUP('Données projet'!$B$9,Paramètres!$A$1:$I$89,5,0)</f>
        <v>2.0218254947011681E-3</v>
      </c>
      <c r="P176" s="13">
        <f t="shared" si="141"/>
        <v>1.918258672927269E-3</v>
      </c>
      <c r="Q176" s="20">
        <f t="shared" si="162"/>
        <v>6.8623132586195278E-3</v>
      </c>
      <c r="R176" s="59">
        <f t="shared" si="109"/>
        <v>293.34019564659195</v>
      </c>
      <c r="S176" s="59">
        <f ca="1">AVERAGE(OFFSET($R$3,0,0,'Données projet'!$E$9+1,1))-AVERAGE(OFFSET($H$3,0,0,'Données projet'!$E$9+1,1))</f>
        <v>71.898749633453065</v>
      </c>
      <c r="T176" s="59">
        <f t="shared" si="142"/>
        <v>213.4524723740343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1.9921452324347275</v>
      </c>
      <c r="AA176" s="21">
        <f>EXP(-LN(2)/25)*AA175+(1-EXP(-LN(2)/25))/(LN(2)/25)*Calculateur!V176*Calculateur!X176*VLOOKUP('Données projet'!$B$9,Paramètres!$A$1:$I$89,3,0)*0.475*44/12</f>
        <v>8.1728923284165339E-2</v>
      </c>
      <c r="AB176" s="21">
        <f>EXP(-LN(2)/2)*AB175+(1-EXP(-LN(2)/2))/(LN(2)/2)*V176*Y176*VLOOKUP('Données projet'!$B$9,Paramètres!$A$1:$I$89,3,0)*0.475*44/12</f>
        <v>1.9291504383900486E-23</v>
      </c>
      <c r="AC176" s="22">
        <f t="shared" si="163"/>
        <v>2.0738741557188929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3.9755889073092021E-3</v>
      </c>
      <c r="O177" s="13">
        <f>N177*VLOOKUP('Données projet'!$B$9,Paramètres!$A$1:$I$89,3,0)*VLOOKUP('Données projet'!$B$9,Paramètres!$A$1:$I$89,5,0)</f>
        <v>2.0218254947011681E-3</v>
      </c>
      <c r="P177" s="13">
        <f t="shared" si="141"/>
        <v>1.918258672927269E-3</v>
      </c>
      <c r="Q177" s="20">
        <f t="shared" si="162"/>
        <v>6.8623132586195278E-3</v>
      </c>
      <c r="R177" s="59">
        <f t="shared" si="109"/>
        <v>293.34019564659195</v>
      </c>
      <c r="S177" s="59">
        <f ca="1">AVERAGE(OFFSET($R$3,0,0,'Données projet'!$E$9+1,1))-AVERAGE(OFFSET($H$3,0,0,'Données projet'!$E$9+1,1))</f>
        <v>71.898749633453065</v>
      </c>
      <c r="T177" s="59">
        <f t="shared" si="142"/>
        <v>213.4524723740343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1.9530804795152943</v>
      </c>
      <c r="AA177" s="21">
        <f>EXP(-LN(2)/25)*AA176+(1-EXP(-LN(2)/25))/(LN(2)/25)*Calculateur!V177*Calculateur!X177*VLOOKUP('Données projet'!$B$9,Paramètres!$A$1:$I$89,3,0)*0.475*44/12</f>
        <v>7.9494041579022554E-2</v>
      </c>
      <c r="AB177" s="21">
        <f>EXP(-LN(2)/2)*AB176+(1-EXP(-LN(2)/2))/(LN(2)/2)*V177*Y177*VLOOKUP('Données projet'!$B$9,Paramètres!$A$1:$I$89,3,0)*0.475*44/12</f>
        <v>1.3641153569146043E-23</v>
      </c>
      <c r="AC177" s="22">
        <f t="shared" si="163"/>
        <v>2.0325745210943169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3.9755889073092021E-3</v>
      </c>
      <c r="O178" s="13">
        <f>N178*VLOOKUP('Données projet'!$B$9,Paramètres!$A$1:$I$89,3,0)*VLOOKUP('Données projet'!$B$9,Paramètres!$A$1:$I$89,5,0)</f>
        <v>2.0218254947011681E-3</v>
      </c>
      <c r="P178" s="13">
        <f t="shared" si="141"/>
        <v>1.918258672927269E-3</v>
      </c>
      <c r="Q178" s="20">
        <f t="shared" si="162"/>
        <v>6.8623132586195278E-3</v>
      </c>
      <c r="R178" s="59">
        <f t="shared" si="109"/>
        <v>293.34019564659195</v>
      </c>
      <c r="S178" s="59">
        <f ca="1">AVERAGE(OFFSET($R$3,0,0,'Données projet'!$E$9+1,1))-AVERAGE(OFFSET($H$3,0,0,'Données projet'!$E$9+1,1))</f>
        <v>71.898749633453065</v>
      </c>
      <c r="T178" s="59">
        <f t="shared" si="142"/>
        <v>213.4524723740343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1.9147817625734647</v>
      </c>
      <c r="AA178" s="21">
        <f>EXP(-LN(2)/25)*AA177+(1-EXP(-LN(2)/25))/(LN(2)/25)*Calculateur!V178*Calculateur!X178*VLOOKUP('Données projet'!$B$9,Paramètres!$A$1:$I$89,3,0)*0.475*44/12</f>
        <v>7.7320272831634215E-2</v>
      </c>
      <c r="AB178" s="21">
        <f>EXP(-LN(2)/2)*AB177+(1-EXP(-LN(2)/2))/(LN(2)/2)*V178*Y178*VLOOKUP('Données projet'!$B$9,Paramètres!$A$1:$I$89,3,0)*0.475*44/12</f>
        <v>9.6457521919502429E-24</v>
      </c>
      <c r="AC178" s="22">
        <f t="shared" si="163"/>
        <v>1.9921020354050989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3.9755889073092021E-3</v>
      </c>
      <c r="O179" s="13">
        <f>N179*VLOOKUP('Données projet'!$B$9,Paramètres!$A$1:$I$89,3,0)*VLOOKUP('Données projet'!$B$9,Paramètres!$A$1:$I$89,5,0)</f>
        <v>2.0218254947011681E-3</v>
      </c>
      <c r="P179" s="13">
        <f t="shared" si="141"/>
        <v>1.918258672927269E-3</v>
      </c>
      <c r="Q179" s="20">
        <f t="shared" si="162"/>
        <v>6.8623132586195278E-3</v>
      </c>
      <c r="R179" s="59">
        <f t="shared" si="109"/>
        <v>293.34019564659195</v>
      </c>
      <c r="S179" s="59">
        <f ca="1">AVERAGE(OFFSET($R$3,0,0,'Données projet'!$E$9+1,1))-AVERAGE(OFFSET($H$3,0,0,'Données projet'!$E$9+1,1))</f>
        <v>71.898749633453065</v>
      </c>
      <c r="T179" s="59">
        <f t="shared" si="142"/>
        <v>213.4524723740343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1.8772340601109534</v>
      </c>
      <c r="AA179" s="21">
        <f>EXP(-LN(2)/25)*AA178+(1-EXP(-LN(2)/25))/(LN(2)/25)*Calculateur!V179*Calculateur!X179*VLOOKUP('Données projet'!$B$9,Paramètres!$A$1:$I$89,3,0)*0.475*44/12</f>
        <v>7.5205945904956745E-2</v>
      </c>
      <c r="AB179" s="21">
        <f>EXP(-LN(2)/2)*AB178+(1-EXP(-LN(2)/2))/(LN(2)/2)*V179*Y179*VLOOKUP('Données projet'!$B$9,Paramètres!$A$1:$I$89,3,0)*0.475*44/12</f>
        <v>6.8205767845730213E-24</v>
      </c>
      <c r="AC179" s="22">
        <f t="shared" si="163"/>
        <v>1.9524400060159102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3.9755889073092021E-3</v>
      </c>
      <c r="O180" s="13">
        <f>N180*VLOOKUP('Données projet'!$B$9,Paramètres!$A$1:$I$89,3,0)*VLOOKUP('Données projet'!$B$9,Paramètres!$A$1:$I$89,5,0)</f>
        <v>2.0218254947011681E-3</v>
      </c>
      <c r="P180" s="13">
        <f t="shared" si="141"/>
        <v>1.918258672927269E-3</v>
      </c>
      <c r="Q180" s="20">
        <f t="shared" si="162"/>
        <v>6.8623132586195278E-3</v>
      </c>
      <c r="R180" s="59">
        <f t="shared" si="109"/>
        <v>293.34019564659195</v>
      </c>
      <c r="S180" s="59">
        <f ca="1">AVERAGE(OFFSET($R$3,0,0,'Données projet'!$E$9+1,1))-AVERAGE(OFFSET($H$3,0,0,'Données projet'!$E$9+1,1))</f>
        <v>71.898749633453065</v>
      </c>
      <c r="T180" s="59">
        <f t="shared" si="142"/>
        <v>213.4524723740343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1.840422645191895</v>
      </c>
      <c r="AA180" s="21">
        <f>EXP(-LN(2)/25)*AA179+(1-EXP(-LN(2)/25))/(LN(2)/25)*Calculateur!V180*Calculateur!X180*VLOOKUP('Données projet'!$B$9,Paramètres!$A$1:$I$89,3,0)*0.475*44/12</f>
        <v>7.3149435359276899E-2</v>
      </c>
      <c r="AB180" s="21">
        <f>EXP(-LN(2)/2)*AB179+(1-EXP(-LN(2)/2))/(LN(2)/2)*V180*Y180*VLOOKUP('Données projet'!$B$9,Paramètres!$A$1:$I$89,3,0)*0.475*44/12</f>
        <v>4.8228760959751214E-24</v>
      </c>
      <c r="AC180" s="22">
        <f t="shared" si="163"/>
        <v>1.913572080551172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3.9755889073092021E-3</v>
      </c>
      <c r="O181" s="13">
        <f>N181*VLOOKUP('Données projet'!$B$9,Paramètres!$A$1:$I$89,3,0)*VLOOKUP('Données projet'!$B$9,Paramètres!$A$1:$I$89,5,0)</f>
        <v>2.0218254947011681E-3</v>
      </c>
      <c r="P181" s="13">
        <f t="shared" si="141"/>
        <v>1.918258672927269E-3</v>
      </c>
      <c r="Q181" s="20">
        <f t="shared" si="162"/>
        <v>6.8623132586195278E-3</v>
      </c>
      <c r="R181" s="59">
        <f t="shared" si="109"/>
        <v>293.34019564659195</v>
      </c>
      <c r="S181" s="59">
        <f ca="1">AVERAGE(OFFSET($R$3,0,0,'Données projet'!$E$9+1,1))-AVERAGE(OFFSET($H$3,0,0,'Données projet'!$E$9+1,1))</f>
        <v>71.898749633453065</v>
      </c>
      <c r="T181" s="59">
        <f t="shared" si="142"/>
        <v>213.4524723740343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1.8043330796666532</v>
      </c>
      <c r="AA181" s="21">
        <f>EXP(-LN(2)/25)*AA180+(1-EXP(-LN(2)/25))/(LN(2)/25)*Calculateur!V181*Calculateur!X181*VLOOKUP('Données projet'!$B$9,Paramètres!$A$1:$I$89,3,0)*0.475*44/12</f>
        <v>7.1149160202615858E-2</v>
      </c>
      <c r="AB181" s="21">
        <f>EXP(-LN(2)/2)*AB180+(1-EXP(-LN(2)/2))/(LN(2)/2)*V181*Y181*VLOOKUP('Données projet'!$B$9,Paramètres!$A$1:$I$89,3,0)*0.475*44/12</f>
        <v>3.4102883922865107E-24</v>
      </c>
      <c r="AC181" s="22">
        <f t="shared" si="163"/>
        <v>1.8754822398692692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3.9755889073092021E-3</v>
      </c>
      <c r="O182" s="13">
        <f>N182*VLOOKUP('Données projet'!$B$9,Paramètres!$A$1:$I$89,3,0)*VLOOKUP('Données projet'!$B$9,Paramètres!$A$1:$I$89,5,0)</f>
        <v>2.0218254947011681E-3</v>
      </c>
      <c r="P182" s="13">
        <f t="shared" si="141"/>
        <v>1.918258672927269E-3</v>
      </c>
      <c r="Q182" s="20">
        <f t="shared" si="162"/>
        <v>6.8623132586195278E-3</v>
      </c>
      <c r="R182" s="59">
        <f t="shared" si="109"/>
        <v>293.34019564659195</v>
      </c>
      <c r="S182" s="59">
        <f ca="1">AVERAGE(OFFSET($R$3,0,0,'Données projet'!$E$9+1,1))-AVERAGE(OFFSET($H$3,0,0,'Données projet'!$E$9+1,1))</f>
        <v>71.898749633453065</v>
      </c>
      <c r="T182" s="59">
        <f t="shared" si="142"/>
        <v>213.4524723740343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1.7689512085089001</v>
      </c>
      <c r="AA182" s="21">
        <f>EXP(-LN(2)/25)*AA181+(1-EXP(-LN(2)/25))/(LN(2)/25)*Calculateur!V182*Calculateur!X182*VLOOKUP('Données projet'!$B$9,Paramètres!$A$1:$I$89,3,0)*0.475*44/12</f>
        <v>6.9203582675303604E-2</v>
      </c>
      <c r="AB182" s="21">
        <f>EXP(-LN(2)/2)*AB181+(1-EXP(-LN(2)/2))/(LN(2)/2)*V182*Y182*VLOOKUP('Données projet'!$B$9,Paramètres!$A$1:$I$89,3,0)*0.475*44/12</f>
        <v>2.4114380479875607E-24</v>
      </c>
      <c r="AC182" s="22">
        <f t="shared" si="163"/>
        <v>1.8381547911842038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3.9755889073092021E-3</v>
      </c>
      <c r="O183" s="13">
        <f>N183*VLOOKUP('Données projet'!$B$9,Paramètres!$A$1:$I$89,3,0)*VLOOKUP('Données projet'!$B$9,Paramètres!$A$1:$I$89,5,0)</f>
        <v>2.0218254947011681E-3</v>
      </c>
      <c r="P183" s="13">
        <f t="shared" si="141"/>
        <v>1.918258672927269E-3</v>
      </c>
      <c r="Q183" s="20">
        <f t="shared" si="162"/>
        <v>6.8623132586195278E-3</v>
      </c>
      <c r="R183" s="59">
        <f t="shared" si="109"/>
        <v>293.34019564659195</v>
      </c>
      <c r="S183" s="59">
        <f ca="1">AVERAGE(OFFSET($R$3,0,0,'Données projet'!$E$9+1,1))-AVERAGE(OFFSET($H$3,0,0,'Données projet'!$E$9+1,1))</f>
        <v>71.898749633453065</v>
      </c>
      <c r="T183" s="59">
        <f t="shared" si="142"/>
        <v>213.4524723740343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1.7342631542637399</v>
      </c>
      <c r="AA183" s="21">
        <f>EXP(-LN(2)/25)*AA182+(1-EXP(-LN(2)/25))/(LN(2)/25)*Calculateur!V183*Calculateur!X183*VLOOKUP('Données projet'!$B$9,Paramètres!$A$1:$I$89,3,0)*0.475*44/12</f>
        <v>6.7311207067789175E-2</v>
      </c>
      <c r="AB183" s="21">
        <f>EXP(-LN(2)/2)*AB182+(1-EXP(-LN(2)/2))/(LN(2)/2)*V183*Y183*VLOOKUP('Données projet'!$B$9,Paramètres!$A$1:$I$89,3,0)*0.475*44/12</f>
        <v>1.7051441961432553E-24</v>
      </c>
      <c r="AC183" s="22">
        <f t="shared" si="163"/>
        <v>1.8015743613315292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3.9755889073092021E-3</v>
      </c>
      <c r="O184" s="13">
        <f>N184*VLOOKUP('Données projet'!$B$9,Paramètres!$A$1:$I$89,3,0)*VLOOKUP('Données projet'!$B$9,Paramètres!$A$1:$I$89,5,0)</f>
        <v>2.0218254947011681E-3</v>
      </c>
      <c r="P184" s="13">
        <f t="shared" si="141"/>
        <v>1.918258672927269E-3</v>
      </c>
      <c r="Q184" s="20">
        <f t="shared" si="162"/>
        <v>6.8623132586195278E-3</v>
      </c>
      <c r="R184" s="59">
        <f t="shared" si="109"/>
        <v>293.34019564659195</v>
      </c>
      <c r="S184" s="59">
        <f ca="1">AVERAGE(OFFSET($R$3,0,0,'Données projet'!$E$9+1,1))-AVERAGE(OFFSET($H$3,0,0,'Données projet'!$E$9+1,1))</f>
        <v>71.898749633453065</v>
      </c>
      <c r="T184" s="59">
        <f t="shared" si="142"/>
        <v>213.4524723740343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1.7002553116047034</v>
      </c>
      <c r="AA184" s="21">
        <f>EXP(-LN(2)/25)*AA183+(1-EXP(-LN(2)/25))/(LN(2)/25)*Calculateur!V184*Calculateur!X184*VLOOKUP('Données projet'!$B$9,Paramètres!$A$1:$I$89,3,0)*0.475*44/12</f>
        <v>6.547057857077794E-2</v>
      </c>
      <c r="AB184" s="21">
        <f>EXP(-LN(2)/2)*AB183+(1-EXP(-LN(2)/2))/(LN(2)/2)*V184*Y184*VLOOKUP('Données projet'!$B$9,Paramètres!$A$1:$I$89,3,0)*0.475*44/12</f>
        <v>1.2057190239937804E-24</v>
      </c>
      <c r="AC184" s="22">
        <f t="shared" si="163"/>
        <v>1.7657258901754813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3.9755889073092021E-3</v>
      </c>
      <c r="O185" s="13">
        <f>N185*VLOOKUP('Données projet'!$B$9,Paramètres!$A$1:$I$89,3,0)*VLOOKUP('Données projet'!$B$9,Paramètres!$A$1:$I$89,5,0)</f>
        <v>2.0218254947011681E-3</v>
      </c>
      <c r="P185" s="13">
        <f t="shared" si="141"/>
        <v>1.918258672927269E-3</v>
      </c>
      <c r="Q185" s="20">
        <f t="shared" si="162"/>
        <v>6.8623132586195278E-3</v>
      </c>
      <c r="R185" s="59">
        <f t="shared" si="109"/>
        <v>293.34019564659195</v>
      </c>
      <c r="S185" s="59">
        <f ca="1">AVERAGE(OFFSET($R$3,0,0,'Données projet'!$E$9+1,1))-AVERAGE(OFFSET($H$3,0,0,'Données projet'!$E$9+1,1))</f>
        <v>71.898749633453065</v>
      </c>
      <c r="T185" s="59">
        <f t="shared" si="142"/>
        <v>213.4524723740343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1.6669143419974748</v>
      </c>
      <c r="AA185" s="21">
        <f>EXP(-LN(2)/25)*AA184+(1-EXP(-LN(2)/25))/(LN(2)/25)*Calculateur!V185*Calculateur!X185*VLOOKUP('Données projet'!$B$9,Paramètres!$A$1:$I$89,3,0)*0.475*44/12</f>
        <v>6.3680282156811929E-2</v>
      </c>
      <c r="AB185" s="21">
        <f>EXP(-LN(2)/2)*AB184+(1-EXP(-LN(2)/2))/(LN(2)/2)*V185*Y185*VLOOKUP('Données projet'!$B$9,Paramètres!$A$1:$I$89,3,0)*0.475*44/12</f>
        <v>8.5257209807162767E-25</v>
      </c>
      <c r="AC185" s="22">
        <f t="shared" si="163"/>
        <v>1.7305946241542867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3.9755889073092021E-3</v>
      </c>
      <c r="O186" s="13">
        <f>N186*VLOOKUP('Données projet'!$B$9,Paramètres!$A$1:$I$89,3,0)*VLOOKUP('Données projet'!$B$9,Paramètres!$A$1:$I$89,5,0)</f>
        <v>2.0218254947011681E-3</v>
      </c>
      <c r="P186" s="13">
        <f t="shared" si="141"/>
        <v>1.918258672927269E-3</v>
      </c>
      <c r="Q186" s="20">
        <f t="shared" si="162"/>
        <v>6.8623132586195278E-3</v>
      </c>
      <c r="R186" s="59">
        <f t="shared" si="109"/>
        <v>293.34019564659195</v>
      </c>
      <c r="S186" s="59">
        <f ca="1">AVERAGE(OFFSET($R$3,0,0,'Données projet'!$E$9+1,1))-AVERAGE(OFFSET($H$3,0,0,'Données projet'!$E$9+1,1))</f>
        <v>71.898749633453065</v>
      </c>
      <c r="T186" s="59">
        <f t="shared" si="142"/>
        <v>213.4524723740343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1.6342271684682603</v>
      </c>
      <c r="AA186" s="21">
        <f>EXP(-LN(2)/25)*AA185+(1-EXP(-LN(2)/25))/(LN(2)/25)*Calculateur!V186*Calculateur!X186*VLOOKUP('Données projet'!$B$9,Paramètres!$A$1:$I$89,3,0)*0.475*44/12</f>
        <v>6.1938941492433411E-2</v>
      </c>
      <c r="AB186" s="21">
        <f>EXP(-LN(2)/2)*AB185+(1-EXP(-LN(2)/2))/(LN(2)/2)*V186*Y186*VLOOKUP('Données projet'!$B$9,Paramètres!$A$1:$I$89,3,0)*0.475*44/12</f>
        <v>6.0285951199689018E-25</v>
      </c>
      <c r="AC186" s="22">
        <f t="shared" si="163"/>
        <v>1.6961661099606937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3.9755889073092021E-3</v>
      </c>
      <c r="O187" s="13">
        <f>N187*VLOOKUP('Données projet'!$B$9,Paramètres!$A$1:$I$89,3,0)*VLOOKUP('Données projet'!$B$9,Paramètres!$A$1:$I$89,5,0)</f>
        <v>2.0218254947011681E-3</v>
      </c>
      <c r="P187" s="13">
        <f t="shared" si="141"/>
        <v>1.918258672927269E-3</v>
      </c>
      <c r="Q187" s="20">
        <f t="shared" si="162"/>
        <v>6.8623132586195278E-3</v>
      </c>
      <c r="R187" s="59">
        <f t="shared" si="109"/>
        <v>293.34019564659195</v>
      </c>
      <c r="S187" s="59">
        <f ca="1">AVERAGE(OFFSET($R$3,0,0,'Données projet'!$E$9+1,1))-AVERAGE(OFFSET($H$3,0,0,'Données projet'!$E$9+1,1))</f>
        <v>71.898749633453065</v>
      </c>
      <c r="T187" s="59">
        <f t="shared" si="142"/>
        <v>213.4524723740343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1.6021809704747467</v>
      </c>
      <c r="AA187" s="21">
        <f>EXP(-LN(2)/25)*AA186+(1-EXP(-LN(2)/25))/(LN(2)/25)*Calculateur!V187*Calculateur!X187*VLOOKUP('Données projet'!$B$9,Paramètres!$A$1:$I$89,3,0)*0.475*44/12</f>
        <v>6.0245217880095452E-2</v>
      </c>
      <c r="AB187" s="21">
        <f>EXP(-LN(2)/2)*AB186+(1-EXP(-LN(2)/2))/(LN(2)/2)*V187*Y187*VLOOKUP('Données projet'!$B$9,Paramètres!$A$1:$I$89,3,0)*0.475*44/12</f>
        <v>4.2628604903581383E-25</v>
      </c>
      <c r="AC187" s="22">
        <f t="shared" si="163"/>
        <v>1.6624261883548421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3.9755889073092021E-3</v>
      </c>
      <c r="O188" s="13">
        <f>N188*VLOOKUP('Données projet'!$B$9,Paramètres!$A$1:$I$89,3,0)*VLOOKUP('Données projet'!$B$9,Paramètres!$A$1:$I$89,5,0)</f>
        <v>2.0218254947011681E-3</v>
      </c>
      <c r="P188" s="13">
        <f t="shared" si="141"/>
        <v>1.918258672927269E-3</v>
      </c>
      <c r="Q188" s="20">
        <f t="shared" si="162"/>
        <v>6.8623132586195278E-3</v>
      </c>
      <c r="R188" s="59">
        <f t="shared" si="109"/>
        <v>293.34019564659195</v>
      </c>
      <c r="S188" s="59">
        <f ca="1">AVERAGE(OFFSET($R$3,0,0,'Données projet'!$E$9+1,1))-AVERAGE(OFFSET($H$3,0,0,'Données projet'!$E$9+1,1))</f>
        <v>71.898749633453065</v>
      </c>
      <c r="T188" s="59">
        <f t="shared" si="142"/>
        <v>213.4524723740343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1.5707631788776351</v>
      </c>
      <c r="AA188" s="21">
        <f>EXP(-LN(2)/25)*AA187+(1-EXP(-LN(2)/25))/(LN(2)/25)*Calculateur!V188*Calculateur!X188*VLOOKUP('Données projet'!$B$9,Paramètres!$A$1:$I$89,3,0)*0.475*44/12</f>
        <v>5.8597809229005926E-2</v>
      </c>
      <c r="AB188" s="21">
        <f>EXP(-LN(2)/2)*AB187+(1-EXP(-LN(2)/2))/(LN(2)/2)*V188*Y188*VLOOKUP('Données projet'!$B$9,Paramètres!$A$1:$I$89,3,0)*0.475*44/12</f>
        <v>3.0142975599844509E-25</v>
      </c>
      <c r="AC188" s="22">
        <f t="shared" si="163"/>
        <v>1.6293609881066411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3.9755889073092021E-3</v>
      </c>
      <c r="O189" s="13">
        <f>N189*VLOOKUP('Données projet'!$B$9,Paramètres!$A$1:$I$89,3,0)*VLOOKUP('Données projet'!$B$9,Paramètres!$A$1:$I$89,5,0)</f>
        <v>2.0218254947011681E-3</v>
      </c>
      <c r="P189" s="13">
        <f t="shared" si="141"/>
        <v>1.918258672927269E-3</v>
      </c>
      <c r="Q189" s="20">
        <f t="shared" si="162"/>
        <v>6.8623132586195278E-3</v>
      </c>
      <c r="R189" s="59">
        <f t="shared" si="109"/>
        <v>293.34019564659195</v>
      </c>
      <c r="S189" s="59">
        <f ca="1">AVERAGE(OFFSET($R$3,0,0,'Données projet'!$E$9+1,1))-AVERAGE(OFFSET($H$3,0,0,'Données projet'!$E$9+1,1))</f>
        <v>71.898749633453065</v>
      </c>
      <c r="T189" s="59">
        <f t="shared" si="142"/>
        <v>213.4524723740343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1.5399614710107821</v>
      </c>
      <c r="AA189" s="21">
        <f>EXP(-LN(2)/25)*AA188+(1-EXP(-LN(2)/25))/(LN(2)/25)*Calculateur!V189*Calculateur!X189*VLOOKUP('Données projet'!$B$9,Paramètres!$A$1:$I$89,3,0)*0.475*44/12</f>
        <v>5.6995449054113898E-2</v>
      </c>
      <c r="AB189" s="21">
        <f>EXP(-LN(2)/2)*AB188+(1-EXP(-LN(2)/2))/(LN(2)/2)*V189*Y189*VLOOKUP('Données projet'!$B$9,Paramètres!$A$1:$I$89,3,0)*0.475*44/12</f>
        <v>2.1314302451790692E-25</v>
      </c>
      <c r="AC189" s="22">
        <f t="shared" si="163"/>
        <v>1.5969569200648959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3.9755889073092021E-3</v>
      </c>
      <c r="O190" s="13">
        <f>N190*VLOOKUP('Données projet'!$B$9,Paramètres!$A$1:$I$89,3,0)*VLOOKUP('Données projet'!$B$9,Paramètres!$A$1:$I$89,5,0)</f>
        <v>2.0218254947011681E-3</v>
      </c>
      <c r="P190" s="13">
        <f t="shared" si="141"/>
        <v>1.918258672927269E-3</v>
      </c>
      <c r="Q190" s="20">
        <f t="shared" si="162"/>
        <v>6.8623132586195278E-3</v>
      </c>
      <c r="R190" s="59">
        <f t="shared" si="109"/>
        <v>293.34019564659195</v>
      </c>
      <c r="S190" s="59">
        <f ca="1">AVERAGE(OFFSET($R$3,0,0,'Données projet'!$E$9+1,1))-AVERAGE(OFFSET($H$3,0,0,'Données projet'!$E$9+1,1))</f>
        <v>71.898749633453065</v>
      </c>
      <c r="T190" s="59">
        <f t="shared" si="142"/>
        <v>213.4524723740343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1.5097637658480114</v>
      </c>
      <c r="AA190" s="21">
        <f>EXP(-LN(2)/25)*AA189+(1-EXP(-LN(2)/25))/(LN(2)/25)*Calculateur!V190*Calculateur!X190*VLOOKUP('Données projet'!$B$9,Paramètres!$A$1:$I$89,3,0)*0.475*44/12</f>
        <v>5.5436905502468749E-2</v>
      </c>
      <c r="AB190" s="21">
        <f>EXP(-LN(2)/2)*AB189+(1-EXP(-LN(2)/2))/(LN(2)/2)*V190*Y190*VLOOKUP('Données projet'!$B$9,Paramètres!$A$1:$I$89,3,0)*0.475*44/12</f>
        <v>1.5071487799922254E-25</v>
      </c>
      <c r="AC190" s="22">
        <f t="shared" si="163"/>
        <v>1.5652006713504802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3.9755889073092021E-3</v>
      </c>
      <c r="O191" s="13">
        <f>N191*VLOOKUP('Données projet'!$B$9,Paramètres!$A$1:$I$89,3,0)*VLOOKUP('Données projet'!$B$9,Paramètres!$A$1:$I$89,5,0)</f>
        <v>2.0218254947011681E-3</v>
      </c>
      <c r="P191" s="13">
        <f t="shared" si="141"/>
        <v>1.918258672927269E-3</v>
      </c>
      <c r="Q191" s="20">
        <f t="shared" si="162"/>
        <v>6.8623132586195278E-3</v>
      </c>
      <c r="R191" s="59">
        <f t="shared" si="109"/>
        <v>293.34019564659195</v>
      </c>
      <c r="S191" s="59">
        <f ca="1">AVERAGE(OFFSET($R$3,0,0,'Données projet'!$E$9+1,1))-AVERAGE(OFFSET($H$3,0,0,'Données projet'!$E$9+1,1))</f>
        <v>71.898749633453065</v>
      </c>
      <c r="T191" s="59">
        <f t="shared" si="142"/>
        <v>213.4524723740343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1.4801582192647011</v>
      </c>
      <c r="AA191" s="21">
        <f>EXP(-LN(2)/25)*AA190+(1-EXP(-LN(2)/25))/(LN(2)/25)*Calculateur!V191*Calculateur!X191*VLOOKUP('Données projet'!$B$9,Paramètres!$A$1:$I$89,3,0)*0.475*44/12</f>
        <v>5.3920980406203585E-2</v>
      </c>
      <c r="AB191" s="21">
        <f>EXP(-LN(2)/2)*AB190+(1-EXP(-LN(2)/2))/(LN(2)/2)*V191*Y191*VLOOKUP('Données projet'!$B$9,Paramètres!$A$1:$I$89,3,0)*0.475*44/12</f>
        <v>1.0657151225895346E-25</v>
      </c>
      <c r="AC191" s="22">
        <f t="shared" si="163"/>
        <v>1.5340791996709047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3.9755889073092021E-3</v>
      </c>
      <c r="O192" s="13">
        <f>N192*VLOOKUP('Données projet'!$B$9,Paramètres!$A$1:$I$89,3,0)*VLOOKUP('Données projet'!$B$9,Paramètres!$A$1:$I$89,5,0)</f>
        <v>2.0218254947011681E-3</v>
      </c>
      <c r="P192" s="13">
        <f t="shared" si="141"/>
        <v>1.918258672927269E-3</v>
      </c>
      <c r="Q192" s="20">
        <f t="shared" si="162"/>
        <v>6.8623132586195278E-3</v>
      </c>
      <c r="R192" s="59">
        <f t="shared" si="109"/>
        <v>293.34019564659195</v>
      </c>
      <c r="S192" s="59">
        <f ca="1">AVERAGE(OFFSET($R$3,0,0,'Données projet'!$E$9+1,1))-AVERAGE(OFFSET($H$3,0,0,'Données projet'!$E$9+1,1))</f>
        <v>71.898749633453065</v>
      </c>
      <c r="T192" s="59">
        <f t="shared" si="142"/>
        <v>213.4524723740343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1.4511332193922892</v>
      </c>
      <c r="AA192" s="21">
        <f>EXP(-LN(2)/25)*AA191+(1-EXP(-LN(2)/25))/(LN(2)/25)*Calculateur!V192*Calculateur!X192*VLOOKUP('Données projet'!$B$9,Paramètres!$A$1:$I$89,3,0)*0.475*44/12</f>
        <v>5.2446508361414824E-2</v>
      </c>
      <c r="AB192" s="21">
        <f>EXP(-LN(2)/2)*AB191+(1-EXP(-LN(2)/2))/(LN(2)/2)*V192*Y192*VLOOKUP('Données projet'!$B$9,Paramètres!$A$1:$I$89,3,0)*0.475*44/12</f>
        <v>7.5357438999611272E-26</v>
      </c>
      <c r="AC192" s="22">
        <f t="shared" si="163"/>
        <v>1.503579727753704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3.9755889073092021E-3</v>
      </c>
      <c r="O193" s="13">
        <f>N193*VLOOKUP('Données projet'!$B$9,Paramètres!$A$1:$I$89,3,0)*VLOOKUP('Données projet'!$B$9,Paramètres!$A$1:$I$89,5,0)</f>
        <v>2.0218254947011681E-3</v>
      </c>
      <c r="P193" s="13">
        <f t="shared" si="141"/>
        <v>1.918258672927269E-3</v>
      </c>
      <c r="Q193" s="20">
        <f t="shared" si="162"/>
        <v>6.8623132586195278E-3</v>
      </c>
      <c r="R193" s="59">
        <f t="shared" si="109"/>
        <v>293.34019564659195</v>
      </c>
      <c r="S193" s="59">
        <f ca="1">AVERAGE(OFFSET($R$3,0,0,'Données projet'!$E$9+1,1))-AVERAGE(OFFSET($H$3,0,0,'Données projet'!$E$9+1,1))</f>
        <v>71.898749633453065</v>
      </c>
      <c r="T193" s="59">
        <f t="shared" si="142"/>
        <v>213.4524723740343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1.4226773820638736</v>
      </c>
      <c r="AA193" s="21">
        <f>EXP(-LN(2)/25)*AA192+(1-EXP(-LN(2)/25))/(LN(2)/25)*Calculateur!V193*Calculateur!X193*VLOOKUP('Données projet'!$B$9,Paramètres!$A$1:$I$89,3,0)*0.475*44/12</f>
        <v>5.1012355832229926E-2</v>
      </c>
      <c r="AB193" s="21">
        <f>EXP(-LN(2)/2)*AB192+(1-EXP(-LN(2)/2))/(LN(2)/2)*V193*Y193*VLOOKUP('Données projet'!$B$9,Paramètres!$A$1:$I$89,3,0)*0.475*44/12</f>
        <v>5.3285756129476729E-26</v>
      </c>
      <c r="AC193" s="22">
        <f t="shared" si="163"/>
        <v>1.4736897378961036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3.9755889073092021E-3</v>
      </c>
      <c r="O194" s="13">
        <f>N194*VLOOKUP('Données projet'!$B$9,Paramètres!$A$1:$I$89,3,0)*VLOOKUP('Données projet'!$B$9,Paramètres!$A$1:$I$89,5,0)</f>
        <v>2.0218254947011681E-3</v>
      </c>
      <c r="P194" s="13">
        <f t="shared" si="141"/>
        <v>1.918258672927269E-3</v>
      </c>
      <c r="Q194" s="20">
        <f t="shared" si="162"/>
        <v>6.8623132586195278E-3</v>
      </c>
      <c r="R194" s="59">
        <f t="shared" si="109"/>
        <v>293.34019564659195</v>
      </c>
      <c r="S194" s="59">
        <f ca="1">AVERAGE(OFFSET($R$3,0,0,'Données projet'!$E$9+1,1))-AVERAGE(OFFSET($H$3,0,0,'Données projet'!$E$9+1,1))</f>
        <v>71.898749633453065</v>
      </c>
      <c r="T194" s="59">
        <f t="shared" si="142"/>
        <v>213.4524723740343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1.3947795463491213</v>
      </c>
      <c r="AA194" s="21">
        <f>EXP(-LN(2)/25)*AA193+(1-EXP(-LN(2)/25))/(LN(2)/25)*Calculateur!V194*Calculateur!X194*VLOOKUP('Données projet'!$B$9,Paramètres!$A$1:$I$89,3,0)*0.475*44/12</f>
        <v>4.9617420279374394E-2</v>
      </c>
      <c r="AB194" s="21">
        <f>EXP(-LN(2)/2)*AB193+(1-EXP(-LN(2)/2))/(LN(2)/2)*V194*Y194*VLOOKUP('Données projet'!$B$9,Paramètres!$A$1:$I$89,3,0)*0.475*44/12</f>
        <v>3.7678719499805636E-26</v>
      </c>
      <c r="AC194" s="22">
        <f t="shared" si="163"/>
        <v>1.4443969666284957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3.9755889073092021E-3</v>
      </c>
      <c r="O195" s="13">
        <f>N195*VLOOKUP('Données projet'!$B$9,Paramètres!$A$1:$I$89,3,0)*VLOOKUP('Données projet'!$B$9,Paramètres!$A$1:$I$89,5,0)</f>
        <v>2.0218254947011681E-3</v>
      </c>
      <c r="P195" s="13">
        <f t="shared" si="141"/>
        <v>1.918258672927269E-3</v>
      </c>
      <c r="Q195" s="20">
        <f t="shared" si="162"/>
        <v>6.8623132586195278E-3</v>
      </c>
      <c r="R195" s="59">
        <f t="shared" ref="R195:R203" si="191">Q195+(I195+J195)*44/12</f>
        <v>293.34019564659195</v>
      </c>
      <c r="S195" s="59">
        <f ca="1">AVERAGE(OFFSET($R$3,0,0,'Données projet'!$E$9+1,1))-AVERAGE(OFFSET($H$3,0,0,'Données projet'!$E$9+1,1))</f>
        <v>71.898749633453065</v>
      </c>
      <c r="T195" s="59">
        <f t="shared" si="142"/>
        <v>213.4524723740343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1.3674287701767356</v>
      </c>
      <c r="AA195" s="21">
        <f>EXP(-LN(2)/25)*AA194+(1-EXP(-LN(2)/25))/(LN(2)/25)*Calculateur!V195*Calculateur!X195*VLOOKUP('Données projet'!$B$9,Paramètres!$A$1:$I$89,3,0)*0.475*44/12</f>
        <v>4.8260629312568172E-2</v>
      </c>
      <c r="AB195" s="21">
        <f>EXP(-LN(2)/2)*AB194+(1-EXP(-LN(2)/2))/(LN(2)/2)*V195*Y195*VLOOKUP('Données projet'!$B$9,Paramètres!$A$1:$I$89,3,0)*0.475*44/12</f>
        <v>2.6642878064738365E-26</v>
      </c>
      <c r="AC195" s="22">
        <f t="shared" si="163"/>
        <v>1.4156893994893038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3.9755889073092021E-3</v>
      </c>
      <c r="O196" s="13">
        <f>N196*VLOOKUP('Données projet'!$B$9,Paramètres!$A$1:$I$89,3,0)*VLOOKUP('Données projet'!$B$9,Paramètres!$A$1:$I$89,5,0)</f>
        <v>2.0218254947011681E-3</v>
      </c>
      <c r="P196" s="13">
        <f t="shared" si="141"/>
        <v>1.918258672927269E-3</v>
      </c>
      <c r="Q196" s="20">
        <f t="shared" si="162"/>
        <v>6.8623132586195278E-3</v>
      </c>
      <c r="R196" s="59">
        <f t="shared" si="191"/>
        <v>293.34019564659195</v>
      </c>
      <c r="S196" s="59">
        <f ca="1">AVERAGE(OFFSET($R$3,0,0,'Données projet'!$E$9+1,1))-AVERAGE(OFFSET($H$3,0,0,'Données projet'!$E$9+1,1))</f>
        <v>71.898749633453065</v>
      </c>
      <c r="T196" s="59">
        <f t="shared" si="142"/>
        <v>213.4524723740343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1.3406143260427641</v>
      </c>
      <c r="AA196" s="21">
        <f>EXP(-LN(2)/25)*AA195+(1-EXP(-LN(2)/25))/(LN(2)/25)*Calculateur!V196*Calculateur!X196*VLOOKUP('Données projet'!$B$9,Paramètres!$A$1:$I$89,3,0)*0.475*44/12</f>
        <v>4.6940939866099804E-2</v>
      </c>
      <c r="AB196" s="21">
        <f>EXP(-LN(2)/2)*AB195+(1-EXP(-LN(2)/2))/(LN(2)/2)*V196*Y196*VLOOKUP('Données projet'!$B$9,Paramètres!$A$1:$I$89,3,0)*0.475*44/12</f>
        <v>1.8839359749902818E-26</v>
      </c>
      <c r="AC196" s="22">
        <f t="shared" si="163"/>
        <v>1.3875552659088639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3.9755889073092021E-3</v>
      </c>
      <c r="O197" s="13">
        <f>N197*VLOOKUP('Données projet'!$B$9,Paramètres!$A$1:$I$89,3,0)*VLOOKUP('Données projet'!$B$9,Paramètres!$A$1:$I$89,5,0)</f>
        <v>2.0218254947011681E-3</v>
      </c>
      <c r="P197" s="13">
        <f t="shared" ref="P197:P203" si="203">EXP(-1.0587+0.8836*LN(O197)+0.284)</f>
        <v>1.918258672927269E-3</v>
      </c>
      <c r="Q197" s="20">
        <f t="shared" si="162"/>
        <v>6.8623132586195278E-3</v>
      </c>
      <c r="R197" s="59">
        <f t="shared" si="191"/>
        <v>293.34019564659195</v>
      </c>
      <c r="S197" s="59">
        <f ca="1">AVERAGE(OFFSET($R$3,0,0,'Données projet'!$E$9+1,1))-AVERAGE(OFFSET($H$3,0,0,'Données projet'!$E$9+1,1))</f>
        <v>71.898749633453065</v>
      </c>
      <c r="T197" s="59">
        <f t="shared" ref="T197:T203" si="204">$T$3</f>
        <v>213.4524723740343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1.3143256968030639</v>
      </c>
      <c r="AA197" s="21">
        <f>EXP(-LN(2)/25)*AA196+(1-EXP(-LN(2)/25))/(LN(2)/25)*Calculateur!V197*Calculateur!X197*VLOOKUP('Données projet'!$B$9,Paramètres!$A$1:$I$89,3,0)*0.475*44/12</f>
        <v>4.565733739694456E-2</v>
      </c>
      <c r="AB197" s="21">
        <f>EXP(-LN(2)/2)*AB196+(1-EXP(-LN(2)/2))/(LN(2)/2)*V197*Y197*VLOOKUP('Données projet'!$B$9,Paramètres!$A$1:$I$89,3,0)*0.475*44/12</f>
        <v>1.3321439032369182E-26</v>
      </c>
      <c r="AC197" s="22">
        <f t="shared" si="163"/>
        <v>1.3599830342000085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3.9755889073092021E-3</v>
      </c>
      <c r="O198" s="13">
        <f>N198*VLOOKUP('Données projet'!$B$9,Paramètres!$A$1:$I$89,3,0)*VLOOKUP('Données projet'!$B$9,Paramètres!$A$1:$I$89,5,0)</f>
        <v>2.0218254947011681E-3</v>
      </c>
      <c r="P198" s="13">
        <f t="shared" si="203"/>
        <v>1.918258672927269E-3</v>
      </c>
      <c r="Q198" s="20">
        <f t="shared" si="162"/>
        <v>6.8623132586195278E-3</v>
      </c>
      <c r="R198" s="59">
        <f t="shared" si="191"/>
        <v>293.34019564659195</v>
      </c>
      <c r="S198" s="59">
        <f ca="1">AVERAGE(OFFSET($R$3,0,0,'Données projet'!$E$9+1,1))-AVERAGE(OFFSET($H$3,0,0,'Données projet'!$E$9+1,1))</f>
        <v>71.898749633453065</v>
      </c>
      <c r="T198" s="59">
        <f t="shared" si="204"/>
        <v>213.4524723740343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1.2885525715482735</v>
      </c>
      <c r="AA198" s="21">
        <f>EXP(-LN(2)/25)*AA197+(1-EXP(-LN(2)/25))/(LN(2)/25)*Calculateur!V198*Calculateur!X198*VLOOKUP('Données projet'!$B$9,Paramètres!$A$1:$I$89,3,0)*0.475*44/12</f>
        <v>4.4408835104810085E-2</v>
      </c>
      <c r="AB198" s="21">
        <f>EXP(-LN(2)/2)*AB197+(1-EXP(-LN(2)/2))/(LN(2)/2)*V198*Y198*VLOOKUP('Données projet'!$B$9,Paramètres!$A$1:$I$89,3,0)*0.475*44/12</f>
        <v>9.4196798749514091E-27</v>
      </c>
      <c r="AC198" s="22">
        <f t="shared" si="163"/>
        <v>1.3329614066530837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3.9755889073092021E-3</v>
      </c>
      <c r="O199" s="13">
        <f>N199*VLOOKUP('Données projet'!$B$9,Paramètres!$A$1:$I$89,3,0)*VLOOKUP('Données projet'!$B$9,Paramètres!$A$1:$I$89,5,0)</f>
        <v>2.0218254947011681E-3</v>
      </c>
      <c r="P199" s="13">
        <f t="shared" si="203"/>
        <v>1.918258672927269E-3</v>
      </c>
      <c r="Q199" s="20">
        <f t="shared" si="162"/>
        <v>6.8623132586195278E-3</v>
      </c>
      <c r="R199" s="59">
        <f t="shared" si="191"/>
        <v>293.34019564659195</v>
      </c>
      <c r="S199" s="59">
        <f ca="1">AVERAGE(OFFSET($R$3,0,0,'Données projet'!$E$9+1,1))-AVERAGE(OFFSET($H$3,0,0,'Données projet'!$E$9+1,1))</f>
        <v>71.898749633453065</v>
      </c>
      <c r="T199" s="59">
        <f t="shared" si="204"/>
        <v>213.4524723740343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1.2632848415596754</v>
      </c>
      <c r="AA199" s="21">
        <f>EXP(-LN(2)/25)*AA198+(1-EXP(-LN(2)/25))/(LN(2)/25)*Calculateur!V199*Calculateur!X199*VLOOKUP('Données projet'!$B$9,Paramètres!$A$1:$I$89,3,0)*0.475*44/12</f>
        <v>4.3194473173509912E-2</v>
      </c>
      <c r="AB199" s="21">
        <f>EXP(-LN(2)/2)*AB198+(1-EXP(-LN(2)/2))/(LN(2)/2)*V199*Y199*VLOOKUP('Données projet'!$B$9,Paramètres!$A$1:$I$89,3,0)*0.475*44/12</f>
        <v>6.6607195161845911E-27</v>
      </c>
      <c r="AC199" s="22">
        <f t="shared" si="163"/>
        <v>1.3064793147331852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3.9755889073092021E-3</v>
      </c>
      <c r="O200" s="13">
        <f>N200*VLOOKUP('Données projet'!$B$9,Paramètres!$A$1:$I$89,3,0)*VLOOKUP('Données projet'!$B$9,Paramètres!$A$1:$I$89,5,0)</f>
        <v>2.0218254947011681E-3</v>
      </c>
      <c r="P200" s="13">
        <f t="shared" si="203"/>
        <v>1.918258672927269E-3</v>
      </c>
      <c r="Q200" s="20">
        <f t="shared" si="162"/>
        <v>6.8623132586195278E-3</v>
      </c>
      <c r="R200" s="59">
        <f t="shared" si="191"/>
        <v>293.34019564659195</v>
      </c>
      <c r="S200" s="59">
        <f ca="1">AVERAGE(OFFSET($R$3,0,0,'Données projet'!$E$9+1,1))-AVERAGE(OFFSET($H$3,0,0,'Données projet'!$E$9+1,1))</f>
        <v>71.898749633453065</v>
      </c>
      <c r="T200" s="59">
        <f t="shared" si="204"/>
        <v>213.4524723740343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1.2385125963443602</v>
      </c>
      <c r="AA200" s="21">
        <f>EXP(-LN(2)/25)*AA199+(1-EXP(-LN(2)/25))/(LN(2)/25)*Calculateur!V200*Calculateur!X200*VLOOKUP('Données projet'!$B$9,Paramètres!$A$1:$I$89,3,0)*0.475*44/12</f>
        <v>4.2013318033081663E-2</v>
      </c>
      <c r="AB200" s="21">
        <f>EXP(-LN(2)/2)*AB199+(1-EXP(-LN(2)/2))/(LN(2)/2)*V200*Y200*VLOOKUP('Données projet'!$B$9,Paramètres!$A$1:$I$89,3,0)*0.475*44/12</f>
        <v>4.7098399374757045E-27</v>
      </c>
      <c r="AC200" s="22">
        <f t="shared" si="163"/>
        <v>1.2805259143774419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3.9755889073092021E-3</v>
      </c>
      <c r="O201" s="13">
        <f>N201*VLOOKUP('Données projet'!$B$9,Paramètres!$A$1:$I$89,3,0)*VLOOKUP('Données projet'!$B$9,Paramètres!$A$1:$I$89,5,0)</f>
        <v>2.0218254947011681E-3</v>
      </c>
      <c r="P201" s="13">
        <f t="shared" si="203"/>
        <v>1.918258672927269E-3</v>
      </c>
      <c r="Q201" s="20">
        <f t="shared" si="162"/>
        <v>6.8623132586195278E-3</v>
      </c>
      <c r="R201" s="59">
        <f t="shared" si="191"/>
        <v>293.34019564659195</v>
      </c>
      <c r="S201" s="59">
        <f ca="1">AVERAGE(OFFSET($R$3,0,0,'Données projet'!$E$9+1,1))-AVERAGE(OFFSET($H$3,0,0,'Données projet'!$E$9+1,1))</f>
        <v>71.898749633453065</v>
      </c>
      <c r="T201" s="59">
        <f t="shared" si="204"/>
        <v>213.4524723740343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1.2142261197481397</v>
      </c>
      <c r="AA201" s="21">
        <f>EXP(-LN(2)/25)*AA200+(1-EXP(-LN(2)/25))/(LN(2)/25)*Calculateur!V201*Calculateur!X201*VLOOKUP('Données projet'!$B$9,Paramètres!$A$1:$I$89,3,0)*0.475*44/12</f>
        <v>4.086446164208267E-2</v>
      </c>
      <c r="AB201" s="21">
        <f>EXP(-LN(2)/2)*AB200+(1-EXP(-LN(2)/2))/(LN(2)/2)*V201*Y201*VLOOKUP('Données projet'!$B$9,Paramètres!$A$1:$I$89,3,0)*0.475*44/12</f>
        <v>3.3303597580922956E-27</v>
      </c>
      <c r="AC201" s="22">
        <f t="shared" si="163"/>
        <v>1.2550905813902222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3.9755889073092021E-3</v>
      </c>
      <c r="O202" s="13">
        <f>N202*VLOOKUP('Données projet'!$B$9,Paramètres!$A$1:$I$89,3,0)*VLOOKUP('Données projet'!$B$9,Paramètres!$A$1:$I$89,5,0)</f>
        <v>2.0218254947011681E-3</v>
      </c>
      <c r="P202" s="13">
        <f t="shared" si="203"/>
        <v>1.918258672927269E-3</v>
      </c>
      <c r="Q202" s="20">
        <f t="shared" si="162"/>
        <v>6.8623132586195278E-3</v>
      </c>
      <c r="R202" s="59">
        <f t="shared" si="191"/>
        <v>293.34019564659195</v>
      </c>
      <c r="S202" s="59">
        <f ca="1">AVERAGE(OFFSET($R$3,0,0,'Données projet'!$E$9+1,1))-AVERAGE(OFFSET($H$3,0,0,'Données projet'!$E$9+1,1))</f>
        <v>71.898749633453065</v>
      </c>
      <c r="T202" s="59">
        <f t="shared" si="204"/>
        <v>213.4524723740343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1.190415886144683</v>
      </c>
      <c r="AA202" s="21">
        <f>EXP(-LN(2)/25)*AA201+(1-EXP(-LN(2)/25))/(LN(2)/25)*Calculateur!V202*Calculateur!X202*VLOOKUP('Données projet'!$B$9,Paramètres!$A$1:$I$89,3,0)*0.475*44/12</f>
        <v>3.9747020789511277E-2</v>
      </c>
      <c r="AB202" s="21">
        <f>EXP(-LN(2)/2)*AB201+(1-EXP(-LN(2)/2))/(LN(2)/2)*V202*Y202*VLOOKUP('Données projet'!$B$9,Paramètres!$A$1:$I$89,3,0)*0.475*44/12</f>
        <v>2.3549199687378523E-27</v>
      </c>
      <c r="AC202" s="22">
        <f t="shared" si="163"/>
        <v>1.2301629069341942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3.9755889073092021E-3</v>
      </c>
      <c r="O203" s="13">
        <f>N203*VLOOKUP('Données projet'!$B$9,Paramètres!$A$1:$I$89,3,0)*VLOOKUP('Données projet'!$B$9,Paramètres!$A$1:$I$89,5,0)</f>
        <v>2.0218254947011681E-3</v>
      </c>
      <c r="P203" s="13">
        <f t="shared" si="203"/>
        <v>1.918258672927269E-3</v>
      </c>
      <c r="Q203" s="20">
        <f t="shared" si="162"/>
        <v>6.8623132586195278E-3</v>
      </c>
      <c r="R203" s="59">
        <f t="shared" si="191"/>
        <v>293.34019564659195</v>
      </c>
      <c r="S203" s="59">
        <f ca="1">AVERAGE(OFFSET($R$3,0,0,'Données projet'!$E$9+1,1))-AVERAGE(OFFSET($H$3,0,0,'Données projet'!$E$9+1,1))</f>
        <v>71.898749633453065</v>
      </c>
      <c r="T203" s="59">
        <f t="shared" si="204"/>
        <v>213.4524723740343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1.1670725566993816</v>
      </c>
      <c r="AA203" s="21">
        <f>EXP(-LN(2)/25)*AA202+(1-EXP(-LN(2)/25))/(LN(2)/25)*Calculateur!V203*Calculateur!X203*VLOOKUP('Données projet'!$B$9,Paramètres!$A$1:$I$89,3,0)*0.475*44/12</f>
        <v>3.8660136415817108E-2</v>
      </c>
      <c r="AB203" s="21">
        <f>EXP(-LN(2)/2)*AB202+(1-EXP(-LN(2)/2))/(LN(2)/2)*V203*Y203*VLOOKUP('Données projet'!$B$9,Paramètres!$A$1:$I$89,3,0)*0.475*44/12</f>
        <v>1.6651798790461478E-27</v>
      </c>
      <c r="AC203" s="22">
        <f t="shared" si="163"/>
        <v>1.2057326931151986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1.5175534935796808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H1" zoomScale="85" zoomScaleNormal="85" workbookViewId="0">
      <selection activeCell="M5" sqref="M5:M12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5.37</v>
      </c>
      <c r="C6" s="147">
        <f ca="1">IF(OR('Données projet'!B9="",'Données projet'!C9="",'Données projet'!C9=0%),0,Calculateur!S3)</f>
        <v>71.898749633453065</v>
      </c>
      <c r="D6" s="147">
        <f>IF(OR('Données projet'!B9="",'Données projet'!C9="",'Données projet'!C9=0%),0,Calculateur!T3)</f>
        <v>213.4524723740343</v>
      </c>
      <c r="E6" s="147">
        <f ca="1">MIN(C6,D6)</f>
        <v>71.898749633453065</v>
      </c>
      <c r="F6" s="147">
        <f ca="1">E6*B6</f>
        <v>386.09628553164299</v>
      </c>
      <c r="G6" s="147">
        <f ca="1">F6*(100%-'Données projet'!$C$24)*(100%-'Données projet'!$C$25)*(100%-'Données projet'!$C$26)*(100%-'Données projet'!$C$27)</f>
        <v>281.46419215256776</v>
      </c>
      <c r="H6" s="148">
        <f>IF(OR('Données projet'!B9="",'Données projet'!C9="",'Données projet'!C9=0%),0,AVERAGE(Calculateur!$AC$3:$AC$33)*B6)</f>
        <v>119.86964071668135</v>
      </c>
      <c r="I6" s="149">
        <f>H6*(100%-'Données projet'!$C$24)*(100%-'Données projet'!$C$25)*(100%-'Données projet'!$C$26)*(100%-'Données projet'!$C$27)</f>
        <v>87.384968082460716</v>
      </c>
      <c r="J6" s="150">
        <f>IF(OR('Données projet'!B9="",'Données projet'!C9="",'Données projet'!C9=0%),0,SUM(Calculateur!$V$3:$V$33)*VLOOKUP('Données projet'!$B$9,Paramètres!$A$1:$I$89,9,0)*B6)</f>
        <v>950.46422400000006</v>
      </c>
      <c r="K6" s="151">
        <f>J6*(100%-'Données projet'!$C$24)*(100%-'Données projet'!$C$25)*(100%-'Données projet'!$C$26)*(100%-'Données projet'!$C$27)</f>
        <v>692.88841929600005</v>
      </c>
      <c r="L6" s="152">
        <f ca="1">G6+I6+K6</f>
        <v>1061.7375795310286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386.09628553164299</v>
      </c>
      <c r="G16" s="166">
        <f t="shared" ca="1" si="3"/>
        <v>281.46419215256776</v>
      </c>
      <c r="H16" s="167">
        <f t="shared" si="3"/>
        <v>119.86964071668135</v>
      </c>
      <c r="I16" s="167">
        <f t="shared" si="3"/>
        <v>87.384968082460716</v>
      </c>
      <c r="J16" s="168">
        <f t="shared" si="3"/>
        <v>950.46422400000006</v>
      </c>
      <c r="K16" s="168">
        <f t="shared" si="3"/>
        <v>692.88841929600005</v>
      </c>
      <c r="L16" s="169">
        <f t="shared" ca="1" si="3"/>
        <v>1061.7375795310286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Q7" zoomScale="80" zoomScaleNormal="80" workbookViewId="0">
      <selection activeCell="A28" sqref="A28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4048.8730451895221</v>
      </c>
      <c r="U10" s="178">
        <f>'Données projet'!D9</f>
        <v>5.37</v>
      </c>
      <c r="V10" s="177">
        <f>U10*T10</f>
        <v>21742.448252667735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(11747.5+3129.2+2978.68)/5.37</f>
        <v>3325.024208566108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5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-18.186536380089819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6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5255.7328650961545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7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3">
        <f ca="1">T23-T24</f>
        <v>-5273.9194014762443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8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9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10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11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12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978.72120392852037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13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14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15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16</v>
      </c>
      <c r="B34" s="181">
        <f>'Données projet'!D47</f>
        <v>171.84</v>
      </c>
      <c r="C34" s="193">
        <v>48</v>
      </c>
      <c r="D34" s="182">
        <f>B34*C34</f>
        <v>8248.32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 t="str">
        <f>IF(O49+1&lt;=MIN('Données projet'!$E$9:$E$18),O49+1,"STOP")</f>
        <v>STOP</v>
      </c>
      <c r="P50" s="185" t="e">
        <f t="shared" si="3"/>
        <v>#VALUE!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 t="e">
        <f>IF(O50+1&lt;=MIN('Données projet'!$E$9:$E$18),O50+1,"STOP")</f>
        <v>#VALUE!</v>
      </c>
      <c r="P51" s="185" t="e">
        <f t="shared" si="3"/>
        <v>#VALUE!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 t="e">
        <f>IF(O51+1&lt;=MIN('Données projet'!$E$9:$E$18),O51+1,"STOP")</f>
        <v>#VALUE!</v>
      </c>
      <c r="P52" s="185" t="e">
        <f t="shared" si="3"/>
        <v>#VALUE!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D8F26147-2E8B-4064-8E07-1574675A81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Ellens Lucas</cp:lastModifiedBy>
  <dcterms:created xsi:type="dcterms:W3CDTF">2021-02-01T08:22:39Z</dcterms:created>
  <dcterms:modified xsi:type="dcterms:W3CDTF">2023-07-31T08:05:05Z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