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abel Bas Carbone\2. Dossiers agences LBC\PDLB\A- DURTAL(49) - ALLEAUME\Dossier déposé\"/>
    </mc:Choice>
  </mc:AlternateContent>
  <xr:revisionPtr revIDLastSave="0" documentId="13_ncr:1_{EBFBF36E-689D-437B-91A2-BD158A7F5AE5}" xr6:coauthVersionLast="36" xr6:coauthVersionMax="36" xr10:uidLastSave="{00000000-0000-0000-0000-000000000000}"/>
  <bookViews>
    <workbookView xWindow="0" yWindow="0" windowWidth="28800" windowHeight="12615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FR203" i="2" l="1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<sst xmlns="http://schemas.openxmlformats.org/spreadsheetml/2006/main" count="1170" uniqueCount="325">
  <si>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</si>
  <si>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</si>
  <si>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</si>
  <si>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</si>
  <si>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</si>
  <si>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</si>
  <si>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</si>
  <si>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</si>
  <si>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</si>
  <si>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</si>
  <si>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</si>
  <si>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</si>
  <si>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</si>
  <si>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</si>
  <si>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</si>
  <si>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</si>
  <si>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</si>
  <si>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</si>
  <si>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</si>
  <si>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</si>
  <si>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</si>
  <si>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</si>
  <si>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</si>
  <si>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</si>
  <si>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</si>
  <si>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</si>
  <si>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</si>
  <si>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</si>
  <si>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</si>
  <si>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</si>
  <si>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</si>
  <si>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</si>
  <si>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</si>
  <si>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</si>
  <si>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</si>
  <si>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</si>
  <si>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</si>
  <si>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</si>
  <si>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</si>
  <si>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</si>
  <si>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</si>
  <si>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</si>
  <si>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</si>
  <si>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</si>
  <si>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</si>
  <si>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</si>
  <si>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</si>
  <si>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</si>
  <si>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</si>
  <si>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</si>
  <si>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</si>
  <si>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</si>
  <si>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</si>
  <si>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</si>
  <si>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</si>
  <si>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</si>
  <si>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</si>
  <si>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</si>
  <si>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</si>
  <si>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</si>
  <si>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</si>
  <si>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</si>
  <si>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</si>
  <si>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</si>
  <si>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</si>
  <si>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</si>
  <si>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</si>
  <si>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</si>
  <si>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</si>
  <si>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</si>
  <si>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</si>
  <si>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</si>
  <si>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</si>
  <si>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</si>
  <si>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</si>
  <si>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</si>
  <si>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</si>
  <si>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</si>
  <si>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</si>
  <si>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</si>
  <si>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</si>
  <si>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</si>
  <si>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</si>
  <si>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</si>
  <si>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</si>
  <si>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</si>
  <si>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</si>
  <si>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</si>
  <si>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</si>
  <si>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</si>
  <si>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</si>
  <si>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</si>
  <si>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</si>
  <si>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</si>
  <si>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</si>
  <si>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</si>
  <si>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</si>
  <si>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</si>
  <si>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</si>
  <si>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</si>
  <si>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</si>
  <si>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</si>
  <si>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</si>
  <si>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</si>
  <si>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</si>
  <si>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</si>
  <si>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</si>
  <si>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</si>
  <si>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</si>
  <si>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</si>
  <si>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</si>
  <si>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</si>
  <si>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</si>
  <si>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</si>
  <si>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</si>
  <si>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</si>
  <si>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</si>
  <si>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</si>
  <si>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</si>
  <si>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</si>
  <si>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</si>
  <si>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</si>
  <si>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</si>
  <si>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</si>
  <si>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</si>
  <si>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</si>
  <si>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</si>
  <si>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</si>
  <si>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</si>
  <si>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</si>
  <si>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</si>
  <si>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</si>
  <si>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</si>
  <si>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</si>
  <si>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</si>
  <si>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</si>
  <si>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</si>
  <si>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</si>
  <si>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</si>
  <si>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</si>
  <si>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</si>
  <si>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</si>
  <si>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</si>
  <si>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</si>
  <si>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</si>
  <si>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</si>
  <si>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</si>
  <si>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</si>
  <si>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</si>
  <si>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</si>
  <si>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</si>
  <si>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</si>
  <si>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</si>
  <si>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</si>
  <si>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</si>
  <si>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</si>
  <si>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</si>
  <si>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</si>
  <si>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</si>
  <si>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</si>
  <si>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</si>
  <si>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</si>
  <si>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</si>
  <si>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</si>
  <si>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</si>
  <si>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</si>
  <si>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</si>
  <si>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</si>
  <si>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</si>
  <si>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</si>
  <si>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</si>
  <si>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</si>
  <si>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</si>
  <si>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</si>
  <si>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</si>
  <si>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</si>
  <si>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</si>
  <si>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</si>
  <si>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</si>
  <si>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</si>
  <si>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</si>
  <si>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</si>
  <si>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</si>
  <si>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</si>
  <si>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</si>
  <si>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</si>
  <si>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</si>
  <si>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</si>
  <si>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</si>
  <si>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</si>
  <si>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</si>
  <si>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</si>
  <si>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</si>
  <si>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</si>
  <si>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</si>
  <si>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</si>
  <si>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</si>
  <si>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</si>
  <si>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</si>
  <si>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</si>
  <si>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</si>
  <si>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</si>
  <si>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</si>
  <si>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</si>
  <si>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</si>
  <si>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</si>
  <si>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</si>
  <si>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</si>
  <si>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</si>
  <si>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</si>
  <si>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</si>
  <si>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</si>
  <si>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</si>
  <si>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</si>
  <si>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</si>
  <si>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</si>
  <si>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</si>
  <si>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</si>
  <si>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</si>
  <si>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</si>
  <si>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</si>
  <si>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</si>
  <si>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</si>
  <si>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</si>
  <si>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</si>
  <si>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</si>
  <si>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</si>
  <si>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</si>
  <si>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</si>
  <si>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</si>
  <si>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</si>
  <si>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</si>
  <si>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</si>
  <si>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</si>
  <si>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</si>
  <si>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</si>
  <si>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</si>
  <si>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</si>
  <si>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</si>
  <si>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</si>
  <si>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</si>
  <si>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</si>
  <si>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</si>
  <si>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</si>
  <si>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</si>
  <si>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</si>
  <si>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</si>
  <si>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</si>
  <si>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</si>
  <si>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</si>
  <si>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</si>
  <si>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</si>
  <si>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</si>
  <si>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</si>
  <si>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</si>
  <si>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</si>
  <si>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</si>
  <si>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</si>
  <si>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</si>
  <si>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</si>
  <si>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</si>
  <si>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</si>
  <si>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</si>
  <si>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</si>
  <si>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</si>
  <si>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</si>
  <si>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</si>
  <si>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</si>
  <si>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</si>
  <si>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</si>
  <si>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</si>
  <si>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</si>
  <si>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</si>
  <si>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</si>
  <si>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</si>
  <si>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</si>
  <si>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</si>
  <si>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</si>
  <si>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</si>
  <si>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</si>
  <si>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</si>
  <si>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</si>
  <si>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</si>
  <si>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</si>
  <si>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</si>
  <si>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</si>
  <si>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</si>
  <si>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</si>
  <si>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</si>
  <si>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</si>
  <si>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</si>
  <si>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</si>
  <si>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</si>
  <si>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</si>
  <si>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</si>
  <si>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</si>
  <si>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</si>
  <si>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</si>
  <si>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</si>
  <si>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</si>
  <si>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</si>
  <si>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</si>
  <si>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</si>
  <si>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</si>
  <si>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</si>
  <si>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</si>
  <si>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</si>
  <si>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</si>
  <si>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</si>
  <si>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</si>
  <si>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</si>
  <si>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</si>
  <si>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</si>
  <si>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</si>
  <si>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</si>
  <si>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</si>
  <si>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</si>
  <si>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</si>
  <si>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</si>
  <si>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</si>
  <si>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</si>
  <si>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</si>
  <si>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</si>
  <si>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</si>
  <si>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pin laricio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</si>
</sst>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2.031907402748768</c:v>
                </c:pt>
                <c:pt idx="2">
                  <c:v>2.6623840980288702</c:v>
                </c:pt>
                <c:pt idx="3">
                  <c:v>3.4892924617433518</c:v>
                </c:pt>
                <c:pt idx="4">
                  <c:v>4.5740685657030165</c:v>
                </c:pt>
                <c:pt idx="5">
                  <c:v>5.9974322325810041</c:v>
                </c:pt>
                <c:pt idx="6">
                  <c:v>7.8654599863275783</c:v>
                </c:pt>
                <c:pt idx="7">
                  <c:v>10.317576370738935</c:v>
                </c:pt>
                <c:pt idx="8">
                  <c:v>13.53707131484501</c:v>
                </c:pt>
                <c:pt idx="9">
                  <c:v>17.764944205134721</c:v>
                </c:pt>
                <c:pt idx="10">
                  <c:v>23.318129731757608</c:v>
                </c:pt>
                <c:pt idx="11">
                  <c:v>30.613496000795752</c:v>
                </c:pt>
                <c:pt idx="12">
                  <c:v>40.19944770009392</c:v>
                </c:pt>
                <c:pt idx="13">
                  <c:v>52.797550388930141</c:v>
                </c:pt>
                <c:pt idx="14">
                  <c:v>69.357361279449364</c:v>
                </c:pt>
                <c:pt idx="15">
                  <c:v>91.128666622788032</c:v>
                </c:pt>
                <c:pt idx="16">
                  <c:v>119.75666445822681</c:v>
                </c:pt>
                <c:pt idx="17">
                  <c:v>157.40739759934175</c:v>
                </c:pt>
                <c:pt idx="18">
                  <c:v>152.63928887769075</c:v>
                </c:pt>
                <c:pt idx="19">
                  <c:v>167.36613849703656</c:v>
                </c:pt>
                <c:pt idx="20">
                  <c:v>182.06242044637693</c:v>
                </c:pt>
                <c:pt idx="21">
                  <c:v>183.8758659829856</c:v>
                </c:pt>
                <c:pt idx="22">
                  <c:v>205.0891292024188</c:v>
                </c:pt>
                <c:pt idx="23">
                  <c:v>226.25164550125564</c:v>
                </c:pt>
                <c:pt idx="24">
                  <c:v>247.36882925179307</c:v>
                </c:pt>
                <c:pt idx="25">
                  <c:v>268.44509403501723</c:v>
                </c:pt>
                <c:pt idx="26">
                  <c:v>244.79583422246174</c:v>
                </c:pt>
                <c:pt idx="27">
                  <c:v>267.41787510049454</c:v>
                </c:pt>
                <c:pt idx="28">
                  <c:v>289.99681160231404</c:v>
                </c:pt>
                <c:pt idx="29">
                  <c:v>312.53647021104257</c:v>
                </c:pt>
                <c:pt idx="30">
                  <c:v>335.04008037896625</c:v>
                </c:pt>
                <c:pt idx="31">
                  <c:v>289.99681160231404</c:v>
                </c:pt>
                <c:pt idx="32">
                  <c:v>314.07191886152782</c:v>
                </c:pt>
                <c:pt idx="33">
                  <c:v>338.10611860508033</c:v>
                </c:pt>
                <c:pt idx="34">
                  <c:v>362.10272554390014</c:v>
                </c:pt>
                <c:pt idx="35">
                  <c:v>386.06457932909711</c:v>
                </c:pt>
                <c:pt idx="36">
                  <c:v>342.1932186321871</c:v>
                </c:pt>
                <c:pt idx="37">
                  <c:v>364.6534648608133</c:v>
                </c:pt>
                <c:pt idx="38">
                  <c:v>387.08350012671559</c:v>
                </c:pt>
                <c:pt idx="39">
                  <c:v>409.48531996489623</c:v>
                </c:pt>
                <c:pt idx="40">
                  <c:v>431.86068387305687</c:v>
                </c:pt>
                <c:pt idx="41">
                  <c:v>396.25118655434966</c:v>
                </c:pt>
                <c:pt idx="42">
                  <c:v>421.69323961894696</c:v>
                </c:pt>
                <c:pt idx="43">
                  <c:v>447.10225323882656</c:v>
                </c:pt>
                <c:pt idx="44">
                  <c:v>472.48036714392646</c:v>
                </c:pt>
                <c:pt idx="45">
                  <c:v>497.8294726490094</c:v>
                </c:pt>
                <c:pt idx="46">
                  <c:v>447.61011165255627</c:v>
                </c:pt>
                <c:pt idx="47">
                  <c:v>469.69022691951341</c:v>
                </c:pt>
                <c:pt idx="48">
                  <c:v>491.74823970258649</c:v>
                </c:pt>
                <c:pt idx="49">
                  <c:v>513.78528004261909</c:v>
                </c:pt>
                <c:pt idx="50">
                  <c:v>535.80237321728112</c:v>
                </c:pt>
                <c:pt idx="51">
                  <c:v>500.61617734977295</c:v>
                </c:pt>
                <c:pt idx="52">
                  <c:v>524.92279412001812</c:v>
                </c:pt>
                <c:pt idx="53">
                  <c:v>549.20570960219959</c:v>
                </c:pt>
                <c:pt idx="54">
                  <c:v>573.46611798533252</c:v>
                </c:pt>
                <c:pt idx="55">
                  <c:v>597.7051042871891</c:v>
                </c:pt>
                <c:pt idx="56">
                  <c:v>558.55867937490257</c:v>
                </c:pt>
                <c:pt idx="57">
                  <c:v>580.03291566489895</c:v>
                </c:pt>
                <c:pt idx="58">
                  <c:v>601.49057626451452</c:v>
                </c:pt>
                <c:pt idx="59">
                  <c:v>622.93233512534789</c:v>
                </c:pt>
                <c:pt idx="60">
                  <c:v>644.35881606732414</c:v>
                </c:pt>
                <c:pt idx="61">
                  <c:v>625.95816246292009</c:v>
                </c:pt>
                <c:pt idx="62">
                  <c:v>647.88645878177363</c:v>
                </c:pt>
                <c:pt idx="63">
                  <c:v>669.79945190168917</c:v>
                </c:pt>
                <c:pt idx="64">
                  <c:v>691.69771238133637</c:v>
                </c:pt>
                <c:pt idx="65">
                  <c:v>713.58177174919854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23" zoomScale="90" zoomScaleNormal="90" workbookViewId="0">
      <selection activeCell="C26" sqref="C26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7" t="s">
        <v>190</v>
      </c>
      <c r="D1" s="297"/>
      <c r="E1" s="297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3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324</v>
      </c>
      <c r="C9" s="35">
        <v>1</v>
      </c>
      <c r="D9" s="36">
        <f t="shared" ref="D9:D18" si="0">C9*$C$5</f>
        <v>3</v>
      </c>
      <c r="E9" s="37">
        <v>65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/>
      <c r="C10" s="35"/>
      <c r="D10" s="36">
        <f t="shared" si="0"/>
        <v>0</v>
      </c>
      <c r="E10" s="37"/>
      <c r="F10" s="38" t="str">
        <f t="array" ref="F10">IF(E10="","",IF(INDEX(A:A,MAX(IF(ISNUMBER($A$62:$A$81),ROW($A$62:$A$81),"")))&lt;&gt;E10,"Corrigez : révolution incorrecte","OK"))</f>
        <v/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3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0.15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pin laricio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3" t="s">
        <v>186</v>
      </c>
      <c r="D34" s="293"/>
      <c r="E34" s="294" t="s">
        <v>187</v>
      </c>
      <c r="F34" s="295"/>
      <c r="G34" s="295"/>
      <c r="H34" s="296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17</v>
      </c>
      <c r="B36" s="63">
        <v>118</v>
      </c>
      <c r="C36" s="63">
        <v>1</v>
      </c>
      <c r="D36" s="63">
        <v>15</v>
      </c>
      <c r="E36" s="54"/>
      <c r="F36" s="54"/>
      <c r="G36" s="54">
        <v>1</v>
      </c>
      <c r="H36" s="54"/>
      <c r="I36" s="52">
        <f>IFERROR(B36/A36,"")</f>
        <v>6.9411764705882355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20</v>
      </c>
      <c r="B37" s="63">
        <v>137</v>
      </c>
      <c r="C37" s="63">
        <v>2</v>
      </c>
      <c r="D37" s="63">
        <v>15</v>
      </c>
      <c r="E37" s="54">
        <v>0.2</v>
      </c>
      <c r="F37" s="54"/>
      <c r="G37" s="54">
        <v>0.8</v>
      </c>
      <c r="H37" s="54"/>
      <c r="I37" s="56">
        <f t="shared" ref="I37:I55" si="1">IF(A37&lt;&gt;0,(B37-(B36-D36))/(A37-A36),"")</f>
        <v>11.333333333333334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25</v>
      </c>
      <c r="B38" s="63">
        <v>204</v>
      </c>
      <c r="C38" s="63">
        <v>3</v>
      </c>
      <c r="D38" s="63">
        <v>36</v>
      </c>
      <c r="E38" s="54">
        <v>0.4</v>
      </c>
      <c r="F38" s="54"/>
      <c r="G38" s="54">
        <v>0.6</v>
      </c>
      <c r="H38" s="54"/>
      <c r="I38" s="56">
        <f t="shared" si="1"/>
        <v>16.399999999999999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30</v>
      </c>
      <c r="B39" s="63">
        <v>256</v>
      </c>
      <c r="C39" s="63">
        <v>4</v>
      </c>
      <c r="D39" s="63">
        <v>54</v>
      </c>
      <c r="E39" s="54">
        <v>0.45</v>
      </c>
      <c r="F39" s="54"/>
      <c r="G39" s="54">
        <v>0.55000000000000004</v>
      </c>
      <c r="H39" s="54"/>
      <c r="I39" s="52">
        <f t="shared" si="1"/>
        <v>17.600000000000001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35</v>
      </c>
      <c r="B40" s="63">
        <v>296</v>
      </c>
      <c r="C40" s="63">
        <v>5</v>
      </c>
      <c r="D40" s="63">
        <v>52</v>
      </c>
      <c r="E40" s="54"/>
      <c r="F40" s="54"/>
      <c r="G40" s="54"/>
      <c r="H40" s="54"/>
      <c r="I40" s="52">
        <f t="shared" si="1"/>
        <v>18.8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>
        <v>40</v>
      </c>
      <c r="B41" s="63">
        <v>332</v>
      </c>
      <c r="C41" s="63">
        <v>6</v>
      </c>
      <c r="D41" s="63">
        <v>48</v>
      </c>
      <c r="E41" s="54"/>
      <c r="F41" s="54"/>
      <c r="G41" s="54"/>
      <c r="H41" s="54"/>
      <c r="I41" s="56">
        <f t="shared" si="1"/>
        <v>17.600000000000001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>
        <v>45</v>
      </c>
      <c r="B42" s="63">
        <v>384</v>
      </c>
      <c r="C42" s="63">
        <v>7</v>
      </c>
      <c r="D42" s="63">
        <v>57</v>
      </c>
      <c r="E42" s="54"/>
      <c r="F42" s="54"/>
      <c r="G42" s="54"/>
      <c r="H42" s="54"/>
      <c r="I42" s="56">
        <f t="shared" si="1"/>
        <v>20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>
        <v>50</v>
      </c>
      <c r="B43" s="63">
        <v>414</v>
      </c>
      <c r="C43" s="63">
        <v>8</v>
      </c>
      <c r="D43" s="63">
        <v>47</v>
      </c>
      <c r="E43" s="54"/>
      <c r="F43" s="54"/>
      <c r="G43" s="54"/>
      <c r="H43" s="54"/>
      <c r="I43" s="52">
        <f t="shared" si="1"/>
        <v>17.399999999999999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>
        <v>55</v>
      </c>
      <c r="B44" s="63">
        <v>463</v>
      </c>
      <c r="C44" s="63">
        <v>9</v>
      </c>
      <c r="D44" s="63">
        <v>48</v>
      </c>
      <c r="E44" s="54"/>
      <c r="F44" s="54"/>
      <c r="G44" s="54"/>
      <c r="H44" s="54"/>
      <c r="I44" s="52">
        <f t="shared" si="1"/>
        <v>19.2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>
        <v>60</v>
      </c>
      <c r="B45" s="63">
        <v>500</v>
      </c>
      <c r="C45" s="63">
        <v>10</v>
      </c>
      <c r="D45" s="63">
        <v>32</v>
      </c>
      <c r="E45" s="54"/>
      <c r="F45" s="54"/>
      <c r="G45" s="54"/>
      <c r="H45" s="54"/>
      <c r="I45" s="52">
        <f t="shared" si="1"/>
        <v>17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>
        <v>65</v>
      </c>
      <c r="B46" s="63">
        <v>555</v>
      </c>
      <c r="C46" s="63">
        <v>11</v>
      </c>
      <c r="D46" s="63">
        <v>555</v>
      </c>
      <c r="E46" s="54"/>
      <c r="F46" s="54"/>
      <c r="G46" s="54"/>
      <c r="H46" s="54"/>
      <c r="I46" s="52">
        <f t="shared" si="1"/>
        <v>17.399999999999999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/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3" t="s">
        <v>186</v>
      </c>
      <c r="D60" s="293"/>
      <c r="E60" s="294" t="s">
        <v>187</v>
      </c>
      <c r="F60" s="295"/>
      <c r="G60" s="295"/>
      <c r="H60" s="296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/>
      <c r="B62" s="63"/>
      <c r="C62" s="63"/>
      <c r="D62" s="63"/>
      <c r="E62" s="54"/>
      <c r="F62" s="54"/>
      <c r="G62" s="54"/>
      <c r="H62" s="54"/>
      <c r="I62" s="56" t="str">
        <f>IFERROR(B62/A62,"")</f>
        <v/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/>
      <c r="B63" s="63"/>
      <c r="C63" s="63"/>
      <c r="D63" s="63"/>
      <c r="E63" s="54"/>
      <c r="F63" s="54"/>
      <c r="G63" s="54"/>
      <c r="H63" s="54"/>
      <c r="I63" s="52" t="str">
        <f>IF(A63&lt;&gt;0,(B63-(B62-D62))/(A63-A62),"")</f>
        <v/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/>
      <c r="B64" s="63"/>
      <c r="C64" s="63"/>
      <c r="D64" s="63"/>
      <c r="E64" s="54"/>
      <c r="F64" s="54"/>
      <c r="G64" s="54"/>
      <c r="H64" s="54"/>
      <c r="I64" s="52" t="str">
        <f>IF(A64&lt;&gt;0,(B64-(B63-D63))/(A64-A63),"")</f>
        <v/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/>
      <c r="B65" s="63"/>
      <c r="C65" s="63"/>
      <c r="D65" s="63"/>
      <c r="E65" s="54"/>
      <c r="F65" s="54"/>
      <c r="G65" s="54"/>
      <c r="H65" s="54"/>
      <c r="I65" s="52" t="str">
        <f>IF(A65&lt;&gt;0,(B65-(B64-D64))/(A65-A64),"")</f>
        <v/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3" t="s">
        <v>186</v>
      </c>
      <c r="D86" s="293"/>
      <c r="E86" s="294" t="s">
        <v>187</v>
      </c>
      <c r="F86" s="295"/>
      <c r="G86" s="295"/>
      <c r="H86" s="296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3" t="s">
        <v>186</v>
      </c>
      <c r="D112" s="293"/>
      <c r="E112" s="294" t="s">
        <v>187</v>
      </c>
      <c r="F112" s="295"/>
      <c r="G112" s="295"/>
      <c r="H112" s="296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3" t="s">
        <v>186</v>
      </c>
      <c r="D138" s="293"/>
      <c r="E138" s="294" t="s">
        <v>187</v>
      </c>
      <c r="F138" s="295"/>
      <c r="G138" s="295"/>
      <c r="H138" s="296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3" t="s">
        <v>186</v>
      </c>
      <c r="D164" s="293"/>
      <c r="E164" s="294" t="s">
        <v>187</v>
      </c>
      <c r="F164" s="295"/>
      <c r="G164" s="295"/>
      <c r="H164" s="296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3" t="s">
        <v>186</v>
      </c>
      <c r="D190" s="293"/>
      <c r="E190" s="294" t="s">
        <v>187</v>
      </c>
      <c r="F190" s="295"/>
      <c r="G190" s="295"/>
      <c r="H190" s="296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3" t="s">
        <v>186</v>
      </c>
      <c r="D216" s="293"/>
      <c r="E216" s="294" t="s">
        <v>187</v>
      </c>
      <c r="F216" s="295"/>
      <c r="G216" s="295"/>
      <c r="H216" s="296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3" t="s">
        <v>186</v>
      </c>
      <c r="D242" s="293"/>
      <c r="E242" s="294" t="s">
        <v>187</v>
      </c>
      <c r="F242" s="295"/>
      <c r="G242" s="295"/>
      <c r="H242" s="296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3" t="s">
        <v>186</v>
      </c>
      <c r="D268" s="293"/>
      <c r="E268" s="294" t="s">
        <v>187</v>
      </c>
      <c r="F268" s="295"/>
      <c r="G268" s="295"/>
      <c r="H268" s="296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C23" sqref="C23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1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pin laricio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/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/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256.66666666666669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256.66666666666669</v>
      </c>
      <c r="S3" s="62">
        <f ca="1">AVERAGE(OFFSET($R$3,0,0,'Données projet'!$E$9+1,1))-AVERAGE(OFFSET($H$3,0,0,'Données projet'!$E$9+1,1))</f>
        <v>348.62416478262719</v>
      </c>
      <c r="T3" s="62">
        <f>IF('Données projet'!E9&gt;30,$R$33-$H$33,LOOKUP('Données projet'!$E$9,$A$3:$A$203,R3:R203)-LOOKUP('Données projet'!$E$9,$A$3:$A$203,$H$3:$H$203))</f>
        <v>371.70674704563288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 t="e">
        <f>AI3*VLOOKUP('Données projet'!$B$10,Paramètres!$A$1:$I$89,3,0)*VLOOKUP('Données projet'!$B$10,Paramètres!$A$1:$I$89,5,0)</f>
        <v>#N/A</v>
      </c>
      <c r="AK3" s="13">
        <v>0</v>
      </c>
      <c r="AL3" s="15" t="e">
        <f>(AJ3+AK3)*0.475*44/12</f>
        <v>#N/A</v>
      </c>
      <c r="AM3" s="62" t="e">
        <f>AL3+(AD3+AE3)*44/12</f>
        <v>#N/A</v>
      </c>
      <c r="AN3" s="62" t="e">
        <f ca="1">AVERAGE(OFFSET($AM$3,0,0,'Données projet'!$E$10+1,1))-AVERAGE(OFFSET($H$3,0,0,'Données projet'!$E$10+1,1))</f>
        <v>#N/A</v>
      </c>
      <c r="AO3" s="62" t="e">
        <f>IF('Données projet'!E10&gt;30,$AM$33-$H$33,LOOKUP('Données projet'!$E$10,$A$3:$A$203,AM3:AM203)-LOOKUP('Données projet'!$E$10,$A$3:$A$203,$H$3:$H$203))</f>
        <v>#N/A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70">
        <f t="shared" ref="H4:H67" si="1">(B4+E4+F4)*44/12+(C4+D4)*0.475*44/12</f>
        <v>256.66666666666669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6.9411764705882355</v>
      </c>
      <c r="N4" s="14">
        <f>IF('Données projet'!$A$36&gt;35,N3+M4-V3,IF(A4&lt;'Données projet'!$A$36,$K$205^A4,IF(A4='Données projet'!$A$36,'Données projet'!$B$36,N3+M4-V3)))</f>
        <v>1.3239616704988877</v>
      </c>
      <c r="O4" s="14">
        <f>N4*VLOOKUP('Données projet'!$B$9,Paramètres!$A$1:$I$89,3,0)*VLOOKUP('Données projet'!$B$9,Paramètres!$A$1:$I$89,5,0)</f>
        <v>0.79172907895833489</v>
      </c>
      <c r="P4" s="14">
        <f>EXP(-1.0587+0.8836*LN(O4)+0.284)</f>
        <v>0.37491631974909195</v>
      </c>
      <c r="Q4" s="22">
        <f t="shared" ref="Q4:Q34" si="2">(O4+P4)*0.475*44/12</f>
        <v>2.031907402748768</v>
      </c>
      <c r="R4" s="62">
        <f t="shared" si="0"/>
        <v>259.9207962916376</v>
      </c>
      <c r="S4" s="62">
        <f ca="1">AVERAGE(OFFSET($R$3,0,0,'Données projet'!$E$9+1,1))-AVERAGE(OFFSET($H$3,0,0,'Données projet'!$E$9+1,1))</f>
        <v>348.62416478262719</v>
      </c>
      <c r="T4" s="62">
        <f>$T$3</f>
        <v>371.70674704563288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0</v>
      </c>
      <c r="AI4" s="14">
        <f>IF('Données projet'!$A$62&gt;35,AI3+AH4-AQ3,IF(A4&lt;'Données projet'!$A$62,$AF$205^A4,IF(A4='Données projet'!$A$62,'Données projet'!$B$62,AI3+AH4-AQ3)))</f>
        <v>0</v>
      </c>
      <c r="AJ4" s="14" t="e">
        <f>AI4*VLOOKUP('Données projet'!$B$10,Paramètres!$A$1:$I$89,3,0)*VLOOKUP('Données projet'!$B$10,Paramètres!$A$1:$I$89,5,0)</f>
        <v>#N/A</v>
      </c>
      <c r="AK4" s="14" t="e">
        <f>EXP(-1.0587+0.8836*LN(AJ4)+0.284)</f>
        <v>#N/A</v>
      </c>
      <c r="AL4" s="22" t="e">
        <f t="shared" ref="AL4:AL67" si="4">(AJ4+AK4)*0.475*44/12</f>
        <v>#N/A</v>
      </c>
      <c r="AM4" s="62" t="e">
        <f t="shared" ref="AM4:AM67" si="5">AL4+(AD4+AE4)*44/12</f>
        <v>#N/A</v>
      </c>
      <c r="AN4" s="62" t="e">
        <f ca="1">AVERAGE(OFFSET($AM$3,0,0,'Données projet'!$E$10+1,1))-AVERAGE(OFFSET($H$3,0,0,'Données projet'!$E$10+1,1))</f>
        <v>#N/A</v>
      </c>
      <c r="AO4" s="62" t="e">
        <f>$AO$3</f>
        <v>#N/A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 t="e">
        <f>EXP(-LN(2)/35)*AU3+(1-EXP(-LN(2)/35))/(LN(2)/35)*AQ4*AR4*VLOOKUP('Données projet'!$B$10,Paramètres!$A$1:$I$89,3,0)*0.475*44/12</f>
        <v>#N/A</v>
      </c>
      <c r="AV4" s="23" t="e">
        <f>EXP(-LN(2)/25)*AV3+(1-EXP(-LN(2)/25))/(LN(2)/25)*Calculateur!AQ4*Calculateur!AS4*VLOOKUP('Données projet'!$B$10,Paramètres!$A$1:$I$89,3,0)*0.475*44/12</f>
        <v>#N/A</v>
      </c>
      <c r="AW4" s="23" t="e">
        <f>EXP(-LN(2)/2)*AW3+(1-EXP(-LN(2)/2))/(LN(2)/2)*AQ4*AT4*VLOOKUP('Données projet'!$B$10,Paramètres!$A$1:$I$89,3,0)*0.475*44/12</f>
        <v>#N/A</v>
      </c>
      <c r="AX4" s="23" t="e">
        <f t="shared" ref="AX4:AX67" si="6">SUM(AU4:AW4)</f>
        <v>#N/A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70">
        <f t="shared" si="1"/>
        <v>256.66666666666669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6.9411764705882355</v>
      </c>
      <c r="N5" s="14">
        <f>IF('Données projet'!$A$36&gt;35,N4+M5-V4,IF(A5&lt;'Données projet'!$A$36,$K$205^A5,IF(A5='Données projet'!$A$36,'Données projet'!$B$36,N4+M5-V4)))</f>
        <v>1.7528745049502052</v>
      </c>
      <c r="O5" s="14">
        <f>N5*VLOOKUP('Données projet'!$B$9,Paramètres!$A$1:$I$89,3,0)*VLOOKUP('Données projet'!$B$9,Paramètres!$A$1:$I$89,5,0)</f>
        <v>1.0482189539602227</v>
      </c>
      <c r="P5" s="14">
        <f t="shared" ref="P5:P68" si="33">EXP(-1.0587+0.8836*LN(O5)+0.284)</f>
        <v>0.48042263342477459</v>
      </c>
      <c r="Q5" s="22">
        <f t="shared" si="2"/>
        <v>2.6623840980288702</v>
      </c>
      <c r="R5" s="62">
        <f t="shared" si="0"/>
        <v>261.77349520914004</v>
      </c>
      <c r="S5" s="62">
        <f ca="1">AVERAGE(OFFSET($R$3,0,0,'Données projet'!$E$9+1,1))-AVERAGE(OFFSET($H$3,0,0,'Données projet'!$E$9+1,1))</f>
        <v>348.62416478262719</v>
      </c>
      <c r="T5" s="62">
        <f t="shared" ref="T5:T68" si="34">$T$3</f>
        <v>371.70674704563288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0</v>
      </c>
      <c r="AI5" s="14">
        <f>IF('Données projet'!$A$62&gt;35,AI4+AH5-AQ4,IF(A5&lt;'Données projet'!$A$62,$AF$205^A5,IF(A5='Données projet'!$A$62,'Données projet'!$B$62,AI4+AH5-AQ4)))</f>
        <v>0</v>
      </c>
      <c r="AJ5" s="14" t="e">
        <f>AI5*VLOOKUP('Données projet'!$B$10,Paramètres!$A$1:$I$89,3,0)*VLOOKUP('Données projet'!$B$10,Paramètres!$A$1:$I$89,5,0)</f>
        <v>#N/A</v>
      </c>
      <c r="AK5" s="14" t="e">
        <f t="shared" ref="AK5:AK68" si="35">EXP(-1.0587+0.8836*LN(AJ5)+0.284)</f>
        <v>#N/A</v>
      </c>
      <c r="AL5" s="22" t="e">
        <f t="shared" si="4"/>
        <v>#N/A</v>
      </c>
      <c r="AM5" s="62" t="e">
        <f t="shared" si="5"/>
        <v>#N/A</v>
      </c>
      <c r="AN5" s="62" t="e">
        <f ca="1">AVERAGE(OFFSET($AM$3,0,0,'Données projet'!$E$10+1,1))-AVERAGE(OFFSET($H$3,0,0,'Données projet'!$E$10+1,1))</f>
        <v>#N/A</v>
      </c>
      <c r="AO5" s="62" t="e">
        <f t="shared" ref="AO5:AO68" si="36">$AO$3</f>
        <v>#N/A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 t="e">
        <f>EXP(-LN(2)/35)*AU4+(1-EXP(-LN(2)/35))/(LN(2)/35)*AQ5*AR5*VLOOKUP('Données projet'!$B$10,Paramètres!$A$1:$I$89,3,0)*0.475*44/12</f>
        <v>#N/A</v>
      </c>
      <c r="AV5" s="23" t="e">
        <f>EXP(-LN(2)/25)*AV4+(1-EXP(-LN(2)/25))/(LN(2)/25)*Calculateur!AQ5*Calculateur!AS5*VLOOKUP('Données projet'!$B$10,Paramètres!$A$1:$I$89,3,0)*0.475*44/12</f>
        <v>#N/A</v>
      </c>
      <c r="AW5" s="23" t="e">
        <f>EXP(-LN(2)/2)*AW4+(1-EXP(-LN(2)/2))/(LN(2)/2)*AQ5*AT5*VLOOKUP('Données projet'!$B$10,Paramètres!$A$1:$I$89,3,0)*0.475*44/12</f>
        <v>#N/A</v>
      </c>
      <c r="AX5" s="23" t="e">
        <f t="shared" si="6"/>
        <v>#N/A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70">
        <f t="shared" si="1"/>
        <v>256.66666666666669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6.9411764705882355</v>
      </c>
      <c r="N6" s="14">
        <f>IF('Données projet'!$A$36&gt;35,N5+M6-V5,IF(A6&lt;'Données projet'!$A$36,$K$205^A6,IF(A6='Données projet'!$A$36,'Données projet'!$B$36,N5+M6-V5)))</f>
        <v>2.3207386577487843</v>
      </c>
      <c r="O6" s="14">
        <f>N6*VLOOKUP('Données projet'!$B$9,Paramètres!$A$1:$I$89,3,0)*VLOOKUP('Données projet'!$B$9,Paramètres!$A$1:$I$89,5,0)</f>
        <v>1.3878017173337731</v>
      </c>
      <c r="P6" s="14">
        <f t="shared" si="33"/>
        <v>0.61561979180116611</v>
      </c>
      <c r="Q6" s="22">
        <f t="shared" si="2"/>
        <v>3.4892924617433518</v>
      </c>
      <c r="R6" s="62">
        <f t="shared" si="0"/>
        <v>263.82262579507665</v>
      </c>
      <c r="S6" s="62">
        <f ca="1">AVERAGE(OFFSET($R$3,0,0,'Données projet'!$E$9+1,1))-AVERAGE(OFFSET($H$3,0,0,'Données projet'!$E$9+1,1))</f>
        <v>348.62416478262719</v>
      </c>
      <c r="T6" s="62">
        <f t="shared" si="34"/>
        <v>371.70674704563288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0</v>
      </c>
      <c r="AI6" s="14">
        <f>IF('Données projet'!$A$62&gt;35,AI5+AH6-AQ5,IF(A6&lt;'Données projet'!$A$62,$AF$205^A6,IF(A6='Données projet'!$A$62,'Données projet'!$B$62,AI5+AH6-AQ5)))</f>
        <v>0</v>
      </c>
      <c r="AJ6" s="14" t="e">
        <f>AI6*VLOOKUP('Données projet'!$B$10,Paramètres!$A$1:$I$89,3,0)*VLOOKUP('Données projet'!$B$10,Paramètres!$A$1:$I$89,5,0)</f>
        <v>#N/A</v>
      </c>
      <c r="AK6" s="14" t="e">
        <f t="shared" si="35"/>
        <v>#N/A</v>
      </c>
      <c r="AL6" s="22" t="e">
        <f t="shared" si="4"/>
        <v>#N/A</v>
      </c>
      <c r="AM6" s="62" t="e">
        <f t="shared" si="5"/>
        <v>#N/A</v>
      </c>
      <c r="AN6" s="62" t="e">
        <f ca="1">AVERAGE(OFFSET($AM$3,0,0,'Données projet'!$E$10+1,1))-AVERAGE(OFFSET($H$3,0,0,'Données projet'!$E$10+1,1))</f>
        <v>#N/A</v>
      </c>
      <c r="AO6" s="62" t="e">
        <f t="shared" si="36"/>
        <v>#N/A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 t="e">
        <f>EXP(-LN(2)/35)*AU5+(1-EXP(-LN(2)/35))/(LN(2)/35)*AQ6*AR6*VLOOKUP('Données projet'!$B$10,Paramètres!$A$1:$I$89,3,0)*0.475*44/12</f>
        <v>#N/A</v>
      </c>
      <c r="AV6" s="23" t="e">
        <f>EXP(-LN(2)/25)*AV5+(1-EXP(-LN(2)/25))/(LN(2)/25)*Calculateur!AQ6*Calculateur!AS6*VLOOKUP('Données projet'!$B$10,Paramètres!$A$1:$I$89,3,0)*0.475*44/12</f>
        <v>#N/A</v>
      </c>
      <c r="AW6" s="23" t="e">
        <f>EXP(-LN(2)/2)*AW5+(1-EXP(-LN(2)/2))/(LN(2)/2)*AQ6*AT6*VLOOKUP('Données projet'!$B$10,Paramètres!$A$1:$I$89,3,0)*0.475*44/12</f>
        <v>#N/A</v>
      </c>
      <c r="AX6" s="23" t="e">
        <f t="shared" si="6"/>
        <v>#N/A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70">
        <f t="shared" si="1"/>
        <v>256.66666666666669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6.9411764705882355</v>
      </c>
      <c r="N7" s="14">
        <f>IF('Données projet'!$A$36&gt;35,N6+M7-V6,IF(A7&lt;'Données projet'!$A$36,$K$205^A7,IF(A7='Données projet'!$A$36,'Données projet'!$B$36,N6+M7-V6)))</f>
        <v>3.0725690301044271</v>
      </c>
      <c r="O7" s="14">
        <f>N7*VLOOKUP('Données projet'!$B$9,Paramètres!$A$1:$I$89,3,0)*VLOOKUP('Données projet'!$B$9,Paramètres!$A$1:$I$89,5,0)</f>
        <v>1.8373962800024475</v>
      </c>
      <c r="P7" s="14">
        <f t="shared" si="33"/>
        <v>0.78886318355909346</v>
      </c>
      <c r="Q7" s="22">
        <f t="shared" si="2"/>
        <v>4.5740685657030165</v>
      </c>
      <c r="R7" s="62">
        <f t="shared" si="0"/>
        <v>266.12962412125859</v>
      </c>
      <c r="S7" s="62">
        <f ca="1">AVERAGE(OFFSET($R$3,0,0,'Données projet'!$E$9+1,1))-AVERAGE(OFFSET($H$3,0,0,'Données projet'!$E$9+1,1))</f>
        <v>348.62416478262719</v>
      </c>
      <c r="T7" s="62">
        <f t="shared" si="34"/>
        <v>371.70674704563288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0</v>
      </c>
      <c r="AI7" s="14">
        <f>IF('Données projet'!$A$62&gt;35,AI6+AH7-AQ6,IF(A7&lt;'Données projet'!$A$62,$AF$205^A7,IF(A7='Données projet'!$A$62,'Données projet'!$B$62,AI6+AH7-AQ6)))</f>
        <v>0</v>
      </c>
      <c r="AJ7" s="14" t="e">
        <f>AI7*VLOOKUP('Données projet'!$B$10,Paramètres!$A$1:$I$89,3,0)*VLOOKUP('Données projet'!$B$10,Paramètres!$A$1:$I$89,5,0)</f>
        <v>#N/A</v>
      </c>
      <c r="AK7" s="14" t="e">
        <f t="shared" si="35"/>
        <v>#N/A</v>
      </c>
      <c r="AL7" s="22" t="e">
        <f t="shared" si="4"/>
        <v>#N/A</v>
      </c>
      <c r="AM7" s="62" t="e">
        <f t="shared" si="5"/>
        <v>#N/A</v>
      </c>
      <c r="AN7" s="62" t="e">
        <f ca="1">AVERAGE(OFFSET($AM$3,0,0,'Données projet'!$E$10+1,1))-AVERAGE(OFFSET($H$3,0,0,'Données projet'!$E$10+1,1))</f>
        <v>#N/A</v>
      </c>
      <c r="AO7" s="62" t="e">
        <f t="shared" si="36"/>
        <v>#N/A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 t="e">
        <f>EXP(-LN(2)/35)*AU6+(1-EXP(-LN(2)/35))/(LN(2)/35)*AQ7*AR7*VLOOKUP('Données projet'!$B$10,Paramètres!$A$1:$I$89,3,0)*0.475*44/12</f>
        <v>#N/A</v>
      </c>
      <c r="AV7" s="23" t="e">
        <f>EXP(-LN(2)/25)*AV6+(1-EXP(-LN(2)/25))/(LN(2)/25)*Calculateur!AQ7*Calculateur!AS7*VLOOKUP('Données projet'!$B$10,Paramètres!$A$1:$I$89,3,0)*0.475*44/12</f>
        <v>#N/A</v>
      </c>
      <c r="AW7" s="23" t="e">
        <f>EXP(-LN(2)/2)*AW6+(1-EXP(-LN(2)/2))/(LN(2)/2)*AQ7*AT7*VLOOKUP('Données projet'!$B$10,Paramètres!$A$1:$I$89,3,0)*0.475*44/12</f>
        <v>#N/A</v>
      </c>
      <c r="AX7" s="23" t="e">
        <f t="shared" si="6"/>
        <v>#N/A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70">
        <f t="shared" si="1"/>
        <v>256.66666666666669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6.9411764705882355</v>
      </c>
      <c r="N8" s="14">
        <f>IF('Données projet'!$A$36&gt;35,N7+M8-V7,IF(A8&lt;'Données projet'!$A$36,$K$205^A8,IF(A8='Données projet'!$A$36,'Données projet'!$B$36,N7+M8-V7)))</f>
        <v>4.0679636258202043</v>
      </c>
      <c r="O8" s="14">
        <f>N8*VLOOKUP('Données projet'!$B$9,Paramètres!$A$1:$I$89,3,0)*VLOOKUP('Données projet'!$B$9,Paramètres!$A$1:$I$89,5,0)</f>
        <v>2.4326422482404824</v>
      </c>
      <c r="P8" s="14">
        <f t="shared" si="33"/>
        <v>1.0108595120931088</v>
      </c>
      <c r="Q8" s="22">
        <f t="shared" si="2"/>
        <v>5.9974322325810041</v>
      </c>
      <c r="R8" s="62">
        <f t="shared" si="0"/>
        <v>268.77521001035876</v>
      </c>
      <c r="S8" s="62">
        <f ca="1">AVERAGE(OFFSET($R$3,0,0,'Données projet'!$E$9+1,1))-AVERAGE(OFFSET($H$3,0,0,'Données projet'!$E$9+1,1))</f>
        <v>348.62416478262719</v>
      </c>
      <c r="T8" s="62">
        <f t="shared" si="34"/>
        <v>371.70674704563288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0</v>
      </c>
      <c r="AI8" s="14">
        <f>IF('Données projet'!$A$62&gt;35,AI7+AH8-AQ7,IF(A8&lt;'Données projet'!$A$62,$AF$205^A8,IF(A8='Données projet'!$A$62,'Données projet'!$B$62,AI7+AH8-AQ7)))</f>
        <v>0</v>
      </c>
      <c r="AJ8" s="14" t="e">
        <f>AI8*VLOOKUP('Données projet'!$B$10,Paramètres!$A$1:$I$89,3,0)*VLOOKUP('Données projet'!$B$10,Paramètres!$A$1:$I$89,5,0)</f>
        <v>#N/A</v>
      </c>
      <c r="AK8" s="14" t="e">
        <f t="shared" si="35"/>
        <v>#N/A</v>
      </c>
      <c r="AL8" s="22" t="e">
        <f t="shared" si="4"/>
        <v>#N/A</v>
      </c>
      <c r="AM8" s="62" t="e">
        <f t="shared" si="5"/>
        <v>#N/A</v>
      </c>
      <c r="AN8" s="62" t="e">
        <f ca="1">AVERAGE(OFFSET($AM$3,0,0,'Données projet'!$E$10+1,1))-AVERAGE(OFFSET($H$3,0,0,'Données projet'!$E$10+1,1))</f>
        <v>#N/A</v>
      </c>
      <c r="AO8" s="62" t="e">
        <f t="shared" si="36"/>
        <v>#N/A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 t="e">
        <f>EXP(-LN(2)/35)*AU7+(1-EXP(-LN(2)/35))/(LN(2)/35)*AQ8*AR8*VLOOKUP('Données projet'!$B$10,Paramètres!$A$1:$I$89,3,0)*0.475*44/12</f>
        <v>#N/A</v>
      </c>
      <c r="AV8" s="23" t="e">
        <f>EXP(-LN(2)/25)*AV7+(1-EXP(-LN(2)/25))/(LN(2)/25)*Calculateur!AQ8*Calculateur!AS8*VLOOKUP('Données projet'!$B$10,Paramètres!$A$1:$I$89,3,0)*0.475*44/12</f>
        <v>#N/A</v>
      </c>
      <c r="AW8" s="23" t="e">
        <f>EXP(-LN(2)/2)*AW7+(1-EXP(-LN(2)/2))/(LN(2)/2)*AQ8*AT8*VLOOKUP('Données projet'!$B$10,Paramètres!$A$1:$I$89,3,0)*0.475*44/12</f>
        <v>#N/A</v>
      </c>
      <c r="AX8" s="23" t="e">
        <f t="shared" si="6"/>
        <v>#N/A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70">
        <f t="shared" si="1"/>
        <v>256.66666666666669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6.9411764705882355</v>
      </c>
      <c r="N9" s="14">
        <f>IF('Données projet'!$A$36&gt;35,N8+M9-V8,IF(A9&lt;'Données projet'!$A$36,$K$205^A9,IF(A9='Données projet'!$A$36,'Données projet'!$B$36,N8+M9-V8)))</f>
        <v>5.38582791756963</v>
      </c>
      <c r="O9" s="14">
        <f>N9*VLOOKUP('Données projet'!$B$9,Paramètres!$A$1:$I$89,3,0)*VLOOKUP('Données projet'!$B$9,Paramètres!$A$1:$I$89,5,0)</f>
        <v>3.2207250947066388</v>
      </c>
      <c r="P9" s="14">
        <f t="shared" si="33"/>
        <v>1.2953284859599137</v>
      </c>
      <c r="Q9" s="22">
        <f t="shared" si="2"/>
        <v>7.8654599863275783</v>
      </c>
      <c r="R9" s="62">
        <f t="shared" si="0"/>
        <v>271.86545998632755</v>
      </c>
      <c r="S9" s="62">
        <f ca="1">AVERAGE(OFFSET($R$3,0,0,'Données projet'!$E$9+1,1))-AVERAGE(OFFSET($H$3,0,0,'Données projet'!$E$9+1,1))</f>
        <v>348.62416478262719</v>
      </c>
      <c r="T9" s="62">
        <f t="shared" si="34"/>
        <v>371.70674704563288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0</v>
      </c>
      <c r="AI9" s="14">
        <f>IF('Données projet'!$A$62&gt;35,AI8+AH9-AQ8,IF(A9&lt;'Données projet'!$A$62,$AF$205^A9,IF(A9='Données projet'!$A$62,'Données projet'!$B$62,AI8+AH9-AQ8)))</f>
        <v>0</v>
      </c>
      <c r="AJ9" s="14" t="e">
        <f>AI9*VLOOKUP('Données projet'!$B$10,Paramètres!$A$1:$I$89,3,0)*VLOOKUP('Données projet'!$B$10,Paramètres!$A$1:$I$89,5,0)</f>
        <v>#N/A</v>
      </c>
      <c r="AK9" s="14" t="e">
        <f t="shared" si="35"/>
        <v>#N/A</v>
      </c>
      <c r="AL9" s="22" t="e">
        <f t="shared" si="4"/>
        <v>#N/A</v>
      </c>
      <c r="AM9" s="62" t="e">
        <f t="shared" si="5"/>
        <v>#N/A</v>
      </c>
      <c r="AN9" s="62" t="e">
        <f ca="1">AVERAGE(OFFSET($AM$3,0,0,'Données projet'!$E$10+1,1))-AVERAGE(OFFSET($H$3,0,0,'Données projet'!$E$10+1,1))</f>
        <v>#N/A</v>
      </c>
      <c r="AO9" s="62" t="e">
        <f t="shared" si="36"/>
        <v>#N/A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 t="e">
        <f>EXP(-LN(2)/35)*AU8+(1-EXP(-LN(2)/35))/(LN(2)/35)*AQ9*AR9*VLOOKUP('Données projet'!$B$10,Paramètres!$A$1:$I$89,3,0)*0.475*44/12</f>
        <v>#N/A</v>
      </c>
      <c r="AV9" s="23" t="e">
        <f>EXP(-LN(2)/25)*AV8+(1-EXP(-LN(2)/25))/(LN(2)/25)*Calculateur!AQ9*Calculateur!AS9*VLOOKUP('Données projet'!$B$10,Paramètres!$A$1:$I$89,3,0)*0.475*44/12</f>
        <v>#N/A</v>
      </c>
      <c r="AW9" s="23" t="e">
        <f>EXP(-LN(2)/2)*AW8+(1-EXP(-LN(2)/2))/(LN(2)/2)*AQ9*AT9*VLOOKUP('Données projet'!$B$10,Paramètres!$A$1:$I$89,3,0)*0.475*44/12</f>
        <v>#N/A</v>
      </c>
      <c r="AX9" s="23" t="e">
        <f t="shared" si="6"/>
        <v>#N/A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70">
        <f t="shared" si="1"/>
        <v>256.66666666666669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6.9411764705882355</v>
      </c>
      <c r="N10" s="14">
        <f>IF('Données projet'!$A$36&gt;35,N9+M10-V9,IF(A10&lt;'Données projet'!$A$36,$K$205^A10,IF(A10='Données projet'!$A$36,'Données projet'!$B$36,N9+M10-V9)))</f>
        <v>7.130629726765032</v>
      </c>
      <c r="O10" s="14">
        <f>N10*VLOOKUP('Données projet'!$B$9,Paramètres!$A$1:$I$89,3,0)*VLOOKUP('Données projet'!$B$9,Paramètres!$A$1:$I$89,5,0)</f>
        <v>4.26411657660549</v>
      </c>
      <c r="P10" s="14">
        <f t="shared" si="33"/>
        <v>1.6598507175986843</v>
      </c>
      <c r="Q10" s="22">
        <f t="shared" si="2"/>
        <v>10.317576370738935</v>
      </c>
      <c r="R10" s="62">
        <f t="shared" si="0"/>
        <v>275.53979859296118</v>
      </c>
      <c r="S10" s="62">
        <f ca="1">AVERAGE(OFFSET($R$3,0,0,'Données projet'!$E$9+1,1))-AVERAGE(OFFSET($H$3,0,0,'Données projet'!$E$9+1,1))</f>
        <v>348.62416478262719</v>
      </c>
      <c r="T10" s="62">
        <f t="shared" si="34"/>
        <v>371.70674704563288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0</v>
      </c>
      <c r="AI10" s="14">
        <f>IF('Données projet'!$A$62&gt;35,AI9+AH10-AQ9,IF(A10&lt;'Données projet'!$A$62,$AF$205^A10,IF(A10='Données projet'!$A$62,'Données projet'!$B$62,AI9+AH10-AQ9)))</f>
        <v>0</v>
      </c>
      <c r="AJ10" s="14" t="e">
        <f>AI10*VLOOKUP('Données projet'!$B$10,Paramètres!$A$1:$I$89,3,0)*VLOOKUP('Données projet'!$B$10,Paramètres!$A$1:$I$89,5,0)</f>
        <v>#N/A</v>
      </c>
      <c r="AK10" s="14" t="e">
        <f t="shared" si="35"/>
        <v>#N/A</v>
      </c>
      <c r="AL10" s="22" t="e">
        <f t="shared" si="4"/>
        <v>#N/A</v>
      </c>
      <c r="AM10" s="62" t="e">
        <f t="shared" si="5"/>
        <v>#N/A</v>
      </c>
      <c r="AN10" s="62" t="e">
        <f ca="1">AVERAGE(OFFSET($AM$3,0,0,'Données projet'!$E$10+1,1))-AVERAGE(OFFSET($H$3,0,0,'Données projet'!$E$10+1,1))</f>
        <v>#N/A</v>
      </c>
      <c r="AO10" s="62" t="e">
        <f t="shared" si="36"/>
        <v>#N/A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 t="e">
        <f>EXP(-LN(2)/35)*AU9+(1-EXP(-LN(2)/35))/(LN(2)/35)*AQ10*AR10*VLOOKUP('Données projet'!$B$10,Paramètres!$A$1:$I$89,3,0)*0.475*44/12</f>
        <v>#N/A</v>
      </c>
      <c r="AV10" s="23" t="e">
        <f>EXP(-LN(2)/25)*AV9+(1-EXP(-LN(2)/25))/(LN(2)/25)*Calculateur!AQ10*Calculateur!AS10*VLOOKUP('Données projet'!$B$10,Paramètres!$A$1:$I$89,3,0)*0.475*44/12</f>
        <v>#N/A</v>
      </c>
      <c r="AW10" s="23" t="e">
        <f>EXP(-LN(2)/2)*AW9+(1-EXP(-LN(2)/2))/(LN(2)/2)*AQ10*AT10*VLOOKUP('Données projet'!$B$10,Paramètres!$A$1:$I$89,3,0)*0.475*44/12</f>
        <v>#N/A</v>
      </c>
      <c r="AX10" s="23" t="e">
        <f t="shared" si="6"/>
        <v>#N/A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70">
        <f t="shared" si="1"/>
        <v>256.66666666666669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6.9411764705882355</v>
      </c>
      <c r="N11" s="14">
        <f>IF('Données projet'!$A$36&gt;35,N10+M11-V10,IF(A11&lt;'Données projet'!$A$36,$K$205^A11,IF(A11='Données projet'!$A$36,'Données projet'!$B$36,N10+M11-V10)))</f>
        <v>9.4406804447568593</v>
      </c>
      <c r="O11" s="14">
        <f>N11*VLOOKUP('Données projet'!$B$9,Paramètres!$A$1:$I$89,3,0)*VLOOKUP('Données projet'!$B$9,Paramètres!$A$1:$I$89,5,0)</f>
        <v>5.6455269059646023</v>
      </c>
      <c r="P11" s="14">
        <f t="shared" si="33"/>
        <v>2.1269542317454508</v>
      </c>
      <c r="Q11" s="22">
        <f t="shared" si="2"/>
        <v>13.53707131484501</v>
      </c>
      <c r="R11" s="62">
        <f t="shared" si="0"/>
        <v>279.98151575928949</v>
      </c>
      <c r="S11" s="62">
        <f ca="1">AVERAGE(OFFSET($R$3,0,0,'Données projet'!$E$9+1,1))-AVERAGE(OFFSET($H$3,0,0,'Données projet'!$E$9+1,1))</f>
        <v>348.62416478262719</v>
      </c>
      <c r="T11" s="62">
        <f t="shared" si="34"/>
        <v>371.70674704563288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0</v>
      </c>
      <c r="AI11" s="14">
        <f>IF('Données projet'!$A$62&gt;35,AI10+AH11-AQ10,IF(A11&lt;'Données projet'!$A$62,$AF$205^A11,IF(A11='Données projet'!$A$62,'Données projet'!$B$62,AI10+AH11-AQ10)))</f>
        <v>0</v>
      </c>
      <c r="AJ11" s="14" t="e">
        <f>AI11*VLOOKUP('Données projet'!$B$10,Paramètres!$A$1:$I$89,3,0)*VLOOKUP('Données projet'!$B$10,Paramètres!$A$1:$I$89,5,0)</f>
        <v>#N/A</v>
      </c>
      <c r="AK11" s="14" t="e">
        <f t="shared" si="35"/>
        <v>#N/A</v>
      </c>
      <c r="AL11" s="22" t="e">
        <f t="shared" si="4"/>
        <v>#N/A</v>
      </c>
      <c r="AM11" s="62" t="e">
        <f t="shared" si="5"/>
        <v>#N/A</v>
      </c>
      <c r="AN11" s="62" t="e">
        <f ca="1">AVERAGE(OFFSET($AM$3,0,0,'Données projet'!$E$10+1,1))-AVERAGE(OFFSET($H$3,0,0,'Données projet'!$E$10+1,1))</f>
        <v>#N/A</v>
      </c>
      <c r="AO11" s="62" t="e">
        <f t="shared" si="36"/>
        <v>#N/A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 t="e">
        <f>EXP(-LN(2)/35)*AU10+(1-EXP(-LN(2)/35))/(LN(2)/35)*AQ11*AR11*VLOOKUP('Données projet'!$B$10,Paramètres!$A$1:$I$89,3,0)*0.475*44/12</f>
        <v>#N/A</v>
      </c>
      <c r="AV11" s="23" t="e">
        <f>EXP(-LN(2)/25)*AV10+(1-EXP(-LN(2)/25))/(LN(2)/25)*Calculateur!AQ11*Calculateur!AS11*VLOOKUP('Données projet'!$B$10,Paramètres!$A$1:$I$89,3,0)*0.475*44/12</f>
        <v>#N/A</v>
      </c>
      <c r="AW11" s="23" t="e">
        <f>EXP(-LN(2)/2)*AW10+(1-EXP(-LN(2)/2))/(LN(2)/2)*AQ11*AT11*VLOOKUP('Données projet'!$B$10,Paramètres!$A$1:$I$89,3,0)*0.475*44/12</f>
        <v>#N/A</v>
      </c>
      <c r="AX11" s="23" t="e">
        <f t="shared" si="6"/>
        <v>#N/A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70">
        <f t="shared" si="1"/>
        <v>256.66666666666669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6.9411764705882355</v>
      </c>
      <c r="N12" s="14">
        <f>IF('Données projet'!$A$36&gt;35,N11+M12-V11,IF(A12&lt;'Données projet'!$A$36,$K$205^A12,IF(A12='Données projet'!$A$36,'Données projet'!$B$36,N11+M12-V11)))</f>
        <v>12.499099052286473</v>
      </c>
      <c r="O12" s="14">
        <f>N12*VLOOKUP('Données projet'!$B$9,Paramètres!$A$1:$I$89,3,0)*VLOOKUP('Données projet'!$B$9,Paramètres!$A$1:$I$89,5,0)</f>
        <v>7.474461233267311</v>
      </c>
      <c r="P12" s="14">
        <f t="shared" si="33"/>
        <v>2.7255067314033421</v>
      </c>
      <c r="Q12" s="22">
        <f t="shared" si="2"/>
        <v>17.764944205134721</v>
      </c>
      <c r="R12" s="62">
        <f t="shared" si="0"/>
        <v>285.43161087180141</v>
      </c>
      <c r="S12" s="62">
        <f ca="1">AVERAGE(OFFSET($R$3,0,0,'Données projet'!$E$9+1,1))-AVERAGE(OFFSET($H$3,0,0,'Données projet'!$E$9+1,1))</f>
        <v>348.62416478262719</v>
      </c>
      <c r="T12" s="62">
        <f t="shared" si="34"/>
        <v>371.70674704563288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0</v>
      </c>
      <c r="AI12" s="14">
        <f>IF('Données projet'!$A$62&gt;35,AI11+AH12-AQ11,IF(A12&lt;'Données projet'!$A$62,$AF$205^A12,IF(A12='Données projet'!$A$62,'Données projet'!$B$62,AI11+AH12-AQ11)))</f>
        <v>0</v>
      </c>
      <c r="AJ12" s="14" t="e">
        <f>AI12*VLOOKUP('Données projet'!$B$10,Paramètres!$A$1:$I$89,3,0)*VLOOKUP('Données projet'!$B$10,Paramètres!$A$1:$I$89,5,0)</f>
        <v>#N/A</v>
      </c>
      <c r="AK12" s="14" t="e">
        <f t="shared" si="35"/>
        <v>#N/A</v>
      </c>
      <c r="AL12" s="22" t="e">
        <f t="shared" si="4"/>
        <v>#N/A</v>
      </c>
      <c r="AM12" s="62" t="e">
        <f t="shared" si="5"/>
        <v>#N/A</v>
      </c>
      <c r="AN12" s="62" t="e">
        <f ca="1">AVERAGE(OFFSET($AM$3,0,0,'Données projet'!$E$10+1,1))-AVERAGE(OFFSET($H$3,0,0,'Données projet'!$E$10+1,1))</f>
        <v>#N/A</v>
      </c>
      <c r="AO12" s="62" t="e">
        <f t="shared" si="36"/>
        <v>#N/A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 t="e">
        <f>EXP(-LN(2)/35)*AU11+(1-EXP(-LN(2)/35))/(LN(2)/35)*AQ12*AR12*VLOOKUP('Données projet'!$B$10,Paramètres!$A$1:$I$89,3,0)*0.475*44/12</f>
        <v>#N/A</v>
      </c>
      <c r="AV12" s="23" t="e">
        <f>EXP(-LN(2)/25)*AV11+(1-EXP(-LN(2)/25))/(LN(2)/25)*Calculateur!AQ12*Calculateur!AS12*VLOOKUP('Données projet'!$B$10,Paramètres!$A$1:$I$89,3,0)*0.475*44/12</f>
        <v>#N/A</v>
      </c>
      <c r="AW12" s="23" t="e">
        <f>EXP(-LN(2)/2)*AW11+(1-EXP(-LN(2)/2))/(LN(2)/2)*AQ12*AT12*VLOOKUP('Données projet'!$B$10,Paramètres!$A$1:$I$89,3,0)*0.475*44/12</f>
        <v>#N/A</v>
      </c>
      <c r="AX12" s="23" t="e">
        <f t="shared" si="6"/>
        <v>#N/A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70">
        <f t="shared" si="1"/>
        <v>256.66666666666669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6.9411764705882355</v>
      </c>
      <c r="N13" s="14">
        <f>IF('Données projet'!$A$36&gt;35,N12+M13-V12,IF(A13&lt;'Données projet'!$A$36,$K$205^A13,IF(A13='Données projet'!$A$36,'Données projet'!$B$36,N12+M13-V12)))</f>
        <v>16.548328060996262</v>
      </c>
      <c r="O13" s="14">
        <f>N13*VLOOKUP('Données projet'!$B$9,Paramètres!$A$1:$I$89,3,0)*VLOOKUP('Données projet'!$B$9,Paramètres!$A$1:$I$89,5,0)</f>
        <v>9.8959001804757651</v>
      </c>
      <c r="P13" s="14">
        <f t="shared" si="33"/>
        <v>3.4924996655094662</v>
      </c>
      <c r="Q13" s="22">
        <f t="shared" si="2"/>
        <v>23.318129731757608</v>
      </c>
      <c r="R13" s="62">
        <f t="shared" si="0"/>
        <v>292.20701862064647</v>
      </c>
      <c r="S13" s="62">
        <f ca="1">AVERAGE(OFFSET($R$3,0,0,'Données projet'!$E$9+1,1))-AVERAGE(OFFSET($H$3,0,0,'Données projet'!$E$9+1,1))</f>
        <v>348.62416478262719</v>
      </c>
      <c r="T13" s="62">
        <f t="shared" si="34"/>
        <v>371.70674704563288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0</v>
      </c>
      <c r="AI13" s="14">
        <f>IF('Données projet'!$A$62&gt;35,AI12+AH13-AQ12,IF(A13&lt;'Données projet'!$A$62,$AF$205^A13,IF(A13='Données projet'!$A$62,'Données projet'!$B$62,AI12+AH13-AQ12)))</f>
        <v>0</v>
      </c>
      <c r="AJ13" s="14" t="e">
        <f>AI13*VLOOKUP('Données projet'!$B$10,Paramètres!$A$1:$I$89,3,0)*VLOOKUP('Données projet'!$B$10,Paramètres!$A$1:$I$89,5,0)</f>
        <v>#N/A</v>
      </c>
      <c r="AK13" s="14" t="e">
        <f t="shared" si="35"/>
        <v>#N/A</v>
      </c>
      <c r="AL13" s="22" t="e">
        <f t="shared" si="4"/>
        <v>#N/A</v>
      </c>
      <c r="AM13" s="62" t="e">
        <f t="shared" si="5"/>
        <v>#N/A</v>
      </c>
      <c r="AN13" s="62" t="e">
        <f ca="1">AVERAGE(OFFSET($AM$3,0,0,'Données projet'!$E$10+1,1))-AVERAGE(OFFSET($H$3,0,0,'Données projet'!$E$10+1,1))</f>
        <v>#N/A</v>
      </c>
      <c r="AO13" s="62" t="e">
        <f t="shared" si="36"/>
        <v>#N/A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 t="e">
        <f>EXP(-LN(2)/35)*AU12+(1-EXP(-LN(2)/35))/(LN(2)/35)*AQ13*AR13*VLOOKUP('Données projet'!$B$10,Paramètres!$A$1:$I$89,3,0)*0.475*44/12</f>
        <v>#N/A</v>
      </c>
      <c r="AV13" s="23" t="e">
        <f>EXP(-LN(2)/25)*AV12+(1-EXP(-LN(2)/25))/(LN(2)/25)*Calculateur!AQ13*Calculateur!AS13*VLOOKUP('Données projet'!$B$10,Paramètres!$A$1:$I$89,3,0)*0.475*44/12</f>
        <v>#N/A</v>
      </c>
      <c r="AW13" s="23" t="e">
        <f>EXP(-LN(2)/2)*AW12+(1-EXP(-LN(2)/2))/(LN(2)/2)*AQ13*AT13*VLOOKUP('Données projet'!$B$10,Paramètres!$A$1:$I$89,3,0)*0.475*44/12</f>
        <v>#N/A</v>
      </c>
      <c r="AX13" s="23" t="e">
        <f t="shared" si="6"/>
        <v>#N/A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70">
        <f t="shared" si="1"/>
        <v>256.66666666666669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6.9411764705882355</v>
      </c>
      <c r="N14" s="14">
        <f>IF('Données projet'!$A$36&gt;35,N13+M14-V13,IF(A14&lt;'Données projet'!$A$36,$K$205^A14,IF(A14='Données projet'!$A$36,'Données projet'!$B$36,N13+M14-V13)))</f>
        <v>21.909352063600231</v>
      </c>
      <c r="O14" s="14">
        <f>N14*VLOOKUP('Données projet'!$B$9,Paramètres!$A$1:$I$89,3,0)*VLOOKUP('Données projet'!$B$9,Paramètres!$A$1:$I$89,5,0)</f>
        <v>13.101792534032938</v>
      </c>
      <c r="P14" s="14">
        <f t="shared" si="33"/>
        <v>4.4753343563761101</v>
      </c>
      <c r="Q14" s="22">
        <f t="shared" si="2"/>
        <v>30.613496000795752</v>
      </c>
      <c r="R14" s="62">
        <f t="shared" si="0"/>
        <v>300.72460711190689</v>
      </c>
      <c r="S14" s="62">
        <f ca="1">AVERAGE(OFFSET($R$3,0,0,'Données projet'!$E$9+1,1))-AVERAGE(OFFSET($H$3,0,0,'Données projet'!$E$9+1,1))</f>
        <v>348.62416478262719</v>
      </c>
      <c r="T14" s="62">
        <f t="shared" si="34"/>
        <v>371.70674704563288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0</v>
      </c>
      <c r="AI14" s="14">
        <f>IF('Données projet'!$A$62&gt;35,AI13+AH14-AQ13,IF(A14&lt;'Données projet'!$A$62,$AF$205^A14,IF(A14='Données projet'!$A$62,'Données projet'!$B$62,AI13+AH14-AQ13)))</f>
        <v>0</v>
      </c>
      <c r="AJ14" s="14" t="e">
        <f>AI14*VLOOKUP('Données projet'!$B$10,Paramètres!$A$1:$I$89,3,0)*VLOOKUP('Données projet'!$B$10,Paramètres!$A$1:$I$89,5,0)</f>
        <v>#N/A</v>
      </c>
      <c r="AK14" s="14" t="e">
        <f t="shared" si="35"/>
        <v>#N/A</v>
      </c>
      <c r="AL14" s="22" t="e">
        <f t="shared" si="4"/>
        <v>#N/A</v>
      </c>
      <c r="AM14" s="62" t="e">
        <f t="shared" si="5"/>
        <v>#N/A</v>
      </c>
      <c r="AN14" s="62" t="e">
        <f ca="1">AVERAGE(OFFSET($AM$3,0,0,'Données projet'!$E$10+1,1))-AVERAGE(OFFSET($H$3,0,0,'Données projet'!$E$10+1,1))</f>
        <v>#N/A</v>
      </c>
      <c r="AO14" s="62" t="e">
        <f t="shared" si="36"/>
        <v>#N/A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 t="e">
        <f>EXP(-LN(2)/35)*AU13+(1-EXP(-LN(2)/35))/(LN(2)/35)*AQ14*AR14*VLOOKUP('Données projet'!$B$10,Paramètres!$A$1:$I$89,3,0)*0.475*44/12</f>
        <v>#N/A</v>
      </c>
      <c r="AV14" s="23" t="e">
        <f>EXP(-LN(2)/25)*AV13+(1-EXP(-LN(2)/25))/(LN(2)/25)*Calculateur!AQ14*Calculateur!AS14*VLOOKUP('Données projet'!$B$10,Paramètres!$A$1:$I$89,3,0)*0.475*44/12</f>
        <v>#N/A</v>
      </c>
      <c r="AW14" s="23" t="e">
        <f>EXP(-LN(2)/2)*AW13+(1-EXP(-LN(2)/2))/(LN(2)/2)*AQ14*AT14*VLOOKUP('Données projet'!$B$10,Paramètres!$A$1:$I$89,3,0)*0.475*44/12</f>
        <v>#N/A</v>
      </c>
      <c r="AX14" s="23" t="e">
        <f t="shared" si="6"/>
        <v>#N/A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70">
        <f t="shared" si="1"/>
        <v>256.66666666666669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6.9411764705882355</v>
      </c>
      <c r="N15" s="14">
        <f>IF('Données projet'!$A$36&gt;35,N14+M15-V14,IF(A15&lt;'Données projet'!$A$36,$K$205^A15,IF(A15='Données projet'!$A$36,'Données projet'!$B$36,N14+M15-V14)))</f>
        <v>29.007142357672414</v>
      </c>
      <c r="O15" s="14">
        <f>N15*VLOOKUP('Données projet'!$B$9,Paramètres!$A$1:$I$89,3,0)*VLOOKUP('Données projet'!$B$9,Paramètres!$A$1:$I$89,5,0)</f>
        <v>17.346271129888105</v>
      </c>
      <c r="P15" s="14">
        <f t="shared" si="33"/>
        <v>5.7347514730366376</v>
      </c>
      <c r="Q15" s="22">
        <f t="shared" si="2"/>
        <v>40.19944770009392</v>
      </c>
      <c r="R15" s="62">
        <f t="shared" si="0"/>
        <v>311.53278103342723</v>
      </c>
      <c r="S15" s="62">
        <f ca="1">AVERAGE(OFFSET($R$3,0,0,'Données projet'!$E$9+1,1))-AVERAGE(OFFSET($H$3,0,0,'Données projet'!$E$9+1,1))</f>
        <v>348.62416478262719</v>
      </c>
      <c r="T15" s="62">
        <f t="shared" si="34"/>
        <v>371.70674704563288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0</v>
      </c>
      <c r="AI15" s="14">
        <f>IF('Données projet'!$A$62&gt;35,AI14+AH15-AQ14,IF(A15&lt;'Données projet'!$A$62,$AF$205^A15,IF(A15='Données projet'!$A$62,'Données projet'!$B$62,AI14+AH15-AQ14)))</f>
        <v>0</v>
      </c>
      <c r="AJ15" s="14" t="e">
        <f>AI15*VLOOKUP('Données projet'!$B$10,Paramètres!$A$1:$I$89,3,0)*VLOOKUP('Données projet'!$B$10,Paramètres!$A$1:$I$89,5,0)</f>
        <v>#N/A</v>
      </c>
      <c r="AK15" s="14" t="e">
        <f t="shared" si="35"/>
        <v>#N/A</v>
      </c>
      <c r="AL15" s="22" t="e">
        <f t="shared" si="4"/>
        <v>#N/A</v>
      </c>
      <c r="AM15" s="62" t="e">
        <f t="shared" si="5"/>
        <v>#N/A</v>
      </c>
      <c r="AN15" s="62" t="e">
        <f ca="1">AVERAGE(OFFSET($AM$3,0,0,'Données projet'!$E$10+1,1))-AVERAGE(OFFSET($H$3,0,0,'Données projet'!$E$10+1,1))</f>
        <v>#N/A</v>
      </c>
      <c r="AO15" s="62" t="e">
        <f t="shared" si="36"/>
        <v>#N/A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 t="e">
        <f>EXP(-LN(2)/35)*AU14+(1-EXP(-LN(2)/35))/(LN(2)/35)*AQ15*AR15*VLOOKUP('Données projet'!$B$10,Paramètres!$A$1:$I$89,3,0)*0.475*44/12</f>
        <v>#N/A</v>
      </c>
      <c r="AV15" s="23" t="e">
        <f>EXP(-LN(2)/25)*AV14+(1-EXP(-LN(2)/25))/(LN(2)/25)*Calculateur!AQ15*Calculateur!AS15*VLOOKUP('Données projet'!$B$10,Paramètres!$A$1:$I$89,3,0)*0.475*44/12</f>
        <v>#N/A</v>
      </c>
      <c r="AW15" s="23" t="e">
        <f>EXP(-LN(2)/2)*AW14+(1-EXP(-LN(2)/2))/(LN(2)/2)*AQ15*AT15*VLOOKUP('Données projet'!$B$10,Paramètres!$A$1:$I$89,3,0)*0.475*44/12</f>
        <v>#N/A</v>
      </c>
      <c r="AX15" s="23" t="e">
        <f t="shared" si="6"/>
        <v>#N/A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70">
        <f t="shared" si="1"/>
        <v>256.66666666666669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6.9411764705882355</v>
      </c>
      <c r="N16" s="14">
        <f>IF('Données projet'!$A$36&gt;35,N15+M16-V15,IF(A16&lt;'Données projet'!$A$36,$K$205^A16,IF(A16='Données projet'!$A$36,'Données projet'!$B$36,N15+M16-V15)))</f>
        <v>38.404344652263013</v>
      </c>
      <c r="O16" s="14">
        <f>N16*VLOOKUP('Données projet'!$B$9,Paramètres!$A$1:$I$89,3,0)*VLOOKUP('Données projet'!$B$9,Paramètres!$A$1:$I$89,5,0)</f>
        <v>22.965798102053284</v>
      </c>
      <c r="P16" s="14">
        <f t="shared" si="33"/>
        <v>7.3485848963755025</v>
      </c>
      <c r="Q16" s="22">
        <f t="shared" si="2"/>
        <v>52.797550388930141</v>
      </c>
      <c r="R16" s="62">
        <f t="shared" si="0"/>
        <v>325.35310594448566</v>
      </c>
      <c r="S16" s="62">
        <f ca="1">AVERAGE(OFFSET($R$3,0,0,'Données projet'!$E$9+1,1))-AVERAGE(OFFSET($H$3,0,0,'Données projet'!$E$9+1,1))</f>
        <v>348.62416478262719</v>
      </c>
      <c r="T16" s="62">
        <f t="shared" si="34"/>
        <v>371.70674704563288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0</v>
      </c>
      <c r="AI16" s="14">
        <f>IF('Données projet'!$A$62&gt;35,AI15+AH16-AQ15,IF(A16&lt;'Données projet'!$A$62,$AF$205^A16,IF(A16='Données projet'!$A$62,'Données projet'!$B$62,AI15+AH16-AQ15)))</f>
        <v>0</v>
      </c>
      <c r="AJ16" s="14" t="e">
        <f>AI16*VLOOKUP('Données projet'!$B$10,Paramètres!$A$1:$I$89,3,0)*VLOOKUP('Données projet'!$B$10,Paramètres!$A$1:$I$89,5,0)</f>
        <v>#N/A</v>
      </c>
      <c r="AK16" s="14" t="e">
        <f t="shared" si="35"/>
        <v>#N/A</v>
      </c>
      <c r="AL16" s="22" t="e">
        <f t="shared" si="4"/>
        <v>#N/A</v>
      </c>
      <c r="AM16" s="62" t="e">
        <f t="shared" si="5"/>
        <v>#N/A</v>
      </c>
      <c r="AN16" s="62" t="e">
        <f ca="1">AVERAGE(OFFSET($AM$3,0,0,'Données projet'!$E$10+1,1))-AVERAGE(OFFSET($H$3,0,0,'Données projet'!$E$10+1,1))</f>
        <v>#N/A</v>
      </c>
      <c r="AO16" s="62" t="e">
        <f t="shared" si="36"/>
        <v>#N/A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 t="e">
        <f>EXP(-LN(2)/35)*AU15+(1-EXP(-LN(2)/35))/(LN(2)/35)*AQ16*AR16*VLOOKUP('Données projet'!$B$10,Paramètres!$A$1:$I$89,3,0)*0.475*44/12</f>
        <v>#N/A</v>
      </c>
      <c r="AV16" s="23" t="e">
        <f>EXP(-LN(2)/25)*AV15+(1-EXP(-LN(2)/25))/(LN(2)/25)*Calculateur!AQ16*Calculateur!AS16*VLOOKUP('Données projet'!$B$10,Paramètres!$A$1:$I$89,3,0)*0.475*44/12</f>
        <v>#N/A</v>
      </c>
      <c r="AW16" s="23" t="e">
        <f>EXP(-LN(2)/2)*AW15+(1-EXP(-LN(2)/2))/(LN(2)/2)*AQ16*AT16*VLOOKUP('Données projet'!$B$10,Paramètres!$A$1:$I$89,3,0)*0.475*44/12</f>
        <v>#N/A</v>
      </c>
      <c r="AX16" s="23" t="e">
        <f t="shared" si="6"/>
        <v>#N/A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70">
        <f t="shared" si="1"/>
        <v>256.66666666666669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6.9411764705882355</v>
      </c>
      <c r="N17" s="14">
        <f>IF('Données projet'!$A$36&gt;35,N16+M17-V16,IF(A17&lt;'Données projet'!$A$36,$K$205^A17,IF(A17='Données projet'!$A$36,'Données projet'!$B$36,N16+M17-V16)))</f>
        <v>50.845880300225161</v>
      </c>
      <c r="O17" s="14">
        <f>N17*VLOOKUP('Données projet'!$B$9,Paramètres!$A$1:$I$89,3,0)*VLOOKUP('Données projet'!$B$9,Paramètres!$A$1:$I$89,5,0)</f>
        <v>30.405836419534648</v>
      </c>
      <c r="P17" s="14">
        <f t="shared" si="33"/>
        <v>9.4165719705798292</v>
      </c>
      <c r="Q17" s="22">
        <f t="shared" si="2"/>
        <v>69.357361279449364</v>
      </c>
      <c r="R17" s="62">
        <f t="shared" si="0"/>
        <v>343.13513905722715</v>
      </c>
      <c r="S17" s="62">
        <f ca="1">AVERAGE(OFFSET($R$3,0,0,'Données projet'!$E$9+1,1))-AVERAGE(OFFSET($H$3,0,0,'Données projet'!$E$9+1,1))</f>
        <v>348.62416478262719</v>
      </c>
      <c r="T17" s="62">
        <f t="shared" si="34"/>
        <v>371.70674704563288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0</v>
      </c>
      <c r="AI17" s="14">
        <f>IF('Données projet'!$A$62&gt;35,AI16+AH17-AQ16,IF(A17&lt;'Données projet'!$A$62,$AF$205^A17,IF(A17='Données projet'!$A$62,'Données projet'!$B$62,AI16+AH17-AQ16)))</f>
        <v>0</v>
      </c>
      <c r="AJ17" s="14" t="e">
        <f>AI17*VLOOKUP('Données projet'!$B$10,Paramètres!$A$1:$I$89,3,0)*VLOOKUP('Données projet'!$B$10,Paramètres!$A$1:$I$89,5,0)</f>
        <v>#N/A</v>
      </c>
      <c r="AK17" s="14" t="e">
        <f t="shared" si="35"/>
        <v>#N/A</v>
      </c>
      <c r="AL17" s="22" t="e">
        <f t="shared" si="4"/>
        <v>#N/A</v>
      </c>
      <c r="AM17" s="62" t="e">
        <f t="shared" si="5"/>
        <v>#N/A</v>
      </c>
      <c r="AN17" s="62" t="e">
        <f ca="1">AVERAGE(OFFSET($AM$3,0,0,'Données projet'!$E$10+1,1))-AVERAGE(OFFSET($H$3,0,0,'Données projet'!$E$10+1,1))</f>
        <v>#N/A</v>
      </c>
      <c r="AO17" s="62" t="e">
        <f t="shared" si="36"/>
        <v>#N/A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 t="e">
        <f>EXP(-LN(2)/35)*AU16+(1-EXP(-LN(2)/35))/(LN(2)/35)*AQ17*AR17*VLOOKUP('Données projet'!$B$10,Paramètres!$A$1:$I$89,3,0)*0.475*44/12</f>
        <v>#N/A</v>
      </c>
      <c r="AV17" s="23" t="e">
        <f>EXP(-LN(2)/25)*AV16+(1-EXP(-LN(2)/25))/(LN(2)/25)*Calculateur!AQ17*Calculateur!AS17*VLOOKUP('Données projet'!$B$10,Paramètres!$A$1:$I$89,3,0)*0.475*44/12</f>
        <v>#N/A</v>
      </c>
      <c r="AW17" s="23" t="e">
        <f>EXP(-LN(2)/2)*AW16+(1-EXP(-LN(2)/2))/(LN(2)/2)*AQ17*AT17*VLOOKUP('Données projet'!$B$10,Paramètres!$A$1:$I$89,3,0)*0.475*44/12</f>
        <v>#N/A</v>
      </c>
      <c r="AX17" s="23" t="e">
        <f t="shared" si="6"/>
        <v>#N/A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70">
        <f t="shared" si="1"/>
        <v>256.66666666666669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6.9411764705882355</v>
      </c>
      <c r="N18" s="14">
        <f>IF('Données projet'!$A$36&gt;35,N17+M18-V17,IF(A18&lt;'Données projet'!$A$36,$K$205^A18,IF(A18='Données projet'!$A$36,'Données projet'!$B$36,N17+M18-V17)))</f>
        <v>67.317996620272581</v>
      </c>
      <c r="O18" s="14">
        <f>N18*VLOOKUP('Données projet'!$B$9,Paramètres!$A$1:$I$89,3,0)*VLOOKUP('Données projet'!$B$9,Paramètres!$A$1:$I$89,5,0)</f>
        <v>40.256161978923011</v>
      </c>
      <c r="P18" s="14">
        <f t="shared" si="33"/>
        <v>12.066517421720839</v>
      </c>
      <c r="Q18" s="22">
        <f t="shared" si="2"/>
        <v>91.128666622788032</v>
      </c>
      <c r="R18" s="62">
        <f t="shared" si="0"/>
        <v>366.12866662278805</v>
      </c>
      <c r="S18" s="62">
        <f ca="1">AVERAGE(OFFSET($R$3,0,0,'Données projet'!$E$9+1,1))-AVERAGE(OFFSET($H$3,0,0,'Données projet'!$E$9+1,1))</f>
        <v>348.62416478262719</v>
      </c>
      <c r="T18" s="62">
        <f t="shared" si="34"/>
        <v>371.70674704563288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0</v>
      </c>
      <c r="AI18" s="14">
        <f>IF('Données projet'!$A$62&gt;35,AI17+AH18-AQ17,IF(A18&lt;'Données projet'!$A$62,$AF$205^A18,IF(A18='Données projet'!$A$62,'Données projet'!$B$62,AI17+AH18-AQ17)))</f>
        <v>0</v>
      </c>
      <c r="AJ18" s="14" t="e">
        <f>AI18*VLOOKUP('Données projet'!$B$10,Paramètres!$A$1:$I$89,3,0)*VLOOKUP('Données projet'!$B$10,Paramètres!$A$1:$I$89,5,0)</f>
        <v>#N/A</v>
      </c>
      <c r="AK18" s="14" t="e">
        <f t="shared" si="35"/>
        <v>#N/A</v>
      </c>
      <c r="AL18" s="22" t="e">
        <f t="shared" si="4"/>
        <v>#N/A</v>
      </c>
      <c r="AM18" s="62" t="e">
        <f t="shared" si="5"/>
        <v>#N/A</v>
      </c>
      <c r="AN18" s="62" t="e">
        <f ca="1">AVERAGE(OFFSET($AM$3,0,0,'Données projet'!$E$10+1,1))-AVERAGE(OFFSET($H$3,0,0,'Données projet'!$E$10+1,1))</f>
        <v>#N/A</v>
      </c>
      <c r="AO18" s="62" t="e">
        <f t="shared" si="36"/>
        <v>#N/A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 t="e">
        <f>EXP(-LN(2)/35)*AU17+(1-EXP(-LN(2)/35))/(LN(2)/35)*AQ18*AR18*VLOOKUP('Données projet'!$B$10,Paramètres!$A$1:$I$89,3,0)*0.475*44/12</f>
        <v>#N/A</v>
      </c>
      <c r="AV18" s="23" t="e">
        <f>EXP(-LN(2)/25)*AV17+(1-EXP(-LN(2)/25))/(LN(2)/25)*Calculateur!AQ18*Calculateur!AS18*VLOOKUP('Données projet'!$B$10,Paramètres!$A$1:$I$89,3,0)*0.475*44/12</f>
        <v>#N/A</v>
      </c>
      <c r="AW18" s="23" t="e">
        <f>EXP(-LN(2)/2)*AW17+(1-EXP(-LN(2)/2))/(LN(2)/2)*AQ18*AT18*VLOOKUP('Données projet'!$B$10,Paramètres!$A$1:$I$89,3,0)*0.475*44/12</f>
        <v>#N/A</v>
      </c>
      <c r="AX18" s="23" t="e">
        <f t="shared" si="6"/>
        <v>#N/A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70">
        <f t="shared" si="1"/>
        <v>256.66666666666669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6.9411764705882355</v>
      </c>
      <c r="N19" s="14">
        <f>IF('Données projet'!$A$36&gt;35,N18+M19-V18,IF(A19&lt;'Données projet'!$A$36,$K$205^A19,IF(A19='Données projet'!$A$36,'Données projet'!$B$36,N18+M19-V18)))</f>
        <v>89.126447260014572</v>
      </c>
      <c r="O19" s="14">
        <f>N19*VLOOKUP('Données projet'!$B$9,Paramètres!$A$1:$I$89,3,0)*VLOOKUP('Données projet'!$B$9,Paramètres!$A$1:$I$89,5,0)</f>
        <v>53.297615461488718</v>
      </c>
      <c r="P19" s="14">
        <f t="shared" si="33"/>
        <v>15.46219188294774</v>
      </c>
      <c r="Q19" s="22">
        <f t="shared" si="2"/>
        <v>119.75666445822681</v>
      </c>
      <c r="R19" s="62">
        <f t="shared" si="0"/>
        <v>395.97888668044902</v>
      </c>
      <c r="S19" s="62">
        <f ca="1">AVERAGE(OFFSET($R$3,0,0,'Données projet'!$E$9+1,1))-AVERAGE(OFFSET($H$3,0,0,'Données projet'!$E$9+1,1))</f>
        <v>348.62416478262719</v>
      </c>
      <c r="T19" s="62">
        <f t="shared" si="34"/>
        <v>371.70674704563288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0</v>
      </c>
      <c r="AI19" s="14">
        <f>IF('Données projet'!$A$62&gt;35,AI18+AH19-AQ18,IF(A19&lt;'Données projet'!$A$62,$AF$205^A19,IF(A19='Données projet'!$A$62,'Données projet'!$B$62,AI18+AH19-AQ18)))</f>
        <v>0</v>
      </c>
      <c r="AJ19" s="14" t="e">
        <f>AI19*VLOOKUP('Données projet'!$B$10,Paramètres!$A$1:$I$89,3,0)*VLOOKUP('Données projet'!$B$10,Paramètres!$A$1:$I$89,5,0)</f>
        <v>#N/A</v>
      </c>
      <c r="AK19" s="14" t="e">
        <f t="shared" si="35"/>
        <v>#N/A</v>
      </c>
      <c r="AL19" s="22" t="e">
        <f t="shared" si="4"/>
        <v>#N/A</v>
      </c>
      <c r="AM19" s="62" t="e">
        <f t="shared" si="5"/>
        <v>#N/A</v>
      </c>
      <c r="AN19" s="62" t="e">
        <f ca="1">AVERAGE(OFFSET($AM$3,0,0,'Données projet'!$E$10+1,1))-AVERAGE(OFFSET($H$3,0,0,'Données projet'!$E$10+1,1))</f>
        <v>#N/A</v>
      </c>
      <c r="AO19" s="62" t="e">
        <f t="shared" si="36"/>
        <v>#N/A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 t="e">
        <f>EXP(-LN(2)/35)*AU18+(1-EXP(-LN(2)/35))/(LN(2)/35)*AQ19*AR19*VLOOKUP('Données projet'!$B$10,Paramètres!$A$1:$I$89,3,0)*0.475*44/12</f>
        <v>#N/A</v>
      </c>
      <c r="AV19" s="23" t="e">
        <f>EXP(-LN(2)/25)*AV18+(1-EXP(-LN(2)/25))/(LN(2)/25)*Calculateur!AQ19*Calculateur!AS19*VLOOKUP('Données projet'!$B$10,Paramètres!$A$1:$I$89,3,0)*0.475*44/12</f>
        <v>#N/A</v>
      </c>
      <c r="AW19" s="23" t="e">
        <f>EXP(-LN(2)/2)*AW18+(1-EXP(-LN(2)/2))/(LN(2)/2)*AQ19*AT19*VLOOKUP('Données projet'!$B$10,Paramètres!$A$1:$I$89,3,0)*0.475*44/12</f>
        <v>#N/A</v>
      </c>
      <c r="AX19" s="23" t="e">
        <f t="shared" si="6"/>
        <v>#N/A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70">
        <f t="shared" si="1"/>
        <v>256.66666666666669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>
        <f>VLOOKUP(A20,'Données projet'!$A$35:$I$55,2,0)</f>
        <v>118</v>
      </c>
      <c r="L20" s="13">
        <f>VLOOKUP(A20,'Données projet'!$A$35:$I$55,9,0)</f>
        <v>6.9411764705882355</v>
      </c>
      <c r="M20" s="13">
        <f t="array" ref="M20">INDEX(L:L,MIN(IF(ISNUMBER(L20:L216),ROW(L20:L216),"")))</f>
        <v>6.9411764705882355</v>
      </c>
      <c r="N20" s="14">
        <f>IF('Données projet'!$A$36&gt;35,N19+M20-V19,IF(A20&lt;'Données projet'!$A$36,$K$205^A20,IF(A20='Données projet'!$A$36,'Données projet'!$B$36,N19+M20-V19)))</f>
        <v>118</v>
      </c>
      <c r="O20" s="14">
        <f>N20*VLOOKUP('Données projet'!$B$9,Paramètres!$A$1:$I$89,3,0)*VLOOKUP('Données projet'!$B$9,Paramètres!$A$1:$I$89,5,0)</f>
        <v>70.564000000000007</v>
      </c>
      <c r="P20" s="14">
        <f t="shared" si="33"/>
        <v>19.813453167086163</v>
      </c>
      <c r="Q20" s="22">
        <f t="shared" si="2"/>
        <v>157.40739759934175</v>
      </c>
      <c r="R20" s="62">
        <f t="shared" si="0"/>
        <v>434.85184204378618</v>
      </c>
      <c r="S20" s="62">
        <f ca="1">AVERAGE(OFFSET($R$3,0,0,'Données projet'!$E$9+1,1))-AVERAGE(OFFSET($H$3,0,0,'Données projet'!$E$9+1,1))</f>
        <v>348.62416478262719</v>
      </c>
      <c r="T20" s="62">
        <f t="shared" si="34"/>
        <v>371.70674704563288</v>
      </c>
      <c r="U20" s="16">
        <f>IF(ISNA(VLOOKUP(A20,'Données projet'!$A$35:$I$55,3,0)),0,VLOOKUP(A20,'Données projet'!$A$35:$I$55,3,0))</f>
        <v>1</v>
      </c>
      <c r="V20" s="16">
        <f>IF(ISNA(VLOOKUP(A20,'Données projet'!$A$35:$I$55,4,0)),0,VLOOKUP(A20,'Données projet'!$A$35:$I$55,4,0))</f>
        <v>15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1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10.1561237088124</v>
      </c>
      <c r="AC20" s="24">
        <f t="shared" si="3"/>
        <v>10.1561237088124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0</v>
      </c>
      <c r="AI20" s="14">
        <f>IF('Données projet'!$A$62&gt;35,AI19+AH20-AQ19,IF(A20&lt;'Données projet'!$A$62,$AF$205^A20,IF(A20='Données projet'!$A$62,'Données projet'!$B$62,AI19+AH20-AQ19)))</f>
        <v>0</v>
      </c>
      <c r="AJ20" s="14" t="e">
        <f>AI20*VLOOKUP('Données projet'!$B$10,Paramètres!$A$1:$I$89,3,0)*VLOOKUP('Données projet'!$B$10,Paramètres!$A$1:$I$89,5,0)</f>
        <v>#N/A</v>
      </c>
      <c r="AK20" s="14" t="e">
        <f t="shared" si="35"/>
        <v>#N/A</v>
      </c>
      <c r="AL20" s="22" t="e">
        <f t="shared" si="4"/>
        <v>#N/A</v>
      </c>
      <c r="AM20" s="62" t="e">
        <f t="shared" si="5"/>
        <v>#N/A</v>
      </c>
      <c r="AN20" s="62" t="e">
        <f ca="1">AVERAGE(OFFSET($AM$3,0,0,'Données projet'!$E$10+1,1))-AVERAGE(OFFSET($H$3,0,0,'Données projet'!$E$10+1,1))</f>
        <v>#N/A</v>
      </c>
      <c r="AO20" s="62" t="e">
        <f t="shared" si="36"/>
        <v>#N/A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 t="e">
        <f>EXP(-LN(2)/35)*AU19+(1-EXP(-LN(2)/35))/(LN(2)/35)*AQ20*AR20*VLOOKUP('Données projet'!$B$10,Paramètres!$A$1:$I$89,3,0)*0.475*44/12</f>
        <v>#N/A</v>
      </c>
      <c r="AV20" s="23" t="e">
        <f>EXP(-LN(2)/25)*AV19+(1-EXP(-LN(2)/25))/(LN(2)/25)*Calculateur!AQ20*Calculateur!AS20*VLOOKUP('Données projet'!$B$10,Paramètres!$A$1:$I$89,3,0)*0.475*44/12</f>
        <v>#N/A</v>
      </c>
      <c r="AW20" s="23" t="e">
        <f>EXP(-LN(2)/2)*AW19+(1-EXP(-LN(2)/2))/(LN(2)/2)*AQ20*AT20*VLOOKUP('Données projet'!$B$10,Paramètres!$A$1:$I$89,3,0)*0.475*44/12</f>
        <v>#N/A</v>
      </c>
      <c r="AX20" s="23" t="e">
        <f t="shared" si="6"/>
        <v>#N/A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70">
        <f t="shared" si="1"/>
        <v>256.66666666666669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11.333333333333334</v>
      </c>
      <c r="N21" s="14">
        <f>IF('Données projet'!$A$36&gt;35,N20+M21-V20,IF(A21&lt;'Données projet'!$A$36,$K$205^A21,IF(A21='Données projet'!$A$36,'Données projet'!$B$36,N20+M21-V20)))</f>
        <v>114.33333333333334</v>
      </c>
      <c r="O21" s="14">
        <f>N21*VLOOKUP('Données projet'!$B$9,Paramètres!$A$1:$I$89,3,0)*VLOOKUP('Données projet'!$B$9,Paramètres!$A$1:$I$89,5,0)</f>
        <v>68.37133333333334</v>
      </c>
      <c r="P21" s="14">
        <f t="shared" si="33"/>
        <v>19.268449754335993</v>
      </c>
      <c r="Q21" s="22">
        <f t="shared" si="2"/>
        <v>152.63928887769075</v>
      </c>
      <c r="R21" s="62">
        <f t="shared" si="0"/>
        <v>431.3059555443574</v>
      </c>
      <c r="S21" s="62">
        <f ca="1">AVERAGE(OFFSET($R$3,0,0,'Données projet'!$E$9+1,1))-AVERAGE(OFFSET($H$3,0,0,'Données projet'!$E$9+1,1))</f>
        <v>348.62416478262719</v>
      </c>
      <c r="T21" s="62">
        <f t="shared" si="34"/>
        <v>371.70674704563288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7.1814639450707176</v>
      </c>
      <c r="AC21" s="24">
        <f t="shared" si="3"/>
        <v>7.1814639450707176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0</v>
      </c>
      <c r="AI21" s="14">
        <f>IF('Données projet'!$A$62&gt;35,AI20+AH21-AQ20,IF(A21&lt;'Données projet'!$A$62,$AF$205^A21,IF(A21='Données projet'!$A$62,'Données projet'!$B$62,AI20+AH21-AQ20)))</f>
        <v>0</v>
      </c>
      <c r="AJ21" s="14" t="e">
        <f>AI21*VLOOKUP('Données projet'!$B$10,Paramètres!$A$1:$I$89,3,0)*VLOOKUP('Données projet'!$B$10,Paramètres!$A$1:$I$89,5,0)</f>
        <v>#N/A</v>
      </c>
      <c r="AK21" s="14" t="e">
        <f t="shared" si="35"/>
        <v>#N/A</v>
      </c>
      <c r="AL21" s="22" t="e">
        <f t="shared" si="4"/>
        <v>#N/A</v>
      </c>
      <c r="AM21" s="62" t="e">
        <f t="shared" si="5"/>
        <v>#N/A</v>
      </c>
      <c r="AN21" s="62" t="e">
        <f ca="1">AVERAGE(OFFSET($AM$3,0,0,'Données projet'!$E$10+1,1))-AVERAGE(OFFSET($H$3,0,0,'Données projet'!$E$10+1,1))</f>
        <v>#N/A</v>
      </c>
      <c r="AO21" s="62" t="e">
        <f t="shared" si="36"/>
        <v>#N/A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 t="e">
        <f>EXP(-LN(2)/35)*AU20+(1-EXP(-LN(2)/35))/(LN(2)/35)*AQ21*AR21*VLOOKUP('Données projet'!$B$10,Paramètres!$A$1:$I$89,3,0)*0.475*44/12</f>
        <v>#N/A</v>
      </c>
      <c r="AV21" s="23" t="e">
        <f>EXP(-LN(2)/25)*AV20+(1-EXP(-LN(2)/25))/(LN(2)/25)*Calculateur!AQ21*Calculateur!AS21*VLOOKUP('Données projet'!$B$10,Paramètres!$A$1:$I$89,3,0)*0.475*44/12</f>
        <v>#N/A</v>
      </c>
      <c r="AW21" s="23" t="e">
        <f>EXP(-LN(2)/2)*AW20+(1-EXP(-LN(2)/2))/(LN(2)/2)*AQ21*AT21*VLOOKUP('Données projet'!$B$10,Paramètres!$A$1:$I$89,3,0)*0.475*44/12</f>
        <v>#N/A</v>
      </c>
      <c r="AX21" s="23" t="e">
        <f t="shared" si="6"/>
        <v>#N/A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70">
        <f t="shared" si="1"/>
        <v>256.66666666666669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11.333333333333334</v>
      </c>
      <c r="N22" s="14">
        <f>IF('Données projet'!$A$36&gt;35,N21+M22-V21,IF(A22&lt;'Données projet'!$A$36,$K$205^A22,IF(A22='Données projet'!$A$36,'Données projet'!$B$36,N21+M22-V21)))</f>
        <v>125.66666666666667</v>
      </c>
      <c r="O22" s="14">
        <f>N22*VLOOKUP('Données projet'!$B$9,Paramètres!$A$1:$I$89,3,0)*VLOOKUP('Données projet'!$B$9,Paramètres!$A$1:$I$89,5,0)</f>
        <v>75.148666666666671</v>
      </c>
      <c r="P22" s="14">
        <f t="shared" si="33"/>
        <v>20.946723857947624</v>
      </c>
      <c r="Q22" s="22">
        <f t="shared" si="2"/>
        <v>167.36613849703656</v>
      </c>
      <c r="R22" s="62">
        <f t="shared" si="0"/>
        <v>447.25502738592542</v>
      </c>
      <c r="S22" s="62">
        <f ca="1">AVERAGE(OFFSET($R$3,0,0,'Données projet'!$E$9+1,1))-AVERAGE(OFFSET($H$3,0,0,'Données projet'!$E$9+1,1))</f>
        <v>348.62416478262719</v>
      </c>
      <c r="T22" s="62">
        <f t="shared" si="34"/>
        <v>371.70674704563288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5.0780618544062008</v>
      </c>
      <c r="AC22" s="24">
        <f t="shared" si="3"/>
        <v>5.0780618544062008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0</v>
      </c>
      <c r="AI22" s="14">
        <f>IF('Données projet'!$A$62&gt;35,AI21+AH22-AQ21,IF(A22&lt;'Données projet'!$A$62,$AF$205^A22,IF(A22='Données projet'!$A$62,'Données projet'!$B$62,AI21+AH22-AQ21)))</f>
        <v>0</v>
      </c>
      <c r="AJ22" s="14" t="e">
        <f>AI22*VLOOKUP('Données projet'!$B$10,Paramètres!$A$1:$I$89,3,0)*VLOOKUP('Données projet'!$B$10,Paramètres!$A$1:$I$89,5,0)</f>
        <v>#N/A</v>
      </c>
      <c r="AK22" s="14" t="e">
        <f t="shared" si="35"/>
        <v>#N/A</v>
      </c>
      <c r="AL22" s="22" t="e">
        <f t="shared" si="4"/>
        <v>#N/A</v>
      </c>
      <c r="AM22" s="62" t="e">
        <f t="shared" si="5"/>
        <v>#N/A</v>
      </c>
      <c r="AN22" s="62" t="e">
        <f ca="1">AVERAGE(OFFSET($AM$3,0,0,'Données projet'!$E$10+1,1))-AVERAGE(OFFSET($H$3,0,0,'Données projet'!$E$10+1,1))</f>
        <v>#N/A</v>
      </c>
      <c r="AO22" s="62" t="e">
        <f t="shared" si="36"/>
        <v>#N/A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 t="e">
        <f>EXP(-LN(2)/35)*AU21+(1-EXP(-LN(2)/35))/(LN(2)/35)*AQ22*AR22*VLOOKUP('Données projet'!$B$10,Paramètres!$A$1:$I$89,3,0)*0.475*44/12</f>
        <v>#N/A</v>
      </c>
      <c r="AV22" s="23" t="e">
        <f>EXP(-LN(2)/25)*AV21+(1-EXP(-LN(2)/25))/(LN(2)/25)*Calculateur!AQ22*Calculateur!AS22*VLOOKUP('Données projet'!$B$10,Paramètres!$A$1:$I$89,3,0)*0.475*44/12</f>
        <v>#N/A</v>
      </c>
      <c r="AW22" s="23" t="e">
        <f>EXP(-LN(2)/2)*AW21+(1-EXP(-LN(2)/2))/(LN(2)/2)*AQ22*AT22*VLOOKUP('Données projet'!$B$10,Paramètres!$A$1:$I$89,3,0)*0.475*44/12</f>
        <v>#N/A</v>
      </c>
      <c r="AX22" s="23" t="e">
        <f t="shared" si="6"/>
        <v>#N/A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70">
        <f t="shared" si="1"/>
        <v>256.66666666666669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>
        <f>VLOOKUP(A23,'Données projet'!$A$35:$I$55,2,0)</f>
        <v>137</v>
      </c>
      <c r="L23" s="13">
        <f>VLOOKUP(A23,'Données projet'!$A$35:$I$55,9,0)</f>
        <v>11.333333333333334</v>
      </c>
      <c r="M23" s="13">
        <f t="array" ref="M23">INDEX(L:L,MIN(IF(ISNUMBER(L23:L219),ROW(L23:L219),"")))</f>
        <v>11.333333333333334</v>
      </c>
      <c r="N23" s="14">
        <f>IF('Données projet'!$A$36&gt;35,N22+M23-V22,IF(A23&lt;'Données projet'!$A$36,$K$205^A23,IF(A23='Données projet'!$A$36,'Données projet'!$B$36,N22+M23-V22)))</f>
        <v>137</v>
      </c>
      <c r="O23" s="14">
        <f>N23*VLOOKUP('Données projet'!$B$9,Paramètres!$A$1:$I$89,3,0)*VLOOKUP('Données projet'!$B$9,Paramètres!$A$1:$I$89,5,0)</f>
        <v>81.926000000000002</v>
      </c>
      <c r="P23" s="14">
        <f t="shared" si="33"/>
        <v>22.607447146245146</v>
      </c>
      <c r="Q23" s="22">
        <f t="shared" si="2"/>
        <v>182.06242044637693</v>
      </c>
      <c r="R23" s="62">
        <f t="shared" si="0"/>
        <v>463.1735315574881</v>
      </c>
      <c r="S23" s="62">
        <f ca="1">AVERAGE(OFFSET($R$3,0,0,'Données projet'!$E$9+1,1))-AVERAGE(OFFSET($H$3,0,0,'Données projet'!$E$9+1,1))</f>
        <v>348.62416478262719</v>
      </c>
      <c r="T23" s="62">
        <f t="shared" si="34"/>
        <v>371.70674704563288</v>
      </c>
      <c r="U23" s="16">
        <f>IF(ISNA(VLOOKUP(A23,'Données projet'!$A$35:$I$55,3,0)),0,VLOOKUP(A23,'Données projet'!$A$35:$I$55,3,0))</f>
        <v>2</v>
      </c>
      <c r="V23" s="16">
        <f>IF(ISNA(VLOOKUP(A23,'Données projet'!$A$35:$I$55,4,0)),0,VLOOKUP(A23,'Données projet'!$A$35:$I$55,4,0))</f>
        <v>15</v>
      </c>
      <c r="W23" s="17">
        <f>IF(ISNA(VLOOKUP(A23,'Données projet'!$A$35:$I$55,5,0)),0%,VLOOKUP(A23,'Données projet'!$A$35:$I$55,5,0)*VLOOKUP('Données projet'!$B$9,Paramètres!$A$1:$I$89,7,0))</f>
        <v>9.0000000000000011E-2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0.8</v>
      </c>
      <c r="Z23" s="23">
        <f>EXP(-LN(2)/35)*Z22+(1-EXP(-LN(2)/35))/(LN(2)/35)*V23*W23*VLOOKUP('Données projet'!$B$9,Paramètres!$A$1:$I$89,3,0)*0.475*44/12</f>
        <v>1.070935484876341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11.71563093958528</v>
      </c>
      <c r="AC23" s="24">
        <f t="shared" si="3"/>
        <v>12.78656642446162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0</v>
      </c>
      <c r="AI23" s="14">
        <f>IF('Données projet'!$A$62&gt;35,AI22+AH23-AQ22,IF(A23&lt;'Données projet'!$A$62,$AF$205^A23,IF(A23='Données projet'!$A$62,'Données projet'!$B$62,AI22+AH23-AQ22)))</f>
        <v>0</v>
      </c>
      <c r="AJ23" s="14" t="e">
        <f>AI23*VLOOKUP('Données projet'!$B$10,Paramètres!$A$1:$I$89,3,0)*VLOOKUP('Données projet'!$B$10,Paramètres!$A$1:$I$89,5,0)</f>
        <v>#N/A</v>
      </c>
      <c r="AK23" s="14" t="e">
        <f t="shared" si="35"/>
        <v>#N/A</v>
      </c>
      <c r="AL23" s="22" t="e">
        <f t="shared" si="4"/>
        <v>#N/A</v>
      </c>
      <c r="AM23" s="62" t="e">
        <f t="shared" si="5"/>
        <v>#N/A</v>
      </c>
      <c r="AN23" s="62" t="e">
        <f ca="1">AVERAGE(OFFSET($AM$3,0,0,'Données projet'!$E$10+1,1))-AVERAGE(OFFSET($H$3,0,0,'Données projet'!$E$10+1,1))</f>
        <v>#N/A</v>
      </c>
      <c r="AO23" s="62" t="e">
        <f t="shared" si="36"/>
        <v>#N/A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 t="e">
        <f>EXP(-LN(2)/35)*AU22+(1-EXP(-LN(2)/35))/(LN(2)/35)*AQ23*AR23*VLOOKUP('Données projet'!$B$10,Paramètres!$A$1:$I$89,3,0)*0.475*44/12</f>
        <v>#N/A</v>
      </c>
      <c r="AV23" s="23" t="e">
        <f>EXP(-LN(2)/25)*AV22+(1-EXP(-LN(2)/25))/(LN(2)/25)*Calculateur!AQ23*Calculateur!AS23*VLOOKUP('Données projet'!$B$10,Paramètres!$A$1:$I$89,3,0)*0.475*44/12</f>
        <v>#N/A</v>
      </c>
      <c r="AW23" s="23" t="e">
        <f>EXP(-LN(2)/2)*AW22+(1-EXP(-LN(2)/2))/(LN(2)/2)*AQ23*AT23*VLOOKUP('Données projet'!$B$10,Paramètres!$A$1:$I$89,3,0)*0.475*44/12</f>
        <v>#N/A</v>
      </c>
      <c r="AX23" s="23" t="e">
        <f t="shared" si="6"/>
        <v>#N/A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70">
        <f t="shared" si="1"/>
        <v>256.66666666666669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16.399999999999999</v>
      </c>
      <c r="N24" s="14">
        <f>IF('Données projet'!$A$36&gt;35,N23+M24-V23,IF(A24&lt;'Données projet'!$A$36,$K$205^A24,IF(A24='Données projet'!$A$36,'Données projet'!$B$36,N23+M24-V23)))</f>
        <v>138.4</v>
      </c>
      <c r="O24" s="14">
        <f>N24*VLOOKUP('Données projet'!$B$9,Paramètres!$A$1:$I$89,3,0)*VLOOKUP('Données projet'!$B$9,Paramètres!$A$1:$I$89,5,0)</f>
        <v>82.763200000000012</v>
      </c>
      <c r="P24" s="14">
        <f t="shared" si="33"/>
        <v>22.811459894537176</v>
      </c>
      <c r="Q24" s="22">
        <f t="shared" si="2"/>
        <v>183.8758659829856</v>
      </c>
      <c r="R24" s="62">
        <f t="shared" si="0"/>
        <v>466.20919931631892</v>
      </c>
      <c r="S24" s="62">
        <f ca="1">AVERAGE(OFFSET($R$3,0,0,'Données projet'!$E$9+1,1))-AVERAGE(OFFSET($H$3,0,0,'Données projet'!$E$9+1,1))</f>
        <v>348.62416478262719</v>
      </c>
      <c r="T24" s="62">
        <f t="shared" si="34"/>
        <v>371.70674704563288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1.049935093224063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8.2842020832596752</v>
      </c>
      <c r="AC24" s="24">
        <f t="shared" si="3"/>
        <v>9.334137176483738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IF('Données projet'!$A$62&gt;35,AI23+AH24-AQ23,IF(A24&lt;'Données projet'!$A$62,$AF$205^A24,IF(A24='Données projet'!$A$62,'Données projet'!$B$62,AI23+AH24-AQ23)))</f>
        <v>0</v>
      </c>
      <c r="AJ24" s="14" t="e">
        <f>AI24*VLOOKUP('Données projet'!$B$10,Paramètres!$A$1:$I$89,3,0)*VLOOKUP('Données projet'!$B$10,Paramètres!$A$1:$I$89,5,0)</f>
        <v>#N/A</v>
      </c>
      <c r="AK24" s="14" t="e">
        <f t="shared" si="35"/>
        <v>#N/A</v>
      </c>
      <c r="AL24" s="22" t="e">
        <f t="shared" si="4"/>
        <v>#N/A</v>
      </c>
      <c r="AM24" s="62" t="e">
        <f t="shared" si="5"/>
        <v>#N/A</v>
      </c>
      <c r="AN24" s="62" t="e">
        <f ca="1">AVERAGE(OFFSET($AM$3,0,0,'Données projet'!$E$10+1,1))-AVERAGE(OFFSET($H$3,0,0,'Données projet'!$E$10+1,1))</f>
        <v>#N/A</v>
      </c>
      <c r="AO24" s="62" t="e">
        <f t="shared" si="36"/>
        <v>#N/A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 t="e">
        <f>EXP(-LN(2)/35)*AU23+(1-EXP(-LN(2)/35))/(LN(2)/35)*AQ24*AR24*VLOOKUP('Données projet'!$B$10,Paramètres!$A$1:$I$89,3,0)*0.475*44/12</f>
        <v>#N/A</v>
      </c>
      <c r="AV24" s="23" t="e">
        <f>EXP(-LN(2)/25)*AV23+(1-EXP(-LN(2)/25))/(LN(2)/25)*Calculateur!AQ24*Calculateur!AS24*VLOOKUP('Données projet'!$B$10,Paramètres!$A$1:$I$89,3,0)*0.475*44/12</f>
        <v>#N/A</v>
      </c>
      <c r="AW24" s="23" t="e">
        <f>EXP(-LN(2)/2)*AW23+(1-EXP(-LN(2)/2))/(LN(2)/2)*AQ24*AT24*VLOOKUP('Données projet'!$B$10,Paramètres!$A$1:$I$89,3,0)*0.475*44/12</f>
        <v>#N/A</v>
      </c>
      <c r="AX24" s="23" t="e">
        <f t="shared" si="6"/>
        <v>#N/A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70">
        <f t="shared" si="1"/>
        <v>256.66666666666669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16.399999999999999</v>
      </c>
      <c r="N25" s="14">
        <f>IF('Données projet'!$A$36&gt;35,N24+M25-V24,IF(A25&lt;'Données projet'!$A$36,$K$205^A25,IF(A25='Données projet'!$A$36,'Données projet'!$B$36,N24+M25-V24)))</f>
        <v>154.80000000000001</v>
      </c>
      <c r="O25" s="14">
        <f>N25*VLOOKUP('Données projet'!$B$9,Paramètres!$A$1:$I$89,3,0)*VLOOKUP('Données projet'!$B$9,Paramètres!$A$1:$I$89,5,0)</f>
        <v>92.570400000000021</v>
      </c>
      <c r="P25" s="14">
        <f t="shared" si="33"/>
        <v>25.184123943972491</v>
      </c>
      <c r="Q25" s="22">
        <f t="shared" si="2"/>
        <v>205.0891292024188</v>
      </c>
      <c r="R25" s="62">
        <f t="shared" si="0"/>
        <v>488.64468475797435</v>
      </c>
      <c r="S25" s="62">
        <f ca="1">AVERAGE(OFFSET($R$3,0,0,'Données projet'!$E$9+1,1))-AVERAGE(OFFSET($H$3,0,0,'Données projet'!$E$9+1,1))</f>
        <v>348.62416478262719</v>
      </c>
      <c r="T25" s="62">
        <f t="shared" si="34"/>
        <v>371.70674704563288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1.029346506443112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5.8578154697926408</v>
      </c>
      <c r="AC25" s="24">
        <f t="shared" si="3"/>
        <v>6.8871619762357525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IF('Données projet'!$A$62&gt;35,AI24+AH25-AQ24,IF(A25&lt;'Données projet'!$A$62,$AF$205^A25,IF(A25='Données projet'!$A$62,'Données projet'!$B$62,AI24+AH25-AQ24)))</f>
        <v>0</v>
      </c>
      <c r="AJ25" s="14" t="e">
        <f>AI25*VLOOKUP('Données projet'!$B$10,Paramètres!$A$1:$I$89,3,0)*VLOOKUP('Données projet'!$B$10,Paramètres!$A$1:$I$89,5,0)</f>
        <v>#N/A</v>
      </c>
      <c r="AK25" s="14" t="e">
        <f t="shared" si="35"/>
        <v>#N/A</v>
      </c>
      <c r="AL25" s="22" t="e">
        <f t="shared" si="4"/>
        <v>#N/A</v>
      </c>
      <c r="AM25" s="62" t="e">
        <f t="shared" si="5"/>
        <v>#N/A</v>
      </c>
      <c r="AN25" s="62" t="e">
        <f ca="1">AVERAGE(OFFSET($AM$3,0,0,'Données projet'!$E$10+1,1))-AVERAGE(OFFSET($H$3,0,0,'Données projet'!$E$10+1,1))</f>
        <v>#N/A</v>
      </c>
      <c r="AO25" s="62" t="e">
        <f t="shared" si="36"/>
        <v>#N/A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 t="e">
        <f>EXP(-LN(2)/35)*AU24+(1-EXP(-LN(2)/35))/(LN(2)/35)*AQ25*AR25*VLOOKUP('Données projet'!$B$10,Paramètres!$A$1:$I$89,3,0)*0.475*44/12</f>
        <v>#N/A</v>
      </c>
      <c r="AV25" s="23" t="e">
        <f>EXP(-LN(2)/25)*AV24+(1-EXP(-LN(2)/25))/(LN(2)/25)*Calculateur!AQ25*Calculateur!AS25*VLOOKUP('Données projet'!$B$10,Paramètres!$A$1:$I$89,3,0)*0.475*44/12</f>
        <v>#N/A</v>
      </c>
      <c r="AW25" s="23" t="e">
        <f>EXP(-LN(2)/2)*AW24+(1-EXP(-LN(2)/2))/(LN(2)/2)*AQ25*AT25*VLOOKUP('Données projet'!$B$10,Paramètres!$A$1:$I$89,3,0)*0.475*44/12</f>
        <v>#N/A</v>
      </c>
      <c r="AX25" s="23" t="e">
        <f t="shared" si="6"/>
        <v>#N/A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70">
        <f t="shared" si="1"/>
        <v>256.66666666666669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16.399999999999999</v>
      </c>
      <c r="N26" s="14">
        <f>IF('Données projet'!$A$36&gt;35,N25+M26-V25,IF(A26&lt;'Données projet'!$A$36,$K$205^A26,IF(A26='Données projet'!$A$36,'Données projet'!$B$36,N25+M26-V25)))</f>
        <v>171.20000000000002</v>
      </c>
      <c r="O26" s="14">
        <f>N26*VLOOKUP('Données projet'!$B$9,Paramètres!$A$1:$I$89,3,0)*VLOOKUP('Données projet'!$B$9,Paramètres!$A$1:$I$89,5,0)</f>
        <v>102.37760000000002</v>
      </c>
      <c r="P26" s="14">
        <f t="shared" si="33"/>
        <v>27.527651005505614</v>
      </c>
      <c r="Q26" s="22">
        <f t="shared" si="2"/>
        <v>226.25164550125564</v>
      </c>
      <c r="R26" s="62">
        <f t="shared" si="0"/>
        <v>511.02942327903338</v>
      </c>
      <c r="S26" s="62">
        <f ca="1">AVERAGE(OFFSET($R$3,0,0,'Données projet'!$E$9+1,1))-AVERAGE(OFFSET($H$3,0,0,'Données projet'!$E$9+1,1))</f>
        <v>348.62416478262719</v>
      </c>
      <c r="T26" s="62">
        <f t="shared" si="34"/>
        <v>371.70674704563288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1.0091616492911375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4.1421010416298385</v>
      </c>
      <c r="AC26" s="24">
        <f t="shared" si="3"/>
        <v>5.1512626909209764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IF('Données projet'!$A$62&gt;35,AI25+AH26-AQ25,IF(A26&lt;'Données projet'!$A$62,$AF$205^A26,IF(A26='Données projet'!$A$62,'Données projet'!$B$62,AI25+AH26-AQ25)))</f>
        <v>0</v>
      </c>
      <c r="AJ26" s="14" t="e">
        <f>AI26*VLOOKUP('Données projet'!$B$10,Paramètres!$A$1:$I$89,3,0)*VLOOKUP('Données projet'!$B$10,Paramètres!$A$1:$I$89,5,0)</f>
        <v>#N/A</v>
      </c>
      <c r="AK26" s="14" t="e">
        <f t="shared" si="35"/>
        <v>#N/A</v>
      </c>
      <c r="AL26" s="22" t="e">
        <f t="shared" si="4"/>
        <v>#N/A</v>
      </c>
      <c r="AM26" s="62" t="e">
        <f t="shared" si="5"/>
        <v>#N/A</v>
      </c>
      <c r="AN26" s="62" t="e">
        <f ca="1">AVERAGE(OFFSET($AM$3,0,0,'Données projet'!$E$10+1,1))-AVERAGE(OFFSET($H$3,0,0,'Données projet'!$E$10+1,1))</f>
        <v>#N/A</v>
      </c>
      <c r="AO26" s="62" t="e">
        <f t="shared" si="36"/>
        <v>#N/A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 t="e">
        <f>EXP(-LN(2)/35)*AU25+(1-EXP(-LN(2)/35))/(LN(2)/35)*AQ26*AR26*VLOOKUP('Données projet'!$B$10,Paramètres!$A$1:$I$89,3,0)*0.475*44/12</f>
        <v>#N/A</v>
      </c>
      <c r="AV26" s="23" t="e">
        <f>EXP(-LN(2)/25)*AV25+(1-EXP(-LN(2)/25))/(LN(2)/25)*Calculateur!AQ26*Calculateur!AS26*VLOOKUP('Données projet'!$B$10,Paramètres!$A$1:$I$89,3,0)*0.475*44/12</f>
        <v>#N/A</v>
      </c>
      <c r="AW26" s="23" t="e">
        <f>EXP(-LN(2)/2)*AW25+(1-EXP(-LN(2)/2))/(LN(2)/2)*AQ26*AT26*VLOOKUP('Données projet'!$B$10,Paramètres!$A$1:$I$89,3,0)*0.475*44/12</f>
        <v>#N/A</v>
      </c>
      <c r="AX26" s="23" t="e">
        <f t="shared" si="6"/>
        <v>#N/A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70">
        <f t="shared" si="1"/>
        <v>256.66666666666669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16.399999999999999</v>
      </c>
      <c r="N27" s="14">
        <f>IF('Données projet'!$A$36&gt;35,N26+M27-V26,IF(A27&lt;'Données projet'!$A$36,$K$205^A27,IF(A27='Données projet'!$A$36,'Données projet'!$B$36,N26+M27-V26)))</f>
        <v>187.60000000000002</v>
      </c>
      <c r="O27" s="14">
        <f>N27*VLOOKUP('Données projet'!$B$9,Paramètres!$A$1:$I$89,3,0)*VLOOKUP('Données projet'!$B$9,Paramètres!$A$1:$I$89,5,0)</f>
        <v>112.18480000000002</v>
      </c>
      <c r="P27" s="14">
        <f t="shared" si="33"/>
        <v>29.845149809641946</v>
      </c>
      <c r="Q27" s="22">
        <f t="shared" si="2"/>
        <v>247.36882925179307</v>
      </c>
      <c r="R27" s="62">
        <f t="shared" si="0"/>
        <v>533.36882925179304</v>
      </c>
      <c r="S27" s="62">
        <f ca="1">AVERAGE(OFFSET($R$3,0,0,'Données projet'!$E$9+1,1))-AVERAGE(OFFSET($H$3,0,0,'Données projet'!$E$9+1,1))</f>
        <v>348.62416478262719</v>
      </c>
      <c r="T27" s="62">
        <f t="shared" si="34"/>
        <v>371.70674704563288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0.98937260487636602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2.9289077348963208</v>
      </c>
      <c r="AC27" s="24">
        <f t="shared" si="3"/>
        <v>3.9182803397726866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IF('Données projet'!$A$62&gt;35,AI26+AH27-AQ26,IF(A27&lt;'Données projet'!$A$62,$AF$205^A27,IF(A27='Données projet'!$A$62,'Données projet'!$B$62,AI26+AH27-AQ26)))</f>
        <v>0</v>
      </c>
      <c r="AJ27" s="14" t="e">
        <f>AI27*VLOOKUP('Données projet'!$B$10,Paramètres!$A$1:$I$89,3,0)*VLOOKUP('Données projet'!$B$10,Paramètres!$A$1:$I$89,5,0)</f>
        <v>#N/A</v>
      </c>
      <c r="AK27" s="14" t="e">
        <f t="shared" si="35"/>
        <v>#N/A</v>
      </c>
      <c r="AL27" s="22" t="e">
        <f t="shared" si="4"/>
        <v>#N/A</v>
      </c>
      <c r="AM27" s="62" t="e">
        <f t="shared" si="5"/>
        <v>#N/A</v>
      </c>
      <c r="AN27" s="62" t="e">
        <f ca="1">AVERAGE(OFFSET($AM$3,0,0,'Données projet'!$E$10+1,1))-AVERAGE(OFFSET($H$3,0,0,'Données projet'!$E$10+1,1))</f>
        <v>#N/A</v>
      </c>
      <c r="AO27" s="62" t="e">
        <f t="shared" si="36"/>
        <v>#N/A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 t="e">
        <f>EXP(-LN(2)/35)*AU26+(1-EXP(-LN(2)/35))/(LN(2)/35)*AQ27*AR27*VLOOKUP('Données projet'!$B$10,Paramètres!$A$1:$I$89,3,0)*0.475*44/12</f>
        <v>#N/A</v>
      </c>
      <c r="AV27" s="23" t="e">
        <f>EXP(-LN(2)/25)*AV26+(1-EXP(-LN(2)/25))/(LN(2)/25)*Calculateur!AQ27*Calculateur!AS27*VLOOKUP('Données projet'!$B$10,Paramètres!$A$1:$I$89,3,0)*0.475*44/12</f>
        <v>#N/A</v>
      </c>
      <c r="AW27" s="23" t="e">
        <f>EXP(-LN(2)/2)*AW26+(1-EXP(-LN(2)/2))/(LN(2)/2)*AQ27*AT27*VLOOKUP('Données projet'!$B$10,Paramètres!$A$1:$I$89,3,0)*0.475*44/12</f>
        <v>#N/A</v>
      </c>
      <c r="AX27" s="23" t="e">
        <f t="shared" si="6"/>
        <v>#N/A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70">
        <f t="shared" si="1"/>
        <v>256.66666666666669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>
        <f>VLOOKUP(A28,'Données projet'!$A$35:$I$55,2,0)</f>
        <v>204</v>
      </c>
      <c r="L28" s="13">
        <f>VLOOKUP(A28,'Données projet'!$A$35:$I$55,9,0)</f>
        <v>16.399999999999999</v>
      </c>
      <c r="M28" s="13">
        <f t="array" ref="M28">INDEX(L:L,MIN(IF(ISNUMBER(L28:L224),ROW(L28:L224),"")))</f>
        <v>16.399999999999999</v>
      </c>
      <c r="N28" s="14">
        <f>IF('Données projet'!$A$36&gt;35,N27+M28-V27,IF(A28&lt;'Données projet'!$A$36,$K$205^A28,IF(A28='Données projet'!$A$36,'Données projet'!$B$36,N27+M28-V27)))</f>
        <v>204.00000000000003</v>
      </c>
      <c r="O28" s="14">
        <f>N28*VLOOKUP('Données projet'!$B$9,Paramètres!$A$1:$I$89,3,0)*VLOOKUP('Données projet'!$B$9,Paramètres!$A$1:$I$89,5,0)</f>
        <v>121.99200000000003</v>
      </c>
      <c r="P28" s="14">
        <f t="shared" si="33"/>
        <v>32.139154469866327</v>
      </c>
      <c r="Q28" s="22">
        <f t="shared" si="2"/>
        <v>268.44509403501723</v>
      </c>
      <c r="R28" s="62">
        <f t="shared" si="0"/>
        <v>555.66731625723946</v>
      </c>
      <c r="S28" s="62">
        <f ca="1">AVERAGE(OFFSET($R$3,0,0,'Données projet'!$E$9+1,1))-AVERAGE(OFFSET($H$3,0,0,'Données projet'!$E$9+1,1))</f>
        <v>348.62416478262719</v>
      </c>
      <c r="T28" s="62">
        <f t="shared" si="34"/>
        <v>371.70674704563288</v>
      </c>
      <c r="U28" s="16">
        <f>IF(ISNA(VLOOKUP(A28,'Données projet'!$A$35:$I$55,3,0)),0,VLOOKUP(A28,'Données projet'!$A$35:$I$55,3,0))</f>
        <v>3</v>
      </c>
      <c r="V28" s="16">
        <f>IF(ISNA(VLOOKUP(A28,'Données projet'!$A$35:$I$55,4,0)),0,VLOOKUP(A28,'Données projet'!$A$35:$I$55,4,0))</f>
        <v>36</v>
      </c>
      <c r="W28" s="17">
        <f>IF(ISNA(VLOOKUP(A28,'Données projet'!$A$35:$I$55,5,0)),0%,VLOOKUP(A28,'Données projet'!$A$35:$I$55,5,0)*VLOOKUP('Données projet'!$B$9,Paramètres!$A$1:$I$89,7,0))</f>
        <v>0.18000000000000002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0.6</v>
      </c>
      <c r="Z28" s="23">
        <f>EXP(-LN(2)/35)*Z27+(1-EXP(-LN(2)/35))/(LN(2)/35)*V28*W28*VLOOKUP('Données projet'!$B$9,Paramètres!$A$1:$I$89,3,0)*0.475*44/12</f>
        <v>6.1104619389588786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16.695868661504772</v>
      </c>
      <c r="AC28" s="24">
        <f t="shared" si="3"/>
        <v>22.806330600463649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IF('Données projet'!$A$62&gt;35,AI27+AH28-AQ27,IF(A28&lt;'Données projet'!$A$62,$AF$205^A28,IF(A28='Données projet'!$A$62,'Données projet'!$B$62,AI27+AH28-AQ27)))</f>
        <v>0</v>
      </c>
      <c r="AJ28" s="14" t="e">
        <f>AI28*VLOOKUP('Données projet'!$B$10,Paramètres!$A$1:$I$89,3,0)*VLOOKUP('Données projet'!$B$10,Paramètres!$A$1:$I$89,5,0)</f>
        <v>#N/A</v>
      </c>
      <c r="AK28" s="14" t="e">
        <f t="shared" si="35"/>
        <v>#N/A</v>
      </c>
      <c r="AL28" s="22" t="e">
        <f t="shared" si="4"/>
        <v>#N/A</v>
      </c>
      <c r="AM28" s="62" t="e">
        <f t="shared" si="5"/>
        <v>#N/A</v>
      </c>
      <c r="AN28" s="62" t="e">
        <f ca="1">AVERAGE(OFFSET($AM$3,0,0,'Données projet'!$E$10+1,1))-AVERAGE(OFFSET($H$3,0,0,'Données projet'!$E$10+1,1))</f>
        <v>#N/A</v>
      </c>
      <c r="AO28" s="62" t="e">
        <f t="shared" si="36"/>
        <v>#N/A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 t="e">
        <f>EXP(-LN(2)/35)*AU27+(1-EXP(-LN(2)/35))/(LN(2)/35)*AQ28*AR28*VLOOKUP('Données projet'!$B$10,Paramètres!$A$1:$I$89,3,0)*0.475*44/12</f>
        <v>#N/A</v>
      </c>
      <c r="AV28" s="23" t="e">
        <f>EXP(-LN(2)/25)*AV27+(1-EXP(-LN(2)/25))/(LN(2)/25)*Calculateur!AQ28*Calculateur!AS28*VLOOKUP('Données projet'!$B$10,Paramètres!$A$1:$I$89,3,0)*0.475*44/12</f>
        <v>#N/A</v>
      </c>
      <c r="AW28" s="23" t="e">
        <f>EXP(-LN(2)/2)*AW27+(1-EXP(-LN(2)/2))/(LN(2)/2)*AQ28*AT28*VLOOKUP('Données projet'!$B$10,Paramètres!$A$1:$I$89,3,0)*0.475*44/12</f>
        <v>#N/A</v>
      </c>
      <c r="AX28" s="23" t="e">
        <f t="shared" si="6"/>
        <v>#N/A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70">
        <f t="shared" si="1"/>
        <v>256.66666666666669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17.600000000000001</v>
      </c>
      <c r="N29" s="14">
        <f>IF('Données projet'!$A$36&gt;35,N28+M29-V28,IF(A29&lt;'Données projet'!$A$36,$K$205^A29,IF(A29='Données projet'!$A$36,'Données projet'!$B$36,N28+M29-V28)))</f>
        <v>185.60000000000002</v>
      </c>
      <c r="O29" s="14">
        <f>N29*VLOOKUP('Données projet'!$B$9,Paramètres!$A$1:$I$89,3,0)*VLOOKUP('Données projet'!$B$9,Paramètres!$A$1:$I$89,5,0)</f>
        <v>110.98880000000003</v>
      </c>
      <c r="P29" s="14">
        <f t="shared" si="33"/>
        <v>29.56383208945169</v>
      </c>
      <c r="Q29" s="22">
        <f t="shared" si="2"/>
        <v>244.79583422246174</v>
      </c>
      <c r="R29" s="62">
        <f t="shared" si="0"/>
        <v>533.24027866690619</v>
      </c>
      <c r="S29" s="62">
        <f ca="1">AVERAGE(OFFSET($R$3,0,0,'Données projet'!$E$9+1,1))-AVERAGE(OFFSET($H$3,0,0,'Données projet'!$E$9+1,1))</f>
        <v>348.62416478262719</v>
      </c>
      <c r="T29" s="62">
        <f t="shared" si="34"/>
        <v>371.70674704563288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5.9906395073496661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11.805761948349991</v>
      </c>
      <c r="AC29" s="24">
        <f t="shared" si="3"/>
        <v>17.796401455699659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0</v>
      </c>
      <c r="AJ29" s="14" t="e">
        <f>AI29*VLOOKUP('Données projet'!$B$10,Paramètres!$A$1:$I$89,3,0)*VLOOKUP('Données projet'!$B$10,Paramètres!$A$1:$I$89,5,0)</f>
        <v>#N/A</v>
      </c>
      <c r="AK29" s="14" t="e">
        <f t="shared" si="35"/>
        <v>#N/A</v>
      </c>
      <c r="AL29" s="22" t="e">
        <f t="shared" si="4"/>
        <v>#N/A</v>
      </c>
      <c r="AM29" s="62" t="e">
        <f t="shared" si="5"/>
        <v>#N/A</v>
      </c>
      <c r="AN29" s="62" t="e">
        <f ca="1">AVERAGE(OFFSET($AM$3,0,0,'Données projet'!$E$10+1,1))-AVERAGE(OFFSET($H$3,0,0,'Données projet'!$E$10+1,1))</f>
        <v>#N/A</v>
      </c>
      <c r="AO29" s="62" t="e">
        <f t="shared" si="36"/>
        <v>#N/A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 t="e">
        <f>EXP(-LN(2)/35)*AU28+(1-EXP(-LN(2)/35))/(LN(2)/35)*AQ29*AR29*VLOOKUP('Données projet'!$B$10,Paramètres!$A$1:$I$89,3,0)*0.475*44/12</f>
        <v>#N/A</v>
      </c>
      <c r="AV29" s="23" t="e">
        <f>EXP(-LN(2)/25)*AV28+(1-EXP(-LN(2)/25))/(LN(2)/25)*Calculateur!AQ29*Calculateur!AS29*VLOOKUP('Données projet'!$B$10,Paramètres!$A$1:$I$89,3,0)*0.475*44/12</f>
        <v>#N/A</v>
      </c>
      <c r="AW29" s="23" t="e">
        <f>EXP(-LN(2)/2)*AW28+(1-EXP(-LN(2)/2))/(LN(2)/2)*AQ29*AT29*VLOOKUP('Données projet'!$B$10,Paramètres!$A$1:$I$89,3,0)*0.475*44/12</f>
        <v>#N/A</v>
      </c>
      <c r="AX29" s="23" t="e">
        <f t="shared" si="6"/>
        <v>#N/A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70">
        <f t="shared" si="1"/>
        <v>256.66666666666669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17.600000000000001</v>
      </c>
      <c r="N30" s="14">
        <f>IF('Données projet'!$A$36&gt;35,N29+M30-V29,IF(A30&lt;'Données projet'!$A$36,$K$205^A30,IF(A30='Données projet'!$A$36,'Données projet'!$B$36,N29+M30-V29)))</f>
        <v>203.20000000000002</v>
      </c>
      <c r="O30" s="14">
        <f>N30*VLOOKUP('Données projet'!$B$9,Paramètres!$A$1:$I$89,3,0)*VLOOKUP('Données projet'!$B$9,Paramètres!$A$1:$I$89,5,0)</f>
        <v>121.51360000000001</v>
      </c>
      <c r="P30" s="14">
        <f t="shared" si="33"/>
        <v>32.027763694063836</v>
      </c>
      <c r="Q30" s="22">
        <f t="shared" si="2"/>
        <v>267.41787510049454</v>
      </c>
      <c r="R30" s="62">
        <f t="shared" si="0"/>
        <v>557.08454176716123</v>
      </c>
      <c r="S30" s="62">
        <f ca="1">AVERAGE(OFFSET($R$3,0,0,'Données projet'!$E$9+1,1))-AVERAGE(OFFSET($H$3,0,0,'Données projet'!$E$9+1,1))</f>
        <v>348.62416478262719</v>
      </c>
      <c r="T30" s="62">
        <f t="shared" si="34"/>
        <v>371.70674704563288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5.8731667205398432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8.3479343307523859</v>
      </c>
      <c r="AC30" s="24">
        <f t="shared" si="3"/>
        <v>14.22110105129223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0</v>
      </c>
      <c r="AJ30" s="14" t="e">
        <f>AI30*VLOOKUP('Données projet'!$B$10,Paramètres!$A$1:$I$89,3,0)*VLOOKUP('Données projet'!$B$10,Paramètres!$A$1:$I$89,5,0)</f>
        <v>#N/A</v>
      </c>
      <c r="AK30" s="14" t="e">
        <f t="shared" si="35"/>
        <v>#N/A</v>
      </c>
      <c r="AL30" s="22" t="e">
        <f t="shared" si="4"/>
        <v>#N/A</v>
      </c>
      <c r="AM30" s="62" t="e">
        <f t="shared" si="5"/>
        <v>#N/A</v>
      </c>
      <c r="AN30" s="62" t="e">
        <f ca="1">AVERAGE(OFFSET($AM$3,0,0,'Données projet'!$E$10+1,1))-AVERAGE(OFFSET($H$3,0,0,'Données projet'!$E$10+1,1))</f>
        <v>#N/A</v>
      </c>
      <c r="AO30" s="62" t="e">
        <f t="shared" si="36"/>
        <v>#N/A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 t="e">
        <f>EXP(-LN(2)/35)*AU29+(1-EXP(-LN(2)/35))/(LN(2)/35)*AQ30*AR30*VLOOKUP('Données projet'!$B$10,Paramètres!$A$1:$I$89,3,0)*0.475*44/12</f>
        <v>#N/A</v>
      </c>
      <c r="AV30" s="23" t="e">
        <f>EXP(-LN(2)/25)*AV29+(1-EXP(-LN(2)/25))/(LN(2)/25)*Calculateur!AQ30*Calculateur!AS30*VLOOKUP('Données projet'!$B$10,Paramètres!$A$1:$I$89,3,0)*0.475*44/12</f>
        <v>#N/A</v>
      </c>
      <c r="AW30" s="23" t="e">
        <f>EXP(-LN(2)/2)*AW29+(1-EXP(-LN(2)/2))/(LN(2)/2)*AQ30*AT30*VLOOKUP('Données projet'!$B$10,Paramètres!$A$1:$I$89,3,0)*0.475*44/12</f>
        <v>#N/A</v>
      </c>
      <c r="AX30" s="23" t="e">
        <f t="shared" si="6"/>
        <v>#N/A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70">
        <f t="shared" si="1"/>
        <v>256.66666666666669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17.600000000000001</v>
      </c>
      <c r="N31" s="14">
        <f>IF('Données projet'!$A$36&gt;35,N30+M31-V30,IF(A31&lt;'Données projet'!$A$36,$K$205^A31,IF(A31='Données projet'!$A$36,'Données projet'!$B$36,N30+M31-V30)))</f>
        <v>220.8</v>
      </c>
      <c r="O31" s="14">
        <f>N31*VLOOKUP('Données projet'!$B$9,Paramètres!$A$1:$I$89,3,0)*VLOOKUP('Données projet'!$B$9,Paramètres!$A$1:$I$89,5,0)</f>
        <v>132.03840000000002</v>
      </c>
      <c r="P31" s="14">
        <f t="shared" si="33"/>
        <v>34.466946374534373</v>
      </c>
      <c r="Q31" s="22">
        <f t="shared" si="2"/>
        <v>289.99681160231404</v>
      </c>
      <c r="R31" s="62">
        <f t="shared" si="0"/>
        <v>580.8857004912029</v>
      </c>
      <c r="S31" s="62">
        <f ca="1">AVERAGE(OFFSET($R$3,0,0,'Données projet'!$E$9+1,1))-AVERAGE(OFFSET($H$3,0,0,'Données projet'!$E$9+1,1))</f>
        <v>348.62416478262719</v>
      </c>
      <c r="T31" s="62">
        <f t="shared" si="34"/>
        <v>371.70674704563288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5.7579975034280357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5.9028809741749955</v>
      </c>
      <c r="AC31" s="24">
        <f t="shared" si="3"/>
        <v>11.660878477603031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0</v>
      </c>
      <c r="AJ31" s="14" t="e">
        <f>AI31*VLOOKUP('Données projet'!$B$10,Paramètres!$A$1:$I$89,3,0)*VLOOKUP('Données projet'!$B$10,Paramètres!$A$1:$I$89,5,0)</f>
        <v>#N/A</v>
      </c>
      <c r="AK31" s="14" t="e">
        <f t="shared" si="35"/>
        <v>#N/A</v>
      </c>
      <c r="AL31" s="22" t="e">
        <f t="shared" si="4"/>
        <v>#N/A</v>
      </c>
      <c r="AM31" s="62" t="e">
        <f t="shared" si="5"/>
        <v>#N/A</v>
      </c>
      <c r="AN31" s="62" t="e">
        <f ca="1">AVERAGE(OFFSET($AM$3,0,0,'Données projet'!$E$10+1,1))-AVERAGE(OFFSET($H$3,0,0,'Données projet'!$E$10+1,1))</f>
        <v>#N/A</v>
      </c>
      <c r="AO31" s="62" t="e">
        <f t="shared" si="36"/>
        <v>#N/A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 t="e">
        <f>EXP(-LN(2)/35)*AU30+(1-EXP(-LN(2)/35))/(LN(2)/35)*AQ31*AR31*VLOOKUP('Données projet'!$B$10,Paramètres!$A$1:$I$89,3,0)*0.475*44/12</f>
        <v>#N/A</v>
      </c>
      <c r="AV31" s="23" t="e">
        <f>EXP(-LN(2)/25)*AV30+(1-EXP(-LN(2)/25))/(LN(2)/25)*Calculateur!AQ31*Calculateur!AS31*VLOOKUP('Données projet'!$B$10,Paramètres!$A$1:$I$89,3,0)*0.475*44/12</f>
        <v>#N/A</v>
      </c>
      <c r="AW31" s="23" t="e">
        <f>EXP(-LN(2)/2)*AW30+(1-EXP(-LN(2)/2))/(LN(2)/2)*AQ31*AT31*VLOOKUP('Données projet'!$B$10,Paramètres!$A$1:$I$89,3,0)*0.475*44/12</f>
        <v>#N/A</v>
      </c>
      <c r="AX31" s="23" t="e">
        <f t="shared" si="6"/>
        <v>#N/A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70">
        <f t="shared" si="1"/>
        <v>256.66666666666669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17.600000000000001</v>
      </c>
      <c r="N32" s="14">
        <f>IF('Données projet'!$A$36&gt;35,N31+M32-V31,IF(A32&lt;'Données projet'!$A$36,$K$205^A32,IF(A32='Données projet'!$A$36,'Données projet'!$B$36,N31+M32-V31)))</f>
        <v>238.4</v>
      </c>
      <c r="O32" s="14">
        <f>N32*VLOOKUP('Données projet'!$B$9,Paramètres!$A$1:$I$89,3,0)*VLOOKUP('Données projet'!$B$9,Paramètres!$A$1:$I$89,5,0)</f>
        <v>142.56319999999999</v>
      </c>
      <c r="P32" s="14">
        <f t="shared" si="33"/>
        <v>36.883577154665602</v>
      </c>
      <c r="Q32" s="22">
        <f t="shared" si="2"/>
        <v>312.53647021104257</v>
      </c>
      <c r="R32" s="62">
        <f t="shared" si="0"/>
        <v>604.64758132215366</v>
      </c>
      <c r="S32" s="62">
        <f ca="1">AVERAGE(OFFSET($R$3,0,0,'Données projet'!$E$9+1,1))-AVERAGE(OFFSET($H$3,0,0,'Données projet'!$E$9+1,1))</f>
        <v>348.62416478262719</v>
      </c>
      <c r="T32" s="62">
        <f t="shared" si="34"/>
        <v>371.70674704563288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5.6450866844175049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4.1739671653761929</v>
      </c>
      <c r="AC32" s="24">
        <f t="shared" si="3"/>
        <v>9.819053849793697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0</v>
      </c>
      <c r="AJ32" s="14" t="e">
        <f>AI32*VLOOKUP('Données projet'!$B$10,Paramètres!$A$1:$I$89,3,0)*VLOOKUP('Données projet'!$B$10,Paramètres!$A$1:$I$89,5,0)</f>
        <v>#N/A</v>
      </c>
      <c r="AK32" s="14" t="e">
        <f t="shared" si="35"/>
        <v>#N/A</v>
      </c>
      <c r="AL32" s="22" t="e">
        <f t="shared" si="4"/>
        <v>#N/A</v>
      </c>
      <c r="AM32" s="62" t="e">
        <f t="shared" si="5"/>
        <v>#N/A</v>
      </c>
      <c r="AN32" s="62" t="e">
        <f ca="1">AVERAGE(OFFSET($AM$3,0,0,'Données projet'!$E$10+1,1))-AVERAGE(OFFSET($H$3,0,0,'Données projet'!$E$10+1,1))</f>
        <v>#N/A</v>
      </c>
      <c r="AO32" s="62" t="e">
        <f t="shared" si="36"/>
        <v>#N/A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 t="e">
        <f>EXP(-LN(2)/35)*AU31+(1-EXP(-LN(2)/35))/(LN(2)/35)*AQ32*AR32*VLOOKUP('Données projet'!$B$10,Paramètres!$A$1:$I$89,3,0)*0.475*44/12</f>
        <v>#N/A</v>
      </c>
      <c r="AV32" s="23" t="e">
        <f>EXP(-LN(2)/25)*AV31+(1-EXP(-LN(2)/25))/(LN(2)/25)*Calculateur!AQ32*Calculateur!AS32*VLOOKUP('Données projet'!$B$10,Paramètres!$A$1:$I$89,3,0)*0.475*44/12</f>
        <v>#N/A</v>
      </c>
      <c r="AW32" s="23" t="e">
        <f>EXP(-LN(2)/2)*AW31+(1-EXP(-LN(2)/2))/(LN(2)/2)*AQ32*AT32*VLOOKUP('Données projet'!$B$10,Paramètres!$A$1:$I$89,3,0)*0.475*44/12</f>
        <v>#N/A</v>
      </c>
      <c r="AX32" s="23" t="e">
        <f t="shared" si="6"/>
        <v>#N/A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70">
        <f t="shared" si="1"/>
        <v>256.66666666666669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256</v>
      </c>
      <c r="L33" s="13">
        <f>VLOOKUP(A33,'Données projet'!$A$35:$I$55,9,0)</f>
        <v>17.600000000000001</v>
      </c>
      <c r="M33" s="13">
        <f t="array" ref="M33">INDEX(L:L,MIN(IF(ISNUMBER(L33:L229),ROW(L33:L229),"")))</f>
        <v>17.600000000000001</v>
      </c>
      <c r="N33" s="14">
        <f>IF('Données projet'!$A$36&gt;35,N32+M33-V32,IF(A33&lt;'Données projet'!$A$36,$K$205^A33,IF(A33='Données projet'!$A$36,'Données projet'!$B$36,N32+M33-V32)))</f>
        <v>256</v>
      </c>
      <c r="O33" s="14">
        <f>N33*VLOOKUP('Données projet'!$B$9,Paramètres!$A$1:$I$89,3,0)*VLOOKUP('Données projet'!$B$9,Paramètres!$A$1:$I$89,5,0)</f>
        <v>153.08800000000002</v>
      </c>
      <c r="P33" s="14">
        <f t="shared" si="33"/>
        <v>39.27951026543515</v>
      </c>
      <c r="Q33" s="22">
        <f t="shared" si="2"/>
        <v>335.04008037896625</v>
      </c>
      <c r="R33" s="62">
        <f t="shared" si="0"/>
        <v>628.37341371229957</v>
      </c>
      <c r="S33" s="62">
        <f ca="1">AVERAGE(OFFSET($R$3,0,0,'Données projet'!$E$9+1,1))-AVERAGE(OFFSET($H$3,0,0,'Données projet'!$E$9+1,1))</f>
        <v>348.62416478262719</v>
      </c>
      <c r="T33" s="62">
        <f t="shared" si="34"/>
        <v>371.70674704563288</v>
      </c>
      <c r="U33" s="16">
        <f>IF(ISNA(VLOOKUP(A33,'Données projet'!$A$35:$I$55,3,0)),0,VLOOKUP(A33,'Données projet'!$A$35:$I$55,3,0))</f>
        <v>4</v>
      </c>
      <c r="V33" s="16">
        <f>IF(ISNA(VLOOKUP(A33,'Données projet'!$A$35:$I$55,4,0)),0,VLOOKUP(A33,'Données projet'!$A$35:$I$55,4,0))</f>
        <v>54</v>
      </c>
      <c r="W33" s="17">
        <f>IF(ISNA(VLOOKUP(A33,'Données projet'!$A$35:$I$55,5,0)),0%,VLOOKUP(A33,'Données projet'!$A$35:$I$55,5,0)*VLOOKUP('Données projet'!$B$9,Paramètres!$A$1:$I$89,7,0))</f>
        <v>0.20250000000000001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0.55000000000000004</v>
      </c>
      <c r="Z33" s="23">
        <f>EXP(-LN(2)/35)*Z32+(1-EXP(-LN(2)/35))/(LN(2)/35)*V33*W33*VLOOKUP('Données projet'!$B$9,Paramètres!$A$1:$I$89,3,0)*0.475*44/12</f>
        <v>14.208967405197331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23.060565430536055</v>
      </c>
      <c r="AC33" s="24">
        <f t="shared" si="3"/>
        <v>37.269532835733386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0</v>
      </c>
      <c r="AJ33" s="14" t="e">
        <f>AI33*VLOOKUP('Données projet'!$B$10,Paramètres!$A$1:$I$89,3,0)*VLOOKUP('Données projet'!$B$10,Paramètres!$A$1:$I$89,5,0)</f>
        <v>#N/A</v>
      </c>
      <c r="AK33" s="14" t="e">
        <f t="shared" si="35"/>
        <v>#N/A</v>
      </c>
      <c r="AL33" s="22" t="e">
        <f t="shared" si="4"/>
        <v>#N/A</v>
      </c>
      <c r="AM33" s="62" t="e">
        <f t="shared" si="5"/>
        <v>#N/A</v>
      </c>
      <c r="AN33" s="62" t="e">
        <f ca="1">AVERAGE(OFFSET($AM$3,0,0,'Données projet'!$E$10+1,1))-AVERAGE(OFFSET($H$3,0,0,'Données projet'!$E$10+1,1))</f>
        <v>#N/A</v>
      </c>
      <c r="AO33" s="62" t="e">
        <f t="shared" si="36"/>
        <v>#N/A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 t="e">
        <f>EXP(-LN(2)/35)*AU32+(1-EXP(-LN(2)/35))/(LN(2)/35)*AQ33*AR33*VLOOKUP('Données projet'!$B$10,Paramètres!$A$1:$I$89,3,0)*0.475*44/12</f>
        <v>#N/A</v>
      </c>
      <c r="AV33" s="23" t="e">
        <f>EXP(-LN(2)/25)*AV32+(1-EXP(-LN(2)/25))/(LN(2)/25)*Calculateur!AQ33*Calculateur!AS33*VLOOKUP('Données projet'!$B$10,Paramètres!$A$1:$I$89,3,0)*0.475*44/12</f>
        <v>#N/A</v>
      </c>
      <c r="AW33" s="23" t="e">
        <f>EXP(-LN(2)/2)*AW32+(1-EXP(-LN(2)/2))/(LN(2)/2)*AQ33*AT33*VLOOKUP('Données projet'!$B$10,Paramètres!$A$1:$I$89,3,0)*0.475*44/12</f>
        <v>#N/A</v>
      </c>
      <c r="AX33" s="23" t="e">
        <f t="shared" si="6"/>
        <v>#N/A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70">
        <f t="shared" si="1"/>
        <v>256.66666666666669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18.8</v>
      </c>
      <c r="N34" s="14">
        <f>IF('Données projet'!$A$36&gt;35,N33+M34-V33,IF(A34&lt;'Données projet'!$A$36,$K$205^A34,IF(A34='Données projet'!$A$36,'Données projet'!$B$36,N33+M34-V33)))</f>
        <v>220.8</v>
      </c>
      <c r="O34" s="14">
        <f>N34*VLOOKUP('Données projet'!$B$9,Paramètres!$A$1:$I$89,3,0)*VLOOKUP('Données projet'!$B$9,Paramètres!$A$1:$I$89,5,0)</f>
        <v>132.03840000000002</v>
      </c>
      <c r="P34" s="14">
        <f t="shared" si="33"/>
        <v>34.466946374534373</v>
      </c>
      <c r="Q34" s="22">
        <f t="shared" si="2"/>
        <v>289.99681160231404</v>
      </c>
      <c r="R34" s="62">
        <f t="shared" si="0"/>
        <v>583.33014493564735</v>
      </c>
      <c r="S34" s="62">
        <f ca="1">AVERAGE(OFFSET($R$3,0,0,'Données projet'!$E$9+1,1))-AVERAGE(OFFSET($H$3,0,0,'Données projet'!$E$9+1,1))</f>
        <v>348.62416478262719</v>
      </c>
      <c r="T34" s="62">
        <f t="shared" si="34"/>
        <v>371.70674704563288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13.930338220995772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16.306282193928123</v>
      </c>
      <c r="AC34" s="24">
        <f t="shared" si="3"/>
        <v>30.236620414923895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 t="e">
        <f>AI34*VLOOKUP('Données projet'!$B$10,Paramètres!$A$1:$I$89,3,0)*VLOOKUP('Données projet'!$B$10,Paramètres!$A$1:$I$89,5,0)</f>
        <v>#N/A</v>
      </c>
      <c r="AK34" s="14" t="e">
        <f t="shared" si="35"/>
        <v>#N/A</v>
      </c>
      <c r="AL34" s="22" t="e">
        <f t="shared" si="4"/>
        <v>#N/A</v>
      </c>
      <c r="AM34" s="62" t="e">
        <f t="shared" si="5"/>
        <v>#N/A</v>
      </c>
      <c r="AN34" s="62" t="e">
        <f ca="1">AVERAGE(OFFSET($AM$3,0,0,'Données projet'!$E$10+1,1))-AVERAGE(OFFSET($H$3,0,0,'Données projet'!$E$10+1,1))</f>
        <v>#N/A</v>
      </c>
      <c r="AO34" s="62" t="e">
        <f t="shared" si="36"/>
        <v>#N/A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 t="e">
        <f>EXP(-LN(2)/35)*AU33+(1-EXP(-LN(2)/35))/(LN(2)/35)*AQ34*AR34*VLOOKUP('Données projet'!$B$10,Paramètres!$A$1:$I$89,3,0)*0.475*44/12</f>
        <v>#N/A</v>
      </c>
      <c r="AV34" s="23" t="e">
        <f>EXP(-LN(2)/25)*AV33+(1-EXP(-LN(2)/25))/(LN(2)/25)*Calculateur!AQ34*Calculateur!AS34*VLOOKUP('Données projet'!$B$10,Paramètres!$A$1:$I$89,3,0)*0.475*44/12</f>
        <v>#N/A</v>
      </c>
      <c r="AW34" s="23" t="e">
        <f>EXP(-LN(2)/2)*AW33+(1-EXP(-LN(2)/2))/(LN(2)/2)*AQ34*AT34*VLOOKUP('Données projet'!$B$10,Paramètres!$A$1:$I$89,3,0)*0.475*44/12</f>
        <v>#N/A</v>
      </c>
      <c r="AX34" s="23" t="e">
        <f t="shared" si="6"/>
        <v>#N/A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70">
        <f t="shared" si="1"/>
        <v>256.66666666666669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18.8</v>
      </c>
      <c r="N35" s="14">
        <f>IF('Données projet'!$A$36&gt;35,N34+M35-V34,IF(A35&lt;'Données projet'!$A$36,$K$205^A35,IF(A35='Données projet'!$A$36,'Données projet'!$B$36,N34+M35-V34)))</f>
        <v>239.60000000000002</v>
      </c>
      <c r="O35" s="14">
        <f>N35*VLOOKUP('Données projet'!$B$9,Paramètres!$A$1:$I$89,3,0)*VLOOKUP('Données projet'!$B$9,Paramètres!$A$1:$I$89,5,0)</f>
        <v>143.28080000000003</v>
      </c>
      <c r="P35" s="14">
        <f t="shared" si="33"/>
        <v>37.047574465948976</v>
      </c>
      <c r="Q35" s="22">
        <f t="shared" ref="Q35:Q66" si="53">(O35+P35)*0.475*44/12</f>
        <v>314.07191886152782</v>
      </c>
      <c r="R35" s="62">
        <f t="shared" si="0"/>
        <v>607.40525219486108</v>
      </c>
      <c r="S35" s="62">
        <f ca="1">AVERAGE(OFFSET($R$3,0,0,'Données projet'!$E$9+1,1))-AVERAGE(OFFSET($H$3,0,0,'Données projet'!$E$9+1,1))</f>
        <v>348.62416478262719</v>
      </c>
      <c r="T35" s="62">
        <f t="shared" si="34"/>
        <v>371.70674704563288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13.657172785149383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11.530282715268029</v>
      </c>
      <c r="AC35" s="24">
        <f t="shared" si="3"/>
        <v>25.187455500417414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 t="e">
        <f>AI35*VLOOKUP('Données projet'!$B$10,Paramètres!$A$1:$I$89,3,0)*VLOOKUP('Données projet'!$B$10,Paramètres!$A$1:$I$89,5,0)</f>
        <v>#N/A</v>
      </c>
      <c r="AK35" s="14" t="e">
        <f t="shared" si="35"/>
        <v>#N/A</v>
      </c>
      <c r="AL35" s="22" t="e">
        <f t="shared" si="4"/>
        <v>#N/A</v>
      </c>
      <c r="AM35" s="62" t="e">
        <f t="shared" si="5"/>
        <v>#N/A</v>
      </c>
      <c r="AN35" s="62" t="e">
        <f ca="1">AVERAGE(OFFSET($AM$3,0,0,'Données projet'!$E$10+1,1))-AVERAGE(OFFSET($H$3,0,0,'Données projet'!$E$10+1,1))</f>
        <v>#N/A</v>
      </c>
      <c r="AO35" s="62" t="e">
        <f t="shared" si="36"/>
        <v>#N/A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 t="e">
        <f>EXP(-LN(2)/35)*AU34+(1-EXP(-LN(2)/35))/(LN(2)/35)*AQ35*AR35*VLOOKUP('Données projet'!$B$10,Paramètres!$A$1:$I$89,3,0)*0.475*44/12</f>
        <v>#N/A</v>
      </c>
      <c r="AV35" s="23" t="e">
        <f>EXP(-LN(2)/25)*AV34+(1-EXP(-LN(2)/25))/(LN(2)/25)*Calculateur!AQ35*Calculateur!AS35*VLOOKUP('Données projet'!$B$10,Paramètres!$A$1:$I$89,3,0)*0.475*44/12</f>
        <v>#N/A</v>
      </c>
      <c r="AW35" s="23" t="e">
        <f>EXP(-LN(2)/2)*AW34+(1-EXP(-LN(2)/2))/(LN(2)/2)*AQ35*AT35*VLOOKUP('Données projet'!$B$10,Paramètres!$A$1:$I$89,3,0)*0.475*44/12</f>
        <v>#N/A</v>
      </c>
      <c r="AX35" s="23" t="e">
        <f t="shared" si="6"/>
        <v>#N/A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70">
        <f t="shared" si="1"/>
        <v>256.66666666666669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18.8</v>
      </c>
      <c r="N36" s="14">
        <f>IF('Données projet'!$A$36&gt;35,N35+M36-V35,IF(A36&lt;'Données projet'!$A$36,$K$205^A36,IF(A36='Données projet'!$A$36,'Données projet'!$B$36,N35+M36-V35)))</f>
        <v>258.40000000000003</v>
      </c>
      <c r="O36" s="14">
        <f>N36*VLOOKUP('Données projet'!$B$9,Paramètres!$A$1:$I$89,3,0)*VLOOKUP('Données projet'!$B$9,Paramètres!$A$1:$I$89,5,0)</f>
        <v>154.52320000000003</v>
      </c>
      <c r="P36" s="14">
        <f t="shared" si="33"/>
        <v>39.60471498856284</v>
      </c>
      <c r="Q36" s="22">
        <f t="shared" si="53"/>
        <v>338.10611860508033</v>
      </c>
      <c r="R36" s="62">
        <f t="shared" si="0"/>
        <v>631.43945193841364</v>
      </c>
      <c r="S36" s="62">
        <f ca="1">AVERAGE(OFFSET($R$3,0,0,'Données projet'!$E$9+1,1))-AVERAGE(OFFSET($H$3,0,0,'Données projet'!$E$9+1,1))</f>
        <v>348.62416478262719</v>
      </c>
      <c r="T36" s="62">
        <f t="shared" si="34"/>
        <v>371.70674704563288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13.389363956885479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8.1531410969640614</v>
      </c>
      <c r="AC36" s="24">
        <f t="shared" si="3"/>
        <v>21.542505053849538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 t="e">
        <f>AI36*VLOOKUP('Données projet'!$B$10,Paramètres!$A$1:$I$89,3,0)*VLOOKUP('Données projet'!$B$10,Paramètres!$A$1:$I$89,5,0)</f>
        <v>#N/A</v>
      </c>
      <c r="AK36" s="14" t="e">
        <f t="shared" si="35"/>
        <v>#N/A</v>
      </c>
      <c r="AL36" s="22" t="e">
        <f t="shared" si="4"/>
        <v>#N/A</v>
      </c>
      <c r="AM36" s="62" t="e">
        <f t="shared" si="5"/>
        <v>#N/A</v>
      </c>
      <c r="AN36" s="62" t="e">
        <f ca="1">AVERAGE(OFFSET($AM$3,0,0,'Données projet'!$E$10+1,1))-AVERAGE(OFFSET($H$3,0,0,'Données projet'!$E$10+1,1))</f>
        <v>#N/A</v>
      </c>
      <c r="AO36" s="62" t="e">
        <f t="shared" si="36"/>
        <v>#N/A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 t="e">
        <f>EXP(-LN(2)/35)*AU35+(1-EXP(-LN(2)/35))/(LN(2)/35)*AQ36*AR36*VLOOKUP('Données projet'!$B$10,Paramètres!$A$1:$I$89,3,0)*0.475*44/12</f>
        <v>#N/A</v>
      </c>
      <c r="AV36" s="23" t="e">
        <f>EXP(-LN(2)/25)*AV35+(1-EXP(-LN(2)/25))/(LN(2)/25)*Calculateur!AQ36*Calculateur!AS36*VLOOKUP('Données projet'!$B$10,Paramètres!$A$1:$I$89,3,0)*0.475*44/12</f>
        <v>#N/A</v>
      </c>
      <c r="AW36" s="23" t="e">
        <f>EXP(-LN(2)/2)*AW35+(1-EXP(-LN(2)/2))/(LN(2)/2)*AQ36*AT36*VLOOKUP('Données projet'!$B$10,Paramètres!$A$1:$I$89,3,0)*0.475*44/12</f>
        <v>#N/A</v>
      </c>
      <c r="AX36" s="23" t="e">
        <f t="shared" si="6"/>
        <v>#N/A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70">
        <f t="shared" si="1"/>
        <v>256.66666666666669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18.8</v>
      </c>
      <c r="N37" s="14">
        <f>IF('Données projet'!$A$36&gt;35,N36+M37-V36,IF(A37&lt;'Données projet'!$A$36,$K$205^A37,IF(A37='Données projet'!$A$36,'Données projet'!$B$36,N36+M37-V36)))</f>
        <v>277.20000000000005</v>
      </c>
      <c r="O37" s="14">
        <f>N37*VLOOKUP('Données projet'!$B$9,Paramètres!$A$1:$I$89,3,0)*VLOOKUP('Données projet'!$B$9,Paramètres!$A$1:$I$89,5,0)</f>
        <v>165.76560000000003</v>
      </c>
      <c r="P37" s="14">
        <f t="shared" si="33"/>
        <v>42.140271125684265</v>
      </c>
      <c r="Q37" s="22">
        <f t="shared" si="53"/>
        <v>362.10272554390014</v>
      </c>
      <c r="R37" s="62">
        <f t="shared" si="0"/>
        <v>655.43605887723345</v>
      </c>
      <c r="S37" s="62">
        <f ca="1">AVERAGE(OFFSET($R$3,0,0,'Données projet'!$E$9+1,1))-AVERAGE(OFFSET($H$3,0,0,'Données projet'!$E$9+1,1))</f>
        <v>348.62416478262719</v>
      </c>
      <c r="T37" s="62">
        <f t="shared" si="34"/>
        <v>371.70674704563288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13.126806696396573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5.7651413576340147</v>
      </c>
      <c r="AC37" s="24">
        <f t="shared" si="3"/>
        <v>18.891948054030586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 t="e">
        <f>AI37*VLOOKUP('Données projet'!$B$10,Paramètres!$A$1:$I$89,3,0)*VLOOKUP('Données projet'!$B$10,Paramètres!$A$1:$I$89,5,0)</f>
        <v>#N/A</v>
      </c>
      <c r="AK37" s="14" t="e">
        <f t="shared" si="35"/>
        <v>#N/A</v>
      </c>
      <c r="AL37" s="22" t="e">
        <f t="shared" si="4"/>
        <v>#N/A</v>
      </c>
      <c r="AM37" s="62" t="e">
        <f t="shared" si="5"/>
        <v>#N/A</v>
      </c>
      <c r="AN37" s="62" t="e">
        <f ca="1">AVERAGE(OFFSET($AM$3,0,0,'Données projet'!$E$10+1,1))-AVERAGE(OFFSET($H$3,0,0,'Données projet'!$E$10+1,1))</f>
        <v>#N/A</v>
      </c>
      <c r="AO37" s="62" t="e">
        <f t="shared" si="36"/>
        <v>#N/A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 t="e">
        <f>EXP(-LN(2)/35)*AU36+(1-EXP(-LN(2)/35))/(LN(2)/35)*AQ37*AR37*VLOOKUP('Données projet'!$B$10,Paramètres!$A$1:$I$89,3,0)*0.475*44/12</f>
        <v>#N/A</v>
      </c>
      <c r="AV37" s="23" t="e">
        <f>EXP(-LN(2)/25)*AV36+(1-EXP(-LN(2)/25))/(LN(2)/25)*Calculateur!AQ37*Calculateur!AS37*VLOOKUP('Données projet'!$B$10,Paramètres!$A$1:$I$89,3,0)*0.475*44/12</f>
        <v>#N/A</v>
      </c>
      <c r="AW37" s="23" t="e">
        <f>EXP(-LN(2)/2)*AW36+(1-EXP(-LN(2)/2))/(LN(2)/2)*AQ37*AT37*VLOOKUP('Données projet'!$B$10,Paramètres!$A$1:$I$89,3,0)*0.475*44/12</f>
        <v>#N/A</v>
      </c>
      <c r="AX37" s="23" t="e">
        <f t="shared" si="6"/>
        <v>#N/A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70">
        <f t="shared" si="1"/>
        <v>256.66666666666669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296</v>
      </c>
      <c r="L38" s="13">
        <f>VLOOKUP(A38,'Données projet'!$A$35:$I$55,9,0)</f>
        <v>18.8</v>
      </c>
      <c r="M38" s="13">
        <f t="array" ref="M38">INDEX(L:L,MIN(IF(ISNUMBER(L38:L234),ROW(L38:L234),"")))</f>
        <v>18.8</v>
      </c>
      <c r="N38" s="14">
        <f>IF('Données projet'!$A$36&gt;35,N37+M38-V37,IF(A38&lt;'Données projet'!$A$36,$K$205^A38,IF(A38='Données projet'!$A$36,'Données projet'!$B$36,N37+M38-V37)))</f>
        <v>296.00000000000006</v>
      </c>
      <c r="O38" s="14">
        <f>N38*VLOOKUP('Données projet'!$B$9,Paramètres!$A$1:$I$89,3,0)*VLOOKUP('Données projet'!$B$9,Paramètres!$A$1:$I$89,5,0)</f>
        <v>177.00800000000004</v>
      </c>
      <c r="P38" s="14">
        <f t="shared" si="33"/>
        <v>44.65587329900309</v>
      </c>
      <c r="Q38" s="22">
        <f t="shared" si="53"/>
        <v>386.06457932909711</v>
      </c>
      <c r="R38" s="62">
        <f t="shared" si="0"/>
        <v>679.39791266243037</v>
      </c>
      <c r="S38" s="62">
        <f ca="1">AVERAGE(OFFSET($R$3,0,0,'Données projet'!$E$9+1,1))-AVERAGE(OFFSET($H$3,0,0,'Données projet'!$E$9+1,1))</f>
        <v>348.62416478262719</v>
      </c>
      <c r="T38" s="62">
        <f t="shared" si="34"/>
        <v>371.70674704563288</v>
      </c>
      <c r="U38" s="16">
        <f>IF(ISNA(VLOOKUP(A38,'Données projet'!$A$35:$I$55,3,0)),0,VLOOKUP(A38,'Données projet'!$A$35:$I$55,3,0))</f>
        <v>5</v>
      </c>
      <c r="V38" s="16">
        <f>IF(ISNA(VLOOKUP(A38,'Données projet'!$A$35:$I$55,4,0)),0,VLOOKUP(A38,'Données projet'!$A$35:$I$55,4,0))</f>
        <v>52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12.869398023641738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4.0765705484820307</v>
      </c>
      <c r="AC38" s="24">
        <f t="shared" si="3"/>
        <v>16.945968572123768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 t="e">
        <f>AI38*VLOOKUP('Données projet'!$B$10,Paramètres!$A$1:$I$89,3,0)*VLOOKUP('Données projet'!$B$10,Paramètres!$A$1:$I$89,5,0)</f>
        <v>#N/A</v>
      </c>
      <c r="AK38" s="14" t="e">
        <f t="shared" si="35"/>
        <v>#N/A</v>
      </c>
      <c r="AL38" s="22" t="e">
        <f t="shared" si="4"/>
        <v>#N/A</v>
      </c>
      <c r="AM38" s="62" t="e">
        <f t="shared" si="5"/>
        <v>#N/A</v>
      </c>
      <c r="AN38" s="62" t="e">
        <f ca="1">AVERAGE(OFFSET($AM$3,0,0,'Données projet'!$E$10+1,1))-AVERAGE(OFFSET($H$3,0,0,'Données projet'!$E$10+1,1))</f>
        <v>#N/A</v>
      </c>
      <c r="AO38" s="62" t="e">
        <f t="shared" si="36"/>
        <v>#N/A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 t="e">
        <f>EXP(-LN(2)/35)*AU37+(1-EXP(-LN(2)/35))/(LN(2)/35)*AQ38*AR38*VLOOKUP('Données projet'!$B$10,Paramètres!$A$1:$I$89,3,0)*0.475*44/12</f>
        <v>#N/A</v>
      </c>
      <c r="AV38" s="23" t="e">
        <f>EXP(-LN(2)/25)*AV37+(1-EXP(-LN(2)/25))/(LN(2)/25)*Calculateur!AQ38*Calculateur!AS38*VLOOKUP('Données projet'!$B$10,Paramètres!$A$1:$I$89,3,0)*0.475*44/12</f>
        <v>#N/A</v>
      </c>
      <c r="AW38" s="23" t="e">
        <f>EXP(-LN(2)/2)*AW37+(1-EXP(-LN(2)/2))/(LN(2)/2)*AQ38*AT38*VLOOKUP('Données projet'!$B$10,Paramètres!$A$1:$I$89,3,0)*0.475*44/12</f>
        <v>#N/A</v>
      </c>
      <c r="AX38" s="23" t="e">
        <f t="shared" si="6"/>
        <v>#N/A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70">
        <f t="shared" si="1"/>
        <v>256.66666666666669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17.600000000000001</v>
      </c>
      <c r="N39" s="14">
        <f>IF('Données projet'!$A$36&gt;35,N38+M39-V38,IF(A39&lt;'Données projet'!$A$36,$K$205^A39,IF(A39='Données projet'!$A$36,'Données projet'!$B$36,N38+M39-V38)))</f>
        <v>261.60000000000008</v>
      </c>
      <c r="O39" s="14">
        <f>N39*VLOOKUP('Données projet'!$B$9,Paramètres!$A$1:$I$89,3,0)*VLOOKUP('Données projet'!$B$9,Paramètres!$A$1:$I$89,5,0)</f>
        <v>156.43680000000006</v>
      </c>
      <c r="P39" s="14">
        <f t="shared" si="33"/>
        <v>40.037775291207829</v>
      </c>
      <c r="Q39" s="22">
        <f t="shared" si="53"/>
        <v>342.1932186321871</v>
      </c>
      <c r="R39" s="62">
        <f t="shared" si="0"/>
        <v>635.52655196552041</v>
      </c>
      <c r="S39" s="62">
        <f ca="1">AVERAGE(OFFSET($R$3,0,0,'Données projet'!$E$9+1,1))-AVERAGE(OFFSET($H$3,0,0,'Données projet'!$E$9+1,1))</f>
        <v>348.62416478262719</v>
      </c>
      <c r="T39" s="62">
        <f t="shared" si="34"/>
        <v>371.70674704563288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12.617036977955838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2.8825706788170073</v>
      </c>
      <c r="AC39" s="24">
        <f t="shared" si="3"/>
        <v>15.499607656772845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 t="e">
        <f>AI39*VLOOKUP('Données projet'!$B$10,Paramètres!$A$1:$I$89,3,0)*VLOOKUP('Données projet'!$B$10,Paramètres!$A$1:$I$89,5,0)</f>
        <v>#N/A</v>
      </c>
      <c r="AK39" s="14" t="e">
        <f t="shared" si="35"/>
        <v>#N/A</v>
      </c>
      <c r="AL39" s="22" t="e">
        <f t="shared" si="4"/>
        <v>#N/A</v>
      </c>
      <c r="AM39" s="62" t="e">
        <f t="shared" si="5"/>
        <v>#N/A</v>
      </c>
      <c r="AN39" s="62" t="e">
        <f ca="1">AVERAGE(OFFSET($AM$3,0,0,'Données projet'!$E$10+1,1))-AVERAGE(OFFSET($H$3,0,0,'Données projet'!$E$10+1,1))</f>
        <v>#N/A</v>
      </c>
      <c r="AO39" s="62" t="e">
        <f t="shared" si="36"/>
        <v>#N/A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 t="e">
        <f>EXP(-LN(2)/35)*AU38+(1-EXP(-LN(2)/35))/(LN(2)/35)*AQ39*AR39*VLOOKUP('Données projet'!$B$10,Paramètres!$A$1:$I$89,3,0)*0.475*44/12</f>
        <v>#N/A</v>
      </c>
      <c r="AV39" s="23" t="e">
        <f>EXP(-LN(2)/25)*AV38+(1-EXP(-LN(2)/25))/(LN(2)/25)*Calculateur!AQ39*Calculateur!AS39*VLOOKUP('Données projet'!$B$10,Paramètres!$A$1:$I$89,3,0)*0.475*44/12</f>
        <v>#N/A</v>
      </c>
      <c r="AW39" s="23" t="e">
        <f>EXP(-LN(2)/2)*AW38+(1-EXP(-LN(2)/2))/(LN(2)/2)*AQ39*AT39*VLOOKUP('Données projet'!$B$10,Paramètres!$A$1:$I$89,3,0)*0.475*44/12</f>
        <v>#N/A</v>
      </c>
      <c r="AX39" s="23" t="e">
        <f t="shared" si="6"/>
        <v>#N/A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70">
        <f t="shared" si="1"/>
        <v>256.66666666666669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17.600000000000001</v>
      </c>
      <c r="N40" s="14">
        <f>IF('Données projet'!$A$36&gt;35,N39+M40-V39,IF(A40&lt;'Données projet'!$A$36,$K$205^A40,IF(A40='Données projet'!$A$36,'Données projet'!$B$36,N39+M40-V39)))</f>
        <v>279.2000000000001</v>
      </c>
      <c r="O40" s="14">
        <f>N40*VLOOKUP('Données projet'!$B$9,Paramètres!$A$1:$I$89,3,0)*VLOOKUP('Données projet'!$B$9,Paramètres!$A$1:$I$89,5,0)</f>
        <v>166.96160000000006</v>
      </c>
      <c r="P40" s="14">
        <f t="shared" si="33"/>
        <v>42.408810446399933</v>
      </c>
      <c r="Q40" s="22">
        <f t="shared" si="53"/>
        <v>364.6534648608133</v>
      </c>
      <c r="R40" s="62">
        <f t="shared" si="0"/>
        <v>657.98679819414656</v>
      </c>
      <c r="S40" s="62">
        <f ca="1">AVERAGE(OFFSET($R$3,0,0,'Données projet'!$E$9+1,1))-AVERAGE(OFFSET($H$3,0,0,'Données projet'!$E$9+1,1))</f>
        <v>348.62416478262719</v>
      </c>
      <c r="T40" s="62">
        <f t="shared" si="34"/>
        <v>371.70674704563288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12.3696245784508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2.0382852742410154</v>
      </c>
      <c r="AC40" s="24">
        <f t="shared" si="3"/>
        <v>14.407909852691816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 t="e">
        <f>AI40*VLOOKUP('Données projet'!$B$10,Paramètres!$A$1:$I$89,3,0)*VLOOKUP('Données projet'!$B$10,Paramètres!$A$1:$I$89,5,0)</f>
        <v>#N/A</v>
      </c>
      <c r="AK40" s="14" t="e">
        <f t="shared" si="35"/>
        <v>#N/A</v>
      </c>
      <c r="AL40" s="22" t="e">
        <f t="shared" si="4"/>
        <v>#N/A</v>
      </c>
      <c r="AM40" s="62" t="e">
        <f t="shared" si="5"/>
        <v>#N/A</v>
      </c>
      <c r="AN40" s="62" t="e">
        <f ca="1">AVERAGE(OFFSET($AM$3,0,0,'Données projet'!$E$10+1,1))-AVERAGE(OFFSET($H$3,0,0,'Données projet'!$E$10+1,1))</f>
        <v>#N/A</v>
      </c>
      <c r="AO40" s="62" t="e">
        <f t="shared" si="36"/>
        <v>#N/A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 t="e">
        <f>EXP(-LN(2)/35)*AU39+(1-EXP(-LN(2)/35))/(LN(2)/35)*AQ40*AR40*VLOOKUP('Données projet'!$B$10,Paramètres!$A$1:$I$89,3,0)*0.475*44/12</f>
        <v>#N/A</v>
      </c>
      <c r="AV40" s="23" t="e">
        <f>EXP(-LN(2)/25)*AV39+(1-EXP(-LN(2)/25))/(LN(2)/25)*Calculateur!AQ40*Calculateur!AS40*VLOOKUP('Données projet'!$B$10,Paramètres!$A$1:$I$89,3,0)*0.475*44/12</f>
        <v>#N/A</v>
      </c>
      <c r="AW40" s="23" t="e">
        <f>EXP(-LN(2)/2)*AW39+(1-EXP(-LN(2)/2))/(LN(2)/2)*AQ40*AT40*VLOOKUP('Données projet'!$B$10,Paramètres!$A$1:$I$89,3,0)*0.475*44/12</f>
        <v>#N/A</v>
      </c>
      <c r="AX40" s="23" t="e">
        <f t="shared" si="6"/>
        <v>#N/A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70">
        <f t="shared" si="1"/>
        <v>256.66666666666669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17.600000000000001</v>
      </c>
      <c r="N41" s="14">
        <f>IF('Données projet'!$A$36&gt;35,N40+M41-V40,IF(A41&lt;'Données projet'!$A$36,$K$205^A41,IF(A41='Données projet'!$A$36,'Données projet'!$B$36,N40+M41-V40)))</f>
        <v>296.80000000000013</v>
      </c>
      <c r="O41" s="14">
        <f>N41*VLOOKUP('Données projet'!$B$9,Paramètres!$A$1:$I$89,3,0)*VLOOKUP('Données projet'!$B$9,Paramètres!$A$1:$I$89,5,0)</f>
        <v>177.48640000000012</v>
      </c>
      <c r="P41" s="14">
        <f t="shared" si="33"/>
        <v>44.762499594286361</v>
      </c>
      <c r="Q41" s="22">
        <f t="shared" si="53"/>
        <v>387.08350012671559</v>
      </c>
      <c r="R41" s="62">
        <f t="shared" si="0"/>
        <v>680.41683346004891</v>
      </c>
      <c r="S41" s="62">
        <f ca="1">AVERAGE(OFFSET($R$3,0,0,'Données projet'!$E$9+1,1))-AVERAGE(OFFSET($H$3,0,0,'Données projet'!$E$9+1,1))</f>
        <v>348.62416478262719</v>
      </c>
      <c r="T41" s="62">
        <f t="shared" si="34"/>
        <v>371.70674704563288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12.127063785193393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1.4412853394085037</v>
      </c>
      <c r="AC41" s="24">
        <f t="shared" si="3"/>
        <v>13.568349124601896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 t="e">
        <f>AI41*VLOOKUP('Données projet'!$B$10,Paramètres!$A$1:$I$89,3,0)*VLOOKUP('Données projet'!$B$10,Paramètres!$A$1:$I$89,5,0)</f>
        <v>#N/A</v>
      </c>
      <c r="AK41" s="14" t="e">
        <f t="shared" si="35"/>
        <v>#N/A</v>
      </c>
      <c r="AL41" s="22" t="e">
        <f t="shared" si="4"/>
        <v>#N/A</v>
      </c>
      <c r="AM41" s="62" t="e">
        <f t="shared" si="5"/>
        <v>#N/A</v>
      </c>
      <c r="AN41" s="62" t="e">
        <f ca="1">AVERAGE(OFFSET($AM$3,0,0,'Données projet'!$E$10+1,1))-AVERAGE(OFFSET($H$3,0,0,'Données projet'!$E$10+1,1))</f>
        <v>#N/A</v>
      </c>
      <c r="AO41" s="62" t="e">
        <f t="shared" si="36"/>
        <v>#N/A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 t="e">
        <f>EXP(-LN(2)/35)*AU40+(1-EXP(-LN(2)/35))/(LN(2)/35)*AQ41*AR41*VLOOKUP('Données projet'!$B$10,Paramètres!$A$1:$I$89,3,0)*0.475*44/12</f>
        <v>#N/A</v>
      </c>
      <c r="AV41" s="23" t="e">
        <f>EXP(-LN(2)/25)*AV40+(1-EXP(-LN(2)/25))/(LN(2)/25)*Calculateur!AQ41*Calculateur!AS41*VLOOKUP('Données projet'!$B$10,Paramètres!$A$1:$I$89,3,0)*0.475*44/12</f>
        <v>#N/A</v>
      </c>
      <c r="AW41" s="23" t="e">
        <f>EXP(-LN(2)/2)*AW40+(1-EXP(-LN(2)/2))/(LN(2)/2)*AQ41*AT41*VLOOKUP('Données projet'!$B$10,Paramètres!$A$1:$I$89,3,0)*0.475*44/12</f>
        <v>#N/A</v>
      </c>
      <c r="AX41" s="23" t="e">
        <f t="shared" si="6"/>
        <v>#N/A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70">
        <f t="shared" si="1"/>
        <v>256.66666666666669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17.600000000000001</v>
      </c>
      <c r="N42" s="14">
        <f>IF('Données projet'!$A$36&gt;35,N41+M42-V41,IF(A42&lt;'Données projet'!$A$36,$K$205^A42,IF(A42='Données projet'!$A$36,'Données projet'!$B$36,N41+M42-V41)))</f>
        <v>314.40000000000015</v>
      </c>
      <c r="O42" s="14">
        <f>N42*VLOOKUP('Données projet'!$B$9,Paramètres!$A$1:$I$89,3,0)*VLOOKUP('Données projet'!$B$9,Paramètres!$A$1:$I$89,5,0)</f>
        <v>188.01120000000012</v>
      </c>
      <c r="P42" s="14">
        <f t="shared" si="33"/>
        <v>47.099988496591031</v>
      </c>
      <c r="Q42" s="22">
        <f t="shared" si="53"/>
        <v>409.48531996489623</v>
      </c>
      <c r="R42" s="62">
        <f t="shared" si="0"/>
        <v>702.81865329822949</v>
      </c>
      <c r="S42" s="62">
        <f ca="1">AVERAGE(OFFSET($R$3,0,0,'Données projet'!$E$9+1,1))-AVERAGE(OFFSET($H$3,0,0,'Données projet'!$E$9+1,1))</f>
        <v>348.62416478262719</v>
      </c>
      <c r="T42" s="62">
        <f t="shared" si="34"/>
        <v>371.70674704563288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11.889259461144288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1.0191426371205077</v>
      </c>
      <c r="AC42" s="24">
        <f t="shared" si="3"/>
        <v>12.908402098264796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 t="e">
        <f>AI42*VLOOKUP('Données projet'!$B$10,Paramètres!$A$1:$I$89,3,0)*VLOOKUP('Données projet'!$B$10,Paramètres!$A$1:$I$89,5,0)</f>
        <v>#N/A</v>
      </c>
      <c r="AK42" s="14" t="e">
        <f t="shared" si="35"/>
        <v>#N/A</v>
      </c>
      <c r="AL42" s="22" t="e">
        <f t="shared" si="4"/>
        <v>#N/A</v>
      </c>
      <c r="AM42" s="62" t="e">
        <f t="shared" si="5"/>
        <v>#N/A</v>
      </c>
      <c r="AN42" s="62" t="e">
        <f ca="1">AVERAGE(OFFSET($AM$3,0,0,'Données projet'!$E$10+1,1))-AVERAGE(OFFSET($H$3,0,0,'Données projet'!$E$10+1,1))</f>
        <v>#N/A</v>
      </c>
      <c r="AO42" s="62" t="e">
        <f t="shared" si="36"/>
        <v>#N/A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 t="e">
        <f>EXP(-LN(2)/35)*AU41+(1-EXP(-LN(2)/35))/(LN(2)/35)*AQ42*AR42*VLOOKUP('Données projet'!$B$10,Paramètres!$A$1:$I$89,3,0)*0.475*44/12</f>
        <v>#N/A</v>
      </c>
      <c r="AV42" s="23" t="e">
        <f>EXP(-LN(2)/25)*AV41+(1-EXP(-LN(2)/25))/(LN(2)/25)*Calculateur!AQ42*Calculateur!AS42*VLOOKUP('Données projet'!$B$10,Paramètres!$A$1:$I$89,3,0)*0.475*44/12</f>
        <v>#N/A</v>
      </c>
      <c r="AW42" s="23" t="e">
        <f>EXP(-LN(2)/2)*AW41+(1-EXP(-LN(2)/2))/(LN(2)/2)*AQ42*AT42*VLOOKUP('Données projet'!$B$10,Paramètres!$A$1:$I$89,3,0)*0.475*44/12</f>
        <v>#N/A</v>
      </c>
      <c r="AX42" s="23" t="e">
        <f t="shared" si="6"/>
        <v>#N/A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70">
        <f t="shared" si="1"/>
        <v>256.66666666666669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332</v>
      </c>
      <c r="L43" s="13">
        <f>VLOOKUP(A43,'Données projet'!$A$35:$I$55,9,0)</f>
        <v>17.600000000000001</v>
      </c>
      <c r="M43" s="13">
        <f t="array" ref="M43">INDEX(L:L,MIN(IF(ISNUMBER(L43:L239),ROW(L43:L239),"")))</f>
        <v>17.600000000000001</v>
      </c>
      <c r="N43" s="14">
        <f>IF('Données projet'!$A$36&gt;35,N42+M43-V42,IF(A43&lt;'Données projet'!$A$36,$K$205^A43,IF(A43='Données projet'!$A$36,'Données projet'!$B$36,N42+M43-V42)))</f>
        <v>332.00000000000017</v>
      </c>
      <c r="O43" s="14">
        <f>N43*VLOOKUP('Données projet'!$B$9,Paramètres!$A$1:$I$89,3,0)*VLOOKUP('Données projet'!$B$9,Paramètres!$A$1:$I$89,5,0)</f>
        <v>198.53600000000012</v>
      </c>
      <c r="P43" s="14">
        <f t="shared" si="33"/>
        <v>49.42228739122875</v>
      </c>
      <c r="Q43" s="22">
        <f t="shared" si="53"/>
        <v>431.86068387305687</v>
      </c>
      <c r="R43" s="62">
        <f t="shared" si="0"/>
        <v>725.19401720639019</v>
      </c>
      <c r="S43" s="62">
        <f ca="1">AVERAGE(OFFSET($R$3,0,0,'Données projet'!$E$9+1,1))-AVERAGE(OFFSET($H$3,0,0,'Données projet'!$E$9+1,1))</f>
        <v>348.62416478262719</v>
      </c>
      <c r="T43" s="62">
        <f t="shared" si="34"/>
        <v>371.70674704563288</v>
      </c>
      <c r="U43" s="16">
        <f>IF(ISNA(VLOOKUP(A43,'Données projet'!$A$35:$I$55,3,0)),0,VLOOKUP(A43,'Données projet'!$A$35:$I$55,3,0))</f>
        <v>6</v>
      </c>
      <c r="V43" s="16">
        <f>IF(ISNA(VLOOKUP(A43,'Données projet'!$A$35:$I$55,4,0)),0,VLOOKUP(A43,'Données projet'!$A$35:$I$55,4,0))</f>
        <v>48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11.656118334843471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0.72064266970425184</v>
      </c>
      <c r="AC43" s="24">
        <f t="shared" si="3"/>
        <v>12.376761004547724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 t="e">
        <f>AI43*VLOOKUP('Données projet'!$B$10,Paramètres!$A$1:$I$89,3,0)*VLOOKUP('Données projet'!$B$10,Paramètres!$A$1:$I$89,5,0)</f>
        <v>#N/A</v>
      </c>
      <c r="AK43" s="14" t="e">
        <f t="shared" si="35"/>
        <v>#N/A</v>
      </c>
      <c r="AL43" s="22" t="e">
        <f t="shared" si="4"/>
        <v>#N/A</v>
      </c>
      <c r="AM43" s="62" t="e">
        <f t="shared" si="5"/>
        <v>#N/A</v>
      </c>
      <c r="AN43" s="62" t="e">
        <f ca="1">AVERAGE(OFFSET($AM$3,0,0,'Données projet'!$E$10+1,1))-AVERAGE(OFFSET($H$3,0,0,'Données projet'!$E$10+1,1))</f>
        <v>#N/A</v>
      </c>
      <c r="AO43" s="62" t="e">
        <f t="shared" si="36"/>
        <v>#N/A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 t="e">
        <f>EXP(-LN(2)/35)*AU42+(1-EXP(-LN(2)/35))/(LN(2)/35)*AQ43*AR43*VLOOKUP('Données projet'!$B$10,Paramètres!$A$1:$I$89,3,0)*0.475*44/12</f>
        <v>#N/A</v>
      </c>
      <c r="AV43" s="23" t="e">
        <f>EXP(-LN(2)/25)*AV42+(1-EXP(-LN(2)/25))/(LN(2)/25)*Calculateur!AQ43*Calculateur!AS43*VLOOKUP('Données projet'!$B$10,Paramètres!$A$1:$I$89,3,0)*0.475*44/12</f>
        <v>#N/A</v>
      </c>
      <c r="AW43" s="23" t="e">
        <f>EXP(-LN(2)/2)*AW42+(1-EXP(-LN(2)/2))/(LN(2)/2)*AQ43*AT43*VLOOKUP('Données projet'!$B$10,Paramètres!$A$1:$I$89,3,0)*0.475*44/12</f>
        <v>#N/A</v>
      </c>
      <c r="AX43" s="23" t="e">
        <f t="shared" si="6"/>
        <v>#N/A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70">
        <f t="shared" si="1"/>
        <v>256.66666666666669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20</v>
      </c>
      <c r="N44" s="14">
        <f>IF('Données projet'!$A$36&gt;35,N43+M44-V43,IF(A44&lt;'Données projet'!$A$36,$K$205^A44,IF(A44='Données projet'!$A$36,'Données projet'!$B$36,N43+M44-V43)))</f>
        <v>304.00000000000017</v>
      </c>
      <c r="O44" s="14">
        <f>N44*VLOOKUP('Données projet'!$B$9,Paramètres!$A$1:$I$89,3,0)*VLOOKUP('Données projet'!$B$9,Paramètres!$A$1:$I$89,5,0)</f>
        <v>181.79200000000012</v>
      </c>
      <c r="P44" s="14">
        <f t="shared" si="33"/>
        <v>45.720642997712574</v>
      </c>
      <c r="Q44" s="22">
        <f t="shared" si="53"/>
        <v>396.25118655434966</v>
      </c>
      <c r="R44" s="62">
        <f t="shared" si="0"/>
        <v>689.58451988768297</v>
      </c>
      <c r="S44" s="62">
        <f ca="1">AVERAGE(OFFSET($R$3,0,0,'Données projet'!$E$9+1,1))-AVERAGE(OFFSET($H$3,0,0,'Données projet'!$E$9+1,1))</f>
        <v>348.62416478262719</v>
      </c>
      <c r="T44" s="62">
        <f t="shared" si="34"/>
        <v>371.70674704563288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11.427548963827368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0.50957131856025384</v>
      </c>
      <c r="AC44" s="24">
        <f t="shared" si="3"/>
        <v>11.937120282387621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 t="e">
        <f>AI44*VLOOKUP('Données projet'!$B$10,Paramètres!$A$1:$I$89,3,0)*VLOOKUP('Données projet'!$B$10,Paramètres!$A$1:$I$89,5,0)</f>
        <v>#N/A</v>
      </c>
      <c r="AK44" s="14" t="e">
        <f t="shared" si="35"/>
        <v>#N/A</v>
      </c>
      <c r="AL44" s="22" t="e">
        <f t="shared" si="4"/>
        <v>#N/A</v>
      </c>
      <c r="AM44" s="62" t="e">
        <f t="shared" si="5"/>
        <v>#N/A</v>
      </c>
      <c r="AN44" s="62" t="e">
        <f ca="1">AVERAGE(OFFSET($AM$3,0,0,'Données projet'!$E$10+1,1))-AVERAGE(OFFSET($H$3,0,0,'Données projet'!$E$10+1,1))</f>
        <v>#N/A</v>
      </c>
      <c r="AO44" s="62" t="e">
        <f t="shared" si="36"/>
        <v>#N/A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 t="e">
        <f>EXP(-LN(2)/35)*AU43+(1-EXP(-LN(2)/35))/(LN(2)/35)*AQ44*AR44*VLOOKUP('Données projet'!$B$10,Paramètres!$A$1:$I$89,3,0)*0.475*44/12</f>
        <v>#N/A</v>
      </c>
      <c r="AV44" s="23" t="e">
        <f>EXP(-LN(2)/25)*AV43+(1-EXP(-LN(2)/25))/(LN(2)/25)*Calculateur!AQ44*Calculateur!AS44*VLOOKUP('Données projet'!$B$10,Paramètres!$A$1:$I$89,3,0)*0.475*44/12</f>
        <v>#N/A</v>
      </c>
      <c r="AW44" s="23" t="e">
        <f>EXP(-LN(2)/2)*AW43+(1-EXP(-LN(2)/2))/(LN(2)/2)*AQ44*AT44*VLOOKUP('Données projet'!$B$10,Paramètres!$A$1:$I$89,3,0)*0.475*44/12</f>
        <v>#N/A</v>
      </c>
      <c r="AX44" s="23" t="e">
        <f t="shared" si="6"/>
        <v>#N/A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70">
        <f t="shared" si="1"/>
        <v>256.66666666666669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20</v>
      </c>
      <c r="N45" s="14">
        <f>IF('Données projet'!$A$36&gt;35,N44+M45-V44,IF(A45&lt;'Données projet'!$A$36,$K$205^A45,IF(A45='Données projet'!$A$36,'Données projet'!$B$36,N44+M45-V44)))</f>
        <v>324.00000000000017</v>
      </c>
      <c r="O45" s="14">
        <f>N45*VLOOKUP('Données projet'!$B$9,Paramètres!$A$1:$I$89,3,0)*VLOOKUP('Données projet'!$B$9,Paramètres!$A$1:$I$89,5,0)</f>
        <v>193.75200000000009</v>
      </c>
      <c r="P45" s="14">
        <f t="shared" si="33"/>
        <v>48.368520355376113</v>
      </c>
      <c r="Q45" s="22">
        <f t="shared" si="53"/>
        <v>421.69323961894696</v>
      </c>
      <c r="R45" s="62">
        <f t="shared" si="0"/>
        <v>715.02657295228028</v>
      </c>
      <c r="S45" s="62">
        <f ca="1">AVERAGE(OFFSET($R$3,0,0,'Données projet'!$E$9+1,1))-AVERAGE(OFFSET($H$3,0,0,'Données projet'!$E$9+1,1))</f>
        <v>348.62416478262719</v>
      </c>
      <c r="T45" s="62">
        <f t="shared" si="34"/>
        <v>371.70674704563288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11.20346169876334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0.36032133485212592</v>
      </c>
      <c r="AC45" s="24">
        <f t="shared" si="3"/>
        <v>11.563783033615465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 t="e">
        <f>AI45*VLOOKUP('Données projet'!$B$10,Paramètres!$A$1:$I$89,3,0)*VLOOKUP('Données projet'!$B$10,Paramètres!$A$1:$I$89,5,0)</f>
        <v>#N/A</v>
      </c>
      <c r="AK45" s="14" t="e">
        <f t="shared" si="35"/>
        <v>#N/A</v>
      </c>
      <c r="AL45" s="22" t="e">
        <f t="shared" si="4"/>
        <v>#N/A</v>
      </c>
      <c r="AM45" s="62" t="e">
        <f t="shared" si="5"/>
        <v>#N/A</v>
      </c>
      <c r="AN45" s="62" t="e">
        <f ca="1">AVERAGE(OFFSET($AM$3,0,0,'Données projet'!$E$10+1,1))-AVERAGE(OFFSET($H$3,0,0,'Données projet'!$E$10+1,1))</f>
        <v>#N/A</v>
      </c>
      <c r="AO45" s="62" t="e">
        <f t="shared" si="36"/>
        <v>#N/A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 t="e">
        <f>EXP(-LN(2)/35)*AU44+(1-EXP(-LN(2)/35))/(LN(2)/35)*AQ45*AR45*VLOOKUP('Données projet'!$B$10,Paramètres!$A$1:$I$89,3,0)*0.475*44/12</f>
        <v>#N/A</v>
      </c>
      <c r="AV45" s="23" t="e">
        <f>EXP(-LN(2)/25)*AV44+(1-EXP(-LN(2)/25))/(LN(2)/25)*Calculateur!AQ45*Calculateur!AS45*VLOOKUP('Données projet'!$B$10,Paramètres!$A$1:$I$89,3,0)*0.475*44/12</f>
        <v>#N/A</v>
      </c>
      <c r="AW45" s="23" t="e">
        <f>EXP(-LN(2)/2)*AW44+(1-EXP(-LN(2)/2))/(LN(2)/2)*AQ45*AT45*VLOOKUP('Données projet'!$B$10,Paramètres!$A$1:$I$89,3,0)*0.475*44/12</f>
        <v>#N/A</v>
      </c>
      <c r="AX45" s="23" t="e">
        <f t="shared" si="6"/>
        <v>#N/A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70">
        <f t="shared" si="1"/>
        <v>256.66666666666669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20</v>
      </c>
      <c r="N46" s="14">
        <f>IF('Données projet'!$A$36&gt;35,N45+M46-V45,IF(A46&lt;'Données projet'!$A$36,$K$205^A46,IF(A46='Données projet'!$A$36,'Données projet'!$B$36,N45+M46-V45)))</f>
        <v>344.00000000000017</v>
      </c>
      <c r="O46" s="14">
        <f>N46*VLOOKUP('Données projet'!$B$9,Paramètres!$A$1:$I$89,3,0)*VLOOKUP('Données projet'!$B$9,Paramètres!$A$1:$I$89,5,0)</f>
        <v>205.71200000000013</v>
      </c>
      <c r="P46" s="14">
        <f t="shared" si="33"/>
        <v>50.997427696933762</v>
      </c>
      <c r="Q46" s="22">
        <f t="shared" si="53"/>
        <v>447.10225323882656</v>
      </c>
      <c r="R46" s="62">
        <f t="shared" si="0"/>
        <v>740.43558657215988</v>
      </c>
      <c r="S46" s="62">
        <f ca="1">AVERAGE(OFFSET($R$3,0,0,'Données projet'!$E$9+1,1))-AVERAGE(OFFSET($H$3,0,0,'Données projet'!$E$9+1,1))</f>
        <v>348.62416478262719</v>
      </c>
      <c r="T46" s="62">
        <f t="shared" si="34"/>
        <v>371.70674704563288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10.98376864828748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0.25478565928012692</v>
      </c>
      <c r="AC46" s="24">
        <f t="shared" si="3"/>
        <v>11.238554307567608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 t="e">
        <f>AI46*VLOOKUP('Données projet'!$B$10,Paramètres!$A$1:$I$89,3,0)*VLOOKUP('Données projet'!$B$10,Paramètres!$A$1:$I$89,5,0)</f>
        <v>#N/A</v>
      </c>
      <c r="AK46" s="14" t="e">
        <f t="shared" si="35"/>
        <v>#N/A</v>
      </c>
      <c r="AL46" s="22" t="e">
        <f t="shared" si="4"/>
        <v>#N/A</v>
      </c>
      <c r="AM46" s="62" t="e">
        <f t="shared" si="5"/>
        <v>#N/A</v>
      </c>
      <c r="AN46" s="62" t="e">
        <f ca="1">AVERAGE(OFFSET($AM$3,0,0,'Données projet'!$E$10+1,1))-AVERAGE(OFFSET($H$3,0,0,'Données projet'!$E$10+1,1))</f>
        <v>#N/A</v>
      </c>
      <c r="AO46" s="62" t="e">
        <f t="shared" si="36"/>
        <v>#N/A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 t="e">
        <f>EXP(-LN(2)/35)*AU45+(1-EXP(-LN(2)/35))/(LN(2)/35)*AQ46*AR46*VLOOKUP('Données projet'!$B$10,Paramètres!$A$1:$I$89,3,0)*0.475*44/12</f>
        <v>#N/A</v>
      </c>
      <c r="AV46" s="23" t="e">
        <f>EXP(-LN(2)/25)*AV45+(1-EXP(-LN(2)/25))/(LN(2)/25)*Calculateur!AQ46*Calculateur!AS46*VLOOKUP('Données projet'!$B$10,Paramètres!$A$1:$I$89,3,0)*0.475*44/12</f>
        <v>#N/A</v>
      </c>
      <c r="AW46" s="23" t="e">
        <f>EXP(-LN(2)/2)*AW45+(1-EXP(-LN(2)/2))/(LN(2)/2)*AQ46*AT46*VLOOKUP('Données projet'!$B$10,Paramètres!$A$1:$I$89,3,0)*0.475*44/12</f>
        <v>#N/A</v>
      </c>
      <c r="AX46" s="23" t="e">
        <f t="shared" si="6"/>
        <v>#N/A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70">
        <f t="shared" si="1"/>
        <v>256.66666666666669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20</v>
      </c>
      <c r="N47" s="14">
        <f>IF('Données projet'!$A$36&gt;35,N46+M47-V46,IF(A47&lt;'Données projet'!$A$36,$K$205^A47,IF(A47='Données projet'!$A$36,'Données projet'!$B$36,N46+M47-V46)))</f>
        <v>364.00000000000017</v>
      </c>
      <c r="O47" s="14">
        <f>N47*VLOOKUP('Données projet'!$B$9,Paramètres!$A$1:$I$89,3,0)*VLOOKUP('Données projet'!$B$9,Paramètres!$A$1:$I$89,5,0)</f>
        <v>217.67200000000011</v>
      </c>
      <c r="P47" s="14">
        <f t="shared" si="33"/>
        <v>53.60859357546007</v>
      </c>
      <c r="Q47" s="22">
        <f t="shared" si="53"/>
        <v>472.48036714392646</v>
      </c>
      <c r="R47" s="62">
        <f t="shared" si="0"/>
        <v>765.81370047725977</v>
      </c>
      <c r="S47" s="62">
        <f ca="1">AVERAGE(OFFSET($R$3,0,0,'Données projet'!$E$9+1,1))-AVERAGE(OFFSET($H$3,0,0,'Données projet'!$E$9+1,1))</f>
        <v>348.62416478262719</v>
      </c>
      <c r="T47" s="62">
        <f t="shared" si="34"/>
        <v>371.70674704563288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10.768383644531923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0.18016066742606296</v>
      </c>
      <c r="AC47" s="24">
        <f t="shared" si="3"/>
        <v>10.948544311957987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 t="e">
        <f>AI47*VLOOKUP('Données projet'!$B$10,Paramètres!$A$1:$I$89,3,0)*VLOOKUP('Données projet'!$B$10,Paramètres!$A$1:$I$89,5,0)</f>
        <v>#N/A</v>
      </c>
      <c r="AK47" s="14" t="e">
        <f t="shared" si="35"/>
        <v>#N/A</v>
      </c>
      <c r="AL47" s="22" t="e">
        <f t="shared" si="4"/>
        <v>#N/A</v>
      </c>
      <c r="AM47" s="62" t="e">
        <f t="shared" si="5"/>
        <v>#N/A</v>
      </c>
      <c r="AN47" s="62" t="e">
        <f ca="1">AVERAGE(OFFSET($AM$3,0,0,'Données projet'!$E$10+1,1))-AVERAGE(OFFSET($H$3,0,0,'Données projet'!$E$10+1,1))</f>
        <v>#N/A</v>
      </c>
      <c r="AO47" s="62" t="e">
        <f t="shared" si="36"/>
        <v>#N/A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 t="e">
        <f>EXP(-LN(2)/35)*AU46+(1-EXP(-LN(2)/35))/(LN(2)/35)*AQ47*AR47*VLOOKUP('Données projet'!$B$10,Paramètres!$A$1:$I$89,3,0)*0.475*44/12</f>
        <v>#N/A</v>
      </c>
      <c r="AV47" s="23" t="e">
        <f>EXP(-LN(2)/25)*AV46+(1-EXP(-LN(2)/25))/(LN(2)/25)*Calculateur!AQ47*Calculateur!AS47*VLOOKUP('Données projet'!$B$10,Paramètres!$A$1:$I$89,3,0)*0.475*44/12</f>
        <v>#N/A</v>
      </c>
      <c r="AW47" s="23" t="e">
        <f>EXP(-LN(2)/2)*AW46+(1-EXP(-LN(2)/2))/(LN(2)/2)*AQ47*AT47*VLOOKUP('Données projet'!$B$10,Paramètres!$A$1:$I$89,3,0)*0.475*44/12</f>
        <v>#N/A</v>
      </c>
      <c r="AX47" s="23" t="e">
        <f t="shared" si="6"/>
        <v>#N/A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70">
        <f t="shared" si="1"/>
        <v>256.66666666666669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projet'!$A$35:$I$55,2,0)</f>
        <v>384</v>
      </c>
      <c r="L48" s="13">
        <f>VLOOKUP(A48,'Données projet'!$A$35:$I$55,9,0)</f>
        <v>20</v>
      </c>
      <c r="M48" s="13">
        <f t="array" ref="M48">INDEX(L:L,MIN(IF(ISNUMBER(L48:L244),ROW(L48:L244),"")))</f>
        <v>20</v>
      </c>
      <c r="N48" s="14">
        <f>IF('Données projet'!$A$36&gt;35,N47+M48-V47,IF(A48&lt;'Données projet'!$A$36,$K$205^A48,IF(A48='Données projet'!$A$36,'Données projet'!$B$36,N47+M48-V47)))</f>
        <v>384.00000000000017</v>
      </c>
      <c r="O48" s="14">
        <f>N48*VLOOKUP('Données projet'!$B$9,Paramètres!$A$1:$I$89,3,0)*VLOOKUP('Données projet'!$B$9,Paramètres!$A$1:$I$89,5,0)</f>
        <v>229.63200000000015</v>
      </c>
      <c r="P48" s="14">
        <f t="shared" si="33"/>
        <v>56.20310391330672</v>
      </c>
      <c r="Q48" s="22">
        <f t="shared" si="53"/>
        <v>497.8294726490094</v>
      </c>
      <c r="R48" s="62">
        <f t="shared" si="0"/>
        <v>791.16280598234266</v>
      </c>
      <c r="S48" s="62">
        <f ca="1">AVERAGE(OFFSET($R$3,0,0,'Données projet'!$E$9+1,1))-AVERAGE(OFFSET($H$3,0,0,'Données projet'!$E$9+1,1))</f>
        <v>348.62416478262719</v>
      </c>
      <c r="T48" s="62">
        <f t="shared" si="34"/>
        <v>371.70674704563288</v>
      </c>
      <c r="U48" s="16">
        <f>IF(ISNA(VLOOKUP(A48,'Données projet'!$A$35:$I$55,3,0)),0,VLOOKUP(A48,'Données projet'!$A$35:$I$55,3,0))</f>
        <v>7</v>
      </c>
      <c r="V48" s="16">
        <f>IF(ISNA(VLOOKUP(A48,'Données projet'!$A$35:$I$55,4,0)),0,VLOOKUP(A48,'Données projet'!$A$35:$I$55,4,0))</f>
        <v>57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10.557222209328133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0.12739282964006346</v>
      </c>
      <c r="AC48" s="24">
        <f t="shared" si="3"/>
        <v>10.684615038968197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 t="e">
        <f>AI48*VLOOKUP('Données projet'!$B$10,Paramètres!$A$1:$I$89,3,0)*VLOOKUP('Données projet'!$B$10,Paramètres!$A$1:$I$89,5,0)</f>
        <v>#N/A</v>
      </c>
      <c r="AK48" s="14" t="e">
        <f t="shared" si="35"/>
        <v>#N/A</v>
      </c>
      <c r="AL48" s="22" t="e">
        <f t="shared" si="4"/>
        <v>#N/A</v>
      </c>
      <c r="AM48" s="62" t="e">
        <f t="shared" si="5"/>
        <v>#N/A</v>
      </c>
      <c r="AN48" s="62" t="e">
        <f ca="1">AVERAGE(OFFSET($AM$3,0,0,'Données projet'!$E$10+1,1))-AVERAGE(OFFSET($H$3,0,0,'Données projet'!$E$10+1,1))</f>
        <v>#N/A</v>
      </c>
      <c r="AO48" s="62" t="e">
        <f t="shared" si="36"/>
        <v>#N/A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 t="e">
        <f>EXP(-LN(2)/35)*AU47+(1-EXP(-LN(2)/35))/(LN(2)/35)*AQ48*AR48*VLOOKUP('Données projet'!$B$10,Paramètres!$A$1:$I$89,3,0)*0.475*44/12</f>
        <v>#N/A</v>
      </c>
      <c r="AV48" s="23" t="e">
        <f>EXP(-LN(2)/25)*AV47+(1-EXP(-LN(2)/25))/(LN(2)/25)*Calculateur!AQ48*Calculateur!AS48*VLOOKUP('Données projet'!$B$10,Paramètres!$A$1:$I$89,3,0)*0.475*44/12</f>
        <v>#N/A</v>
      </c>
      <c r="AW48" s="23" t="e">
        <f>EXP(-LN(2)/2)*AW47+(1-EXP(-LN(2)/2))/(LN(2)/2)*AQ48*AT48*VLOOKUP('Données projet'!$B$10,Paramètres!$A$1:$I$89,3,0)*0.475*44/12</f>
        <v>#N/A</v>
      </c>
      <c r="AX48" s="23" t="e">
        <f t="shared" si="6"/>
        <v>#N/A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70">
        <f t="shared" si="1"/>
        <v>256.66666666666669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17.399999999999999</v>
      </c>
      <c r="N49" s="14">
        <f>IF('Données projet'!$A$36&gt;35,N48+M49-V48,IF(A49&lt;'Données projet'!$A$36,$K$205^A49,IF(A49='Données projet'!$A$36,'Données projet'!$B$36,N48+M49-V48)))</f>
        <v>344.40000000000015</v>
      </c>
      <c r="O49" s="14">
        <f>N49*VLOOKUP('Données projet'!$B$9,Paramètres!$A$1:$I$89,3,0)*VLOOKUP('Données projet'!$B$9,Paramètres!$A$1:$I$89,5,0)</f>
        <v>205.95120000000009</v>
      </c>
      <c r="P49" s="14">
        <f t="shared" si="33"/>
        <v>51.049821044529857</v>
      </c>
      <c r="Q49" s="22">
        <f t="shared" si="53"/>
        <v>447.61011165255627</v>
      </c>
      <c r="R49" s="62">
        <f t="shared" si="0"/>
        <v>740.94344498588953</v>
      </c>
      <c r="S49" s="62">
        <f ca="1">AVERAGE(OFFSET($R$3,0,0,'Données projet'!$E$9+1,1))-AVERAGE(OFFSET($H$3,0,0,'Données projet'!$E$9+1,1))</f>
        <v>348.62416478262719</v>
      </c>
      <c r="T49" s="62">
        <f t="shared" si="34"/>
        <v>371.70674704563288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10.350201521072931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9.008033371303148E-2</v>
      </c>
      <c r="AC49" s="24">
        <f t="shared" si="3"/>
        <v>10.440281854785962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 t="e">
        <f>AI49*VLOOKUP('Données projet'!$B$10,Paramètres!$A$1:$I$89,3,0)*VLOOKUP('Données projet'!$B$10,Paramètres!$A$1:$I$89,5,0)</f>
        <v>#N/A</v>
      </c>
      <c r="AK49" s="14" t="e">
        <f t="shared" si="35"/>
        <v>#N/A</v>
      </c>
      <c r="AL49" s="22" t="e">
        <f t="shared" si="4"/>
        <v>#N/A</v>
      </c>
      <c r="AM49" s="62" t="e">
        <f t="shared" si="5"/>
        <v>#N/A</v>
      </c>
      <c r="AN49" s="62" t="e">
        <f ca="1">AVERAGE(OFFSET($AM$3,0,0,'Données projet'!$E$10+1,1))-AVERAGE(OFFSET($H$3,0,0,'Données projet'!$E$10+1,1))</f>
        <v>#N/A</v>
      </c>
      <c r="AO49" s="62" t="e">
        <f t="shared" si="36"/>
        <v>#N/A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 t="e">
        <f>EXP(-LN(2)/35)*AU48+(1-EXP(-LN(2)/35))/(LN(2)/35)*AQ49*AR49*VLOOKUP('Données projet'!$B$10,Paramètres!$A$1:$I$89,3,0)*0.475*44/12</f>
        <v>#N/A</v>
      </c>
      <c r="AV49" s="23" t="e">
        <f>EXP(-LN(2)/25)*AV48+(1-EXP(-LN(2)/25))/(LN(2)/25)*Calculateur!AQ49*Calculateur!AS49*VLOOKUP('Données projet'!$B$10,Paramètres!$A$1:$I$89,3,0)*0.475*44/12</f>
        <v>#N/A</v>
      </c>
      <c r="AW49" s="23" t="e">
        <f>EXP(-LN(2)/2)*AW48+(1-EXP(-LN(2)/2))/(LN(2)/2)*AQ49*AT49*VLOOKUP('Données projet'!$B$10,Paramètres!$A$1:$I$89,3,0)*0.475*44/12</f>
        <v>#N/A</v>
      </c>
      <c r="AX49" s="23" t="e">
        <f t="shared" si="6"/>
        <v>#N/A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70">
        <f t="shared" si="1"/>
        <v>256.66666666666669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17.399999999999999</v>
      </c>
      <c r="N50" s="14">
        <f>IF('Données projet'!$A$36&gt;35,N49+M50-V49,IF(A50&lt;'Données projet'!$A$36,$K$205^A50,IF(A50='Données projet'!$A$36,'Données projet'!$B$36,N49+M50-V49)))</f>
        <v>361.80000000000013</v>
      </c>
      <c r="O50" s="14">
        <f>N50*VLOOKUP('Données projet'!$B$9,Paramètres!$A$1:$I$89,3,0)*VLOOKUP('Données projet'!$B$9,Paramètres!$A$1:$I$89,5,0)</f>
        <v>216.35640000000006</v>
      </c>
      <c r="P50" s="14">
        <f t="shared" si="33"/>
        <v>53.322199188237285</v>
      </c>
      <c r="Q50" s="22">
        <f t="shared" si="53"/>
        <v>469.69022691951341</v>
      </c>
      <c r="R50" s="62">
        <f t="shared" si="0"/>
        <v>763.02356025284666</v>
      </c>
      <c r="S50" s="62">
        <f ca="1">AVERAGE(OFFSET($R$3,0,0,'Données projet'!$E$9+1,1))-AVERAGE(OFFSET($H$3,0,0,'Données projet'!$E$9+1,1))</f>
        <v>348.62416478262719</v>
      </c>
      <c r="T50" s="62">
        <f t="shared" si="34"/>
        <v>371.70674704563288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10.147240382244261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6.369641482003173E-2</v>
      </c>
      <c r="AC50" s="24">
        <f t="shared" si="3"/>
        <v>10.210936797064292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 t="e">
        <f>AI50*VLOOKUP('Données projet'!$B$10,Paramètres!$A$1:$I$89,3,0)*VLOOKUP('Données projet'!$B$10,Paramètres!$A$1:$I$89,5,0)</f>
        <v>#N/A</v>
      </c>
      <c r="AK50" s="14" t="e">
        <f t="shared" si="35"/>
        <v>#N/A</v>
      </c>
      <c r="AL50" s="22" t="e">
        <f t="shared" si="4"/>
        <v>#N/A</v>
      </c>
      <c r="AM50" s="62" t="e">
        <f t="shared" si="5"/>
        <v>#N/A</v>
      </c>
      <c r="AN50" s="62" t="e">
        <f ca="1">AVERAGE(OFFSET($AM$3,0,0,'Données projet'!$E$10+1,1))-AVERAGE(OFFSET($H$3,0,0,'Données projet'!$E$10+1,1))</f>
        <v>#N/A</v>
      </c>
      <c r="AO50" s="62" t="e">
        <f t="shared" si="36"/>
        <v>#N/A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 t="e">
        <f>EXP(-LN(2)/35)*AU49+(1-EXP(-LN(2)/35))/(LN(2)/35)*AQ50*AR50*VLOOKUP('Données projet'!$B$10,Paramètres!$A$1:$I$89,3,0)*0.475*44/12</f>
        <v>#N/A</v>
      </c>
      <c r="AV50" s="23" t="e">
        <f>EXP(-LN(2)/25)*AV49+(1-EXP(-LN(2)/25))/(LN(2)/25)*Calculateur!AQ50*Calculateur!AS50*VLOOKUP('Données projet'!$B$10,Paramètres!$A$1:$I$89,3,0)*0.475*44/12</f>
        <v>#N/A</v>
      </c>
      <c r="AW50" s="23" t="e">
        <f>EXP(-LN(2)/2)*AW49+(1-EXP(-LN(2)/2))/(LN(2)/2)*AQ50*AT50*VLOOKUP('Données projet'!$B$10,Paramètres!$A$1:$I$89,3,0)*0.475*44/12</f>
        <v>#N/A</v>
      </c>
      <c r="AX50" s="23" t="e">
        <f t="shared" si="6"/>
        <v>#N/A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70">
        <f t="shared" si="1"/>
        <v>256.66666666666669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17.399999999999999</v>
      </c>
      <c r="N51" s="14">
        <f>IF('Données projet'!$A$36&gt;35,N50+M51-V50,IF(A51&lt;'Données projet'!$A$36,$K$205^A51,IF(A51='Données projet'!$A$36,'Données projet'!$B$36,N50+M51-V50)))</f>
        <v>379.2000000000001</v>
      </c>
      <c r="O51" s="14">
        <f>N51*VLOOKUP('Données projet'!$B$9,Paramètres!$A$1:$I$89,3,0)*VLOOKUP('Données projet'!$B$9,Paramètres!$A$1:$I$89,5,0)</f>
        <v>226.76160000000007</v>
      </c>
      <c r="P51" s="14">
        <f t="shared" si="33"/>
        <v>55.581886910575967</v>
      </c>
      <c r="Q51" s="22">
        <f t="shared" si="53"/>
        <v>491.74823970258649</v>
      </c>
      <c r="R51" s="62">
        <f t="shared" si="0"/>
        <v>785.08157303591975</v>
      </c>
      <c r="S51" s="62">
        <f ca="1">AVERAGE(OFFSET($R$3,0,0,'Données projet'!$E$9+1,1))-AVERAGE(OFFSET($H$3,0,0,'Données projet'!$E$9+1,1))</f>
        <v>348.62416478262719</v>
      </c>
      <c r="T51" s="62">
        <f t="shared" si="34"/>
        <v>371.70674704563288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9.9482591875539512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4.504016685651574E-2</v>
      </c>
      <c r="AC51" s="24">
        <f t="shared" si="3"/>
        <v>9.9932993544104676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 t="e">
        <f>AI51*VLOOKUP('Données projet'!$B$10,Paramètres!$A$1:$I$89,3,0)*VLOOKUP('Données projet'!$B$10,Paramètres!$A$1:$I$89,5,0)</f>
        <v>#N/A</v>
      </c>
      <c r="AK51" s="14" t="e">
        <f t="shared" si="35"/>
        <v>#N/A</v>
      </c>
      <c r="AL51" s="22" t="e">
        <f t="shared" si="4"/>
        <v>#N/A</v>
      </c>
      <c r="AM51" s="62" t="e">
        <f t="shared" si="5"/>
        <v>#N/A</v>
      </c>
      <c r="AN51" s="62" t="e">
        <f ca="1">AVERAGE(OFFSET($AM$3,0,0,'Données projet'!$E$10+1,1))-AVERAGE(OFFSET($H$3,0,0,'Données projet'!$E$10+1,1))</f>
        <v>#N/A</v>
      </c>
      <c r="AO51" s="62" t="e">
        <f t="shared" si="36"/>
        <v>#N/A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 t="e">
        <f>EXP(-LN(2)/35)*AU50+(1-EXP(-LN(2)/35))/(LN(2)/35)*AQ51*AR51*VLOOKUP('Données projet'!$B$10,Paramètres!$A$1:$I$89,3,0)*0.475*44/12</f>
        <v>#N/A</v>
      </c>
      <c r="AV51" s="23" t="e">
        <f>EXP(-LN(2)/25)*AV50+(1-EXP(-LN(2)/25))/(LN(2)/25)*Calculateur!AQ51*Calculateur!AS51*VLOOKUP('Données projet'!$B$10,Paramètres!$A$1:$I$89,3,0)*0.475*44/12</f>
        <v>#N/A</v>
      </c>
      <c r="AW51" s="23" t="e">
        <f>EXP(-LN(2)/2)*AW50+(1-EXP(-LN(2)/2))/(LN(2)/2)*AQ51*AT51*VLOOKUP('Données projet'!$B$10,Paramètres!$A$1:$I$89,3,0)*0.475*44/12</f>
        <v>#N/A</v>
      </c>
      <c r="AX51" s="23" t="e">
        <f t="shared" si="6"/>
        <v>#N/A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70">
        <f t="shared" si="1"/>
        <v>256.66666666666669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17.399999999999999</v>
      </c>
      <c r="N52" s="14">
        <f>IF('Données projet'!$A$36&gt;35,N51+M52-V51,IF(A52&lt;'Données projet'!$A$36,$K$205^A52,IF(A52='Données projet'!$A$36,'Données projet'!$B$36,N51+M52-V51)))</f>
        <v>396.60000000000008</v>
      </c>
      <c r="O52" s="14">
        <f>N52*VLOOKUP('Données projet'!$B$9,Paramètres!$A$1:$I$89,3,0)*VLOOKUP('Données projet'!$B$9,Paramètres!$A$1:$I$89,5,0)</f>
        <v>237.16680000000005</v>
      </c>
      <c r="P52" s="14">
        <f t="shared" si="33"/>
        <v>57.829533038824259</v>
      </c>
      <c r="Q52" s="22">
        <f t="shared" si="53"/>
        <v>513.78528004261909</v>
      </c>
      <c r="R52" s="62">
        <f t="shared" si="0"/>
        <v>807.11861337595246</v>
      </c>
      <c r="S52" s="62">
        <f ca="1">AVERAGE(OFFSET($R$3,0,0,'Données projet'!$E$9+1,1))-AVERAGE(OFFSET($H$3,0,0,'Données projet'!$E$9+1,1))</f>
        <v>348.62416478262719</v>
      </c>
      <c r="T52" s="62">
        <f t="shared" si="34"/>
        <v>371.70674704563288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9.7531798927249724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3.1848207410015865E-2</v>
      </c>
      <c r="AC52" s="24">
        <f t="shared" si="3"/>
        <v>9.7850281001349888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 t="e">
        <f>AI52*VLOOKUP('Données projet'!$B$10,Paramètres!$A$1:$I$89,3,0)*VLOOKUP('Données projet'!$B$10,Paramètres!$A$1:$I$89,5,0)</f>
        <v>#N/A</v>
      </c>
      <c r="AK52" s="14" t="e">
        <f t="shared" si="35"/>
        <v>#N/A</v>
      </c>
      <c r="AL52" s="22" t="e">
        <f t="shared" si="4"/>
        <v>#N/A</v>
      </c>
      <c r="AM52" s="62" t="e">
        <f t="shared" si="5"/>
        <v>#N/A</v>
      </c>
      <c r="AN52" s="62" t="e">
        <f ca="1">AVERAGE(OFFSET($AM$3,0,0,'Données projet'!$E$10+1,1))-AVERAGE(OFFSET($H$3,0,0,'Données projet'!$E$10+1,1))</f>
        <v>#N/A</v>
      </c>
      <c r="AO52" s="62" t="e">
        <f t="shared" si="36"/>
        <v>#N/A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 t="e">
        <f>EXP(-LN(2)/35)*AU51+(1-EXP(-LN(2)/35))/(LN(2)/35)*AQ52*AR52*VLOOKUP('Données projet'!$B$10,Paramètres!$A$1:$I$89,3,0)*0.475*44/12</f>
        <v>#N/A</v>
      </c>
      <c r="AV52" s="23" t="e">
        <f>EXP(-LN(2)/25)*AV51+(1-EXP(-LN(2)/25))/(LN(2)/25)*Calculateur!AQ52*Calculateur!AS52*VLOOKUP('Données projet'!$B$10,Paramètres!$A$1:$I$89,3,0)*0.475*44/12</f>
        <v>#N/A</v>
      </c>
      <c r="AW52" s="23" t="e">
        <f>EXP(-LN(2)/2)*AW51+(1-EXP(-LN(2)/2))/(LN(2)/2)*AQ52*AT52*VLOOKUP('Données projet'!$B$10,Paramètres!$A$1:$I$89,3,0)*0.475*44/12</f>
        <v>#N/A</v>
      </c>
      <c r="AX52" s="23" t="e">
        <f t="shared" si="6"/>
        <v>#N/A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70">
        <f t="shared" si="1"/>
        <v>256.66666666666669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414</v>
      </c>
      <c r="L53" s="13">
        <f>VLOOKUP(A53,'Données projet'!$A$35:$I$55,9,0)</f>
        <v>17.399999999999999</v>
      </c>
      <c r="M53" s="13">
        <f t="array" ref="M53">INDEX(L:L,MIN(IF(ISNUMBER(L53:L249),ROW(L53:L249),"")))</f>
        <v>17.399999999999999</v>
      </c>
      <c r="N53" s="14">
        <f>IF('Données projet'!$A$36&gt;35,N52+M53-V52,IF(A53&lt;'Données projet'!$A$36,$K$205^A53,IF(A53='Données projet'!$A$36,'Données projet'!$B$36,N52+M53-V52)))</f>
        <v>414.00000000000006</v>
      </c>
      <c r="O53" s="14">
        <f>N53*VLOOKUP('Données projet'!$B$9,Paramètres!$A$1:$I$89,3,0)*VLOOKUP('Données projet'!$B$9,Paramètres!$A$1:$I$89,5,0)</f>
        <v>247.57200000000003</v>
      </c>
      <c r="P53" s="14">
        <f t="shared" si="33"/>
        <v>60.065726249156576</v>
      </c>
      <c r="Q53" s="22">
        <f t="shared" si="53"/>
        <v>535.80237321728112</v>
      </c>
      <c r="R53" s="62">
        <f t="shared" si="0"/>
        <v>829.13570655061449</v>
      </c>
      <c r="S53" s="62">
        <f ca="1">AVERAGE(OFFSET($R$3,0,0,'Données projet'!$E$9+1,1))-AVERAGE(OFFSET($H$3,0,0,'Données projet'!$E$9+1,1))</f>
        <v>348.62416478262719</v>
      </c>
      <c r="T53" s="62">
        <f t="shared" si="34"/>
        <v>371.70674704563288</v>
      </c>
      <c r="U53" s="16">
        <f>IF(ISNA(VLOOKUP(A53,'Données projet'!$A$35:$I$55,3,0)),0,VLOOKUP(A53,'Données projet'!$A$35:$I$55,3,0))</f>
        <v>8</v>
      </c>
      <c r="V53" s="16">
        <f>IF(ISNA(VLOOKUP(A53,'Données projet'!$A$35:$I$55,4,0)),0,VLOOKUP(A53,'Données projet'!$A$35:$I$55,4,0))</f>
        <v>47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9.56192598388097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2.252008342825787E-2</v>
      </c>
      <c r="AC53" s="24">
        <f t="shared" si="3"/>
        <v>9.5844460673092282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 t="e">
        <f>AI53*VLOOKUP('Données projet'!$B$10,Paramètres!$A$1:$I$89,3,0)*VLOOKUP('Données projet'!$B$10,Paramètres!$A$1:$I$89,5,0)</f>
        <v>#N/A</v>
      </c>
      <c r="AK53" s="14" t="e">
        <f t="shared" si="35"/>
        <v>#N/A</v>
      </c>
      <c r="AL53" s="22" t="e">
        <f t="shared" si="4"/>
        <v>#N/A</v>
      </c>
      <c r="AM53" s="62" t="e">
        <f t="shared" si="5"/>
        <v>#N/A</v>
      </c>
      <c r="AN53" s="62" t="e">
        <f ca="1">AVERAGE(OFFSET($AM$3,0,0,'Données projet'!$E$10+1,1))-AVERAGE(OFFSET($H$3,0,0,'Données projet'!$E$10+1,1))</f>
        <v>#N/A</v>
      </c>
      <c r="AO53" s="62" t="e">
        <f t="shared" si="36"/>
        <v>#N/A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 t="e">
        <f>EXP(-LN(2)/35)*AU52+(1-EXP(-LN(2)/35))/(LN(2)/35)*AQ53*AR53*VLOOKUP('Données projet'!$B$10,Paramètres!$A$1:$I$89,3,0)*0.475*44/12</f>
        <v>#N/A</v>
      </c>
      <c r="AV53" s="23" t="e">
        <f>EXP(-LN(2)/25)*AV52+(1-EXP(-LN(2)/25))/(LN(2)/25)*Calculateur!AQ53*Calculateur!AS53*VLOOKUP('Données projet'!$B$10,Paramètres!$A$1:$I$89,3,0)*0.475*44/12</f>
        <v>#N/A</v>
      </c>
      <c r="AW53" s="23" t="e">
        <f>EXP(-LN(2)/2)*AW52+(1-EXP(-LN(2)/2))/(LN(2)/2)*AQ53*AT53*VLOOKUP('Données projet'!$B$10,Paramètres!$A$1:$I$89,3,0)*0.475*44/12</f>
        <v>#N/A</v>
      </c>
      <c r="AX53" s="23" t="e">
        <f t="shared" si="6"/>
        <v>#N/A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70">
        <f t="shared" si="1"/>
        <v>256.66666666666669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19.2</v>
      </c>
      <c r="N54" s="14">
        <f>IF('Données projet'!$A$36&gt;35,N53+M54-V53,IF(A54&lt;'Données projet'!$A$36,$K$205^A54,IF(A54='Données projet'!$A$36,'Données projet'!$B$36,N53+M54-V53)))</f>
        <v>386.20000000000005</v>
      </c>
      <c r="O54" s="14">
        <f>N54*VLOOKUP('Données projet'!$B$9,Paramètres!$A$1:$I$89,3,0)*VLOOKUP('Données projet'!$B$9,Paramètres!$A$1:$I$89,5,0)</f>
        <v>230.94760000000002</v>
      </c>
      <c r="P54" s="14">
        <f t="shared" si="33"/>
        <v>56.487525751065782</v>
      </c>
      <c r="Q54" s="22">
        <f t="shared" si="53"/>
        <v>500.61617734977295</v>
      </c>
      <c r="R54" s="62">
        <f t="shared" si="0"/>
        <v>793.94951068310627</v>
      </c>
      <c r="S54" s="62">
        <f ca="1">AVERAGE(OFFSET($R$3,0,0,'Données projet'!$E$9+1,1))-AVERAGE(OFFSET($H$3,0,0,'Données projet'!$E$9+1,1))</f>
        <v>348.62416478262719</v>
      </c>
      <c r="T54" s="62">
        <f t="shared" si="34"/>
        <v>371.70674704563288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9.3744224475360323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1.5924103705007932E-2</v>
      </c>
      <c r="AC54" s="24">
        <f t="shared" si="3"/>
        <v>9.3903465512410396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 t="e">
        <f>AI54*VLOOKUP('Données projet'!$B$10,Paramètres!$A$1:$I$89,3,0)*VLOOKUP('Données projet'!$B$10,Paramètres!$A$1:$I$89,5,0)</f>
        <v>#N/A</v>
      </c>
      <c r="AK54" s="14" t="e">
        <f t="shared" si="35"/>
        <v>#N/A</v>
      </c>
      <c r="AL54" s="22" t="e">
        <f t="shared" si="4"/>
        <v>#N/A</v>
      </c>
      <c r="AM54" s="62" t="e">
        <f t="shared" si="5"/>
        <v>#N/A</v>
      </c>
      <c r="AN54" s="62" t="e">
        <f ca="1">AVERAGE(OFFSET($AM$3,0,0,'Données projet'!$E$10+1,1))-AVERAGE(OFFSET($H$3,0,0,'Données projet'!$E$10+1,1))</f>
        <v>#N/A</v>
      </c>
      <c r="AO54" s="62" t="e">
        <f t="shared" si="36"/>
        <v>#N/A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 t="e">
        <f>EXP(-LN(2)/35)*AU53+(1-EXP(-LN(2)/35))/(LN(2)/35)*AQ54*AR54*VLOOKUP('Données projet'!$B$10,Paramètres!$A$1:$I$89,3,0)*0.475*44/12</f>
        <v>#N/A</v>
      </c>
      <c r="AV54" s="23" t="e">
        <f>EXP(-LN(2)/25)*AV53+(1-EXP(-LN(2)/25))/(LN(2)/25)*Calculateur!AQ54*Calculateur!AS54*VLOOKUP('Données projet'!$B$10,Paramètres!$A$1:$I$89,3,0)*0.475*44/12</f>
        <v>#N/A</v>
      </c>
      <c r="AW54" s="23" t="e">
        <f>EXP(-LN(2)/2)*AW53+(1-EXP(-LN(2)/2))/(LN(2)/2)*AQ54*AT54*VLOOKUP('Données projet'!$B$10,Paramètres!$A$1:$I$89,3,0)*0.475*44/12</f>
        <v>#N/A</v>
      </c>
      <c r="AX54" s="23" t="e">
        <f t="shared" si="6"/>
        <v>#N/A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70">
        <f t="shared" si="1"/>
        <v>256.66666666666669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19.2</v>
      </c>
      <c r="N55" s="14">
        <f>IF('Données projet'!$A$36&gt;35,N54+M55-V54,IF(A55&lt;'Données projet'!$A$36,$K$205^A55,IF(A55='Données projet'!$A$36,'Données projet'!$B$36,N54+M55-V54)))</f>
        <v>405.40000000000003</v>
      </c>
      <c r="O55" s="14">
        <f>N55*VLOOKUP('Données projet'!$B$9,Paramètres!$A$1:$I$89,3,0)*VLOOKUP('Données projet'!$B$9,Paramètres!$A$1:$I$89,5,0)</f>
        <v>242.42920000000007</v>
      </c>
      <c r="P55" s="14">
        <f t="shared" si="33"/>
        <v>58.961877963646693</v>
      </c>
      <c r="Q55" s="22">
        <f t="shared" si="53"/>
        <v>524.92279412001812</v>
      </c>
      <c r="R55" s="62">
        <f t="shared" si="0"/>
        <v>818.25612745335138</v>
      </c>
      <c r="S55" s="62">
        <f ca="1">AVERAGE(OFFSET($R$3,0,0,'Données projet'!$E$9+1,1))-AVERAGE(OFFSET($H$3,0,0,'Données projet'!$E$9+1,1))</f>
        <v>348.62416478262719</v>
      </c>
      <c r="T55" s="62">
        <f t="shared" si="34"/>
        <v>371.70674704563288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9.1905957411729542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1.1260041714128935E-2</v>
      </c>
      <c r="AC55" s="24">
        <f t="shared" si="3"/>
        <v>9.2018557828870833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 t="e">
        <f>AI55*VLOOKUP('Données projet'!$B$10,Paramètres!$A$1:$I$89,3,0)*VLOOKUP('Données projet'!$B$10,Paramètres!$A$1:$I$89,5,0)</f>
        <v>#N/A</v>
      </c>
      <c r="AK55" s="14" t="e">
        <f t="shared" si="35"/>
        <v>#N/A</v>
      </c>
      <c r="AL55" s="22" t="e">
        <f t="shared" si="4"/>
        <v>#N/A</v>
      </c>
      <c r="AM55" s="62" t="e">
        <f t="shared" si="5"/>
        <v>#N/A</v>
      </c>
      <c r="AN55" s="62" t="e">
        <f ca="1">AVERAGE(OFFSET($AM$3,0,0,'Données projet'!$E$10+1,1))-AVERAGE(OFFSET($H$3,0,0,'Données projet'!$E$10+1,1))</f>
        <v>#N/A</v>
      </c>
      <c r="AO55" s="62" t="e">
        <f t="shared" si="36"/>
        <v>#N/A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 t="e">
        <f>EXP(-LN(2)/35)*AU54+(1-EXP(-LN(2)/35))/(LN(2)/35)*AQ55*AR55*VLOOKUP('Données projet'!$B$10,Paramètres!$A$1:$I$89,3,0)*0.475*44/12</f>
        <v>#N/A</v>
      </c>
      <c r="AV55" s="23" t="e">
        <f>EXP(-LN(2)/25)*AV54+(1-EXP(-LN(2)/25))/(LN(2)/25)*Calculateur!AQ55*Calculateur!AS55*VLOOKUP('Données projet'!$B$10,Paramètres!$A$1:$I$89,3,0)*0.475*44/12</f>
        <v>#N/A</v>
      </c>
      <c r="AW55" s="23" t="e">
        <f>EXP(-LN(2)/2)*AW54+(1-EXP(-LN(2)/2))/(LN(2)/2)*AQ55*AT55*VLOOKUP('Données projet'!$B$10,Paramètres!$A$1:$I$89,3,0)*0.475*44/12</f>
        <v>#N/A</v>
      </c>
      <c r="AX55" s="23" t="e">
        <f t="shared" si="6"/>
        <v>#N/A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70">
        <f t="shared" si="1"/>
        <v>256.66666666666669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19.2</v>
      </c>
      <c r="N56" s="14">
        <f>IF('Données projet'!$A$36&gt;35,N55+M56-V55,IF(A56&lt;'Données projet'!$A$36,$K$205^A56,IF(A56='Données projet'!$A$36,'Données projet'!$B$36,N55+M56-V55)))</f>
        <v>424.6</v>
      </c>
      <c r="O56" s="14">
        <f>N56*VLOOKUP('Données projet'!$B$9,Paramètres!$A$1:$I$89,3,0)*VLOOKUP('Données projet'!$B$9,Paramètres!$A$1:$I$89,5,0)</f>
        <v>253.91080000000005</v>
      </c>
      <c r="P56" s="14">
        <f t="shared" si="33"/>
        <v>61.422621781167194</v>
      </c>
      <c r="Q56" s="22">
        <f t="shared" si="53"/>
        <v>549.20570960219959</v>
      </c>
      <c r="R56" s="62">
        <f t="shared" si="0"/>
        <v>842.53904293553296</v>
      </c>
      <c r="S56" s="62">
        <f ca="1">AVERAGE(OFFSET($R$3,0,0,'Données projet'!$E$9+1,1))-AVERAGE(OFFSET($H$3,0,0,'Données projet'!$E$9+1,1))</f>
        <v>348.62416478262719</v>
      </c>
      <c r="T56" s="62">
        <f t="shared" si="34"/>
        <v>371.70674704563288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9.0103737643984374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7.9620518525039662E-3</v>
      </c>
      <c r="AC56" s="24">
        <f t="shared" si="3"/>
        <v>9.0183358162509411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 t="e">
        <f>AI56*VLOOKUP('Données projet'!$B$10,Paramètres!$A$1:$I$89,3,0)*VLOOKUP('Données projet'!$B$10,Paramètres!$A$1:$I$89,5,0)</f>
        <v>#N/A</v>
      </c>
      <c r="AK56" s="14" t="e">
        <f t="shared" si="35"/>
        <v>#N/A</v>
      </c>
      <c r="AL56" s="22" t="e">
        <f t="shared" si="4"/>
        <v>#N/A</v>
      </c>
      <c r="AM56" s="62" t="e">
        <f t="shared" si="5"/>
        <v>#N/A</v>
      </c>
      <c r="AN56" s="62" t="e">
        <f ca="1">AVERAGE(OFFSET($AM$3,0,0,'Données projet'!$E$10+1,1))-AVERAGE(OFFSET($H$3,0,0,'Données projet'!$E$10+1,1))</f>
        <v>#N/A</v>
      </c>
      <c r="AO56" s="62" t="e">
        <f t="shared" si="36"/>
        <v>#N/A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 t="e">
        <f>EXP(-LN(2)/35)*AU55+(1-EXP(-LN(2)/35))/(LN(2)/35)*AQ56*AR56*VLOOKUP('Données projet'!$B$10,Paramètres!$A$1:$I$89,3,0)*0.475*44/12</f>
        <v>#N/A</v>
      </c>
      <c r="AV56" s="23" t="e">
        <f>EXP(-LN(2)/25)*AV55+(1-EXP(-LN(2)/25))/(LN(2)/25)*Calculateur!AQ56*Calculateur!AS56*VLOOKUP('Données projet'!$B$10,Paramètres!$A$1:$I$89,3,0)*0.475*44/12</f>
        <v>#N/A</v>
      </c>
      <c r="AW56" s="23" t="e">
        <f>EXP(-LN(2)/2)*AW55+(1-EXP(-LN(2)/2))/(LN(2)/2)*AQ56*AT56*VLOOKUP('Données projet'!$B$10,Paramètres!$A$1:$I$89,3,0)*0.475*44/12</f>
        <v>#N/A</v>
      </c>
      <c r="AX56" s="23" t="e">
        <f t="shared" si="6"/>
        <v>#N/A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70">
        <f t="shared" si="1"/>
        <v>256.66666666666669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19.2</v>
      </c>
      <c r="N57" s="14">
        <f>IF('Données projet'!$A$36&gt;35,N56+M57-V56,IF(A57&lt;'Données projet'!$A$36,$K$205^A57,IF(A57='Données projet'!$A$36,'Données projet'!$B$36,N56+M57-V56)))</f>
        <v>443.8</v>
      </c>
      <c r="O57" s="14">
        <f>N57*VLOOKUP('Données projet'!$B$9,Paramètres!$A$1:$I$89,3,0)*VLOOKUP('Données projet'!$B$9,Paramètres!$A$1:$I$89,5,0)</f>
        <v>265.39240000000007</v>
      </c>
      <c r="P57" s="14">
        <f t="shared" si="33"/>
        <v>63.870442862391819</v>
      </c>
      <c r="Q57" s="22">
        <f t="shared" si="53"/>
        <v>573.46611798533252</v>
      </c>
      <c r="R57" s="62">
        <f t="shared" si="0"/>
        <v>866.79945131866589</v>
      </c>
      <c r="S57" s="62">
        <f ca="1">AVERAGE(OFFSET($R$3,0,0,'Données projet'!$E$9+1,1))-AVERAGE(OFFSET($H$3,0,0,'Données projet'!$E$9+1,1))</f>
        <v>348.62416478262719</v>
      </c>
      <c r="T57" s="62">
        <f t="shared" si="34"/>
        <v>371.70674704563288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8.8336858306639172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5.6300208570644675E-3</v>
      </c>
      <c r="AC57" s="24">
        <f t="shared" si="3"/>
        <v>8.8393158515209809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 t="e">
        <f>AI57*VLOOKUP('Données projet'!$B$10,Paramètres!$A$1:$I$89,3,0)*VLOOKUP('Données projet'!$B$10,Paramètres!$A$1:$I$89,5,0)</f>
        <v>#N/A</v>
      </c>
      <c r="AK57" s="14" t="e">
        <f t="shared" si="35"/>
        <v>#N/A</v>
      </c>
      <c r="AL57" s="22" t="e">
        <f t="shared" si="4"/>
        <v>#N/A</v>
      </c>
      <c r="AM57" s="62" t="e">
        <f t="shared" si="5"/>
        <v>#N/A</v>
      </c>
      <c r="AN57" s="62" t="e">
        <f ca="1">AVERAGE(OFFSET($AM$3,0,0,'Données projet'!$E$10+1,1))-AVERAGE(OFFSET($H$3,0,0,'Données projet'!$E$10+1,1))</f>
        <v>#N/A</v>
      </c>
      <c r="AO57" s="62" t="e">
        <f t="shared" si="36"/>
        <v>#N/A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 t="e">
        <f>EXP(-LN(2)/35)*AU56+(1-EXP(-LN(2)/35))/(LN(2)/35)*AQ57*AR57*VLOOKUP('Données projet'!$B$10,Paramètres!$A$1:$I$89,3,0)*0.475*44/12</f>
        <v>#N/A</v>
      </c>
      <c r="AV57" s="23" t="e">
        <f>EXP(-LN(2)/25)*AV56+(1-EXP(-LN(2)/25))/(LN(2)/25)*Calculateur!AQ57*Calculateur!AS57*VLOOKUP('Données projet'!$B$10,Paramètres!$A$1:$I$89,3,0)*0.475*44/12</f>
        <v>#N/A</v>
      </c>
      <c r="AW57" s="23" t="e">
        <f>EXP(-LN(2)/2)*AW56+(1-EXP(-LN(2)/2))/(LN(2)/2)*AQ57*AT57*VLOOKUP('Données projet'!$B$10,Paramètres!$A$1:$I$89,3,0)*0.475*44/12</f>
        <v>#N/A</v>
      </c>
      <c r="AX57" s="23" t="e">
        <f t="shared" si="6"/>
        <v>#N/A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70">
        <f t="shared" si="1"/>
        <v>256.66666666666669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>
        <f>VLOOKUP(A58,'Données projet'!$A$35:$I$55,2,0)</f>
        <v>463</v>
      </c>
      <c r="L58" s="13">
        <f>VLOOKUP(A58,'Données projet'!$A$35:$I$55,9,0)</f>
        <v>19.2</v>
      </c>
      <c r="M58" s="13">
        <f t="array" ref="M58">INDEX(L:L,MIN(IF(ISNUMBER(L58:L254),ROW(L58:L254),"")))</f>
        <v>19.2</v>
      </c>
      <c r="N58" s="14">
        <f>IF('Données projet'!$A$36&gt;35,N57+M58-V57,IF(A58&lt;'Données projet'!$A$36,$K$205^A58,IF(A58='Données projet'!$A$36,'Données projet'!$B$36,N57+M58-V57)))</f>
        <v>463</v>
      </c>
      <c r="O58" s="14">
        <f>N58*VLOOKUP('Données projet'!$B$9,Paramètres!$A$1:$I$89,3,0)*VLOOKUP('Données projet'!$B$9,Paramètres!$A$1:$I$89,5,0)</f>
        <v>276.87400000000002</v>
      </c>
      <c r="P58" s="14">
        <f t="shared" si="33"/>
        <v>66.305964184031993</v>
      </c>
      <c r="Q58" s="22">
        <f t="shared" si="53"/>
        <v>597.7051042871891</v>
      </c>
      <c r="R58" s="62">
        <f t="shared" si="0"/>
        <v>891.03843762052247</v>
      </c>
      <c r="S58" s="62">
        <f ca="1">AVERAGE(OFFSET($R$3,0,0,'Données projet'!$E$9+1,1))-AVERAGE(OFFSET($H$3,0,0,'Données projet'!$E$9+1,1))</f>
        <v>348.62416478262719</v>
      </c>
      <c r="T58" s="62">
        <f t="shared" si="34"/>
        <v>371.70674704563288</v>
      </c>
      <c r="U58" s="16">
        <f>IF(ISNA(VLOOKUP(A58,'Données projet'!$A$35:$I$55,3,0)),0,VLOOKUP(A58,'Données projet'!$A$35:$I$55,3,0))</f>
        <v>9</v>
      </c>
      <c r="V58" s="16">
        <f>IF(ISNA(VLOOKUP(A58,'Données projet'!$A$35:$I$55,4,0)),0,VLOOKUP(A58,'Données projet'!$A$35:$I$55,4,0))</f>
        <v>48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8.6604626395409312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3.9810259262519831E-3</v>
      </c>
      <c r="AC58" s="24">
        <f t="shared" si="3"/>
        <v>8.6644436654671839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 t="e">
        <f>AI58*VLOOKUP('Données projet'!$B$10,Paramètres!$A$1:$I$89,3,0)*VLOOKUP('Données projet'!$B$10,Paramètres!$A$1:$I$89,5,0)</f>
        <v>#N/A</v>
      </c>
      <c r="AK58" s="14" t="e">
        <f t="shared" si="35"/>
        <v>#N/A</v>
      </c>
      <c r="AL58" s="22" t="e">
        <f t="shared" si="4"/>
        <v>#N/A</v>
      </c>
      <c r="AM58" s="62" t="e">
        <f t="shared" si="5"/>
        <v>#N/A</v>
      </c>
      <c r="AN58" s="62" t="e">
        <f ca="1">AVERAGE(OFFSET($AM$3,0,0,'Données projet'!$E$10+1,1))-AVERAGE(OFFSET($H$3,0,0,'Données projet'!$E$10+1,1))</f>
        <v>#N/A</v>
      </c>
      <c r="AO58" s="62" t="e">
        <f t="shared" si="36"/>
        <v>#N/A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 t="e">
        <f>EXP(-LN(2)/35)*AU57+(1-EXP(-LN(2)/35))/(LN(2)/35)*AQ58*AR58*VLOOKUP('Données projet'!$B$10,Paramètres!$A$1:$I$89,3,0)*0.475*44/12</f>
        <v>#N/A</v>
      </c>
      <c r="AV58" s="23" t="e">
        <f>EXP(-LN(2)/25)*AV57+(1-EXP(-LN(2)/25))/(LN(2)/25)*Calculateur!AQ58*Calculateur!AS58*VLOOKUP('Données projet'!$B$10,Paramètres!$A$1:$I$89,3,0)*0.475*44/12</f>
        <v>#N/A</v>
      </c>
      <c r="AW58" s="23" t="e">
        <f>EXP(-LN(2)/2)*AW57+(1-EXP(-LN(2)/2))/(LN(2)/2)*AQ58*AT58*VLOOKUP('Données projet'!$B$10,Paramètres!$A$1:$I$89,3,0)*0.475*44/12</f>
        <v>#N/A</v>
      </c>
      <c r="AX58" s="23" t="e">
        <f t="shared" si="6"/>
        <v>#N/A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70">
        <f t="shared" si="1"/>
        <v>256.66666666666669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17</v>
      </c>
      <c r="N59" s="14">
        <f>IF('Données projet'!$A$36&gt;35,N58+M59-V58,IF(A59&lt;'Données projet'!$A$36,$K$205^A59,IF(A59='Données projet'!$A$36,'Données projet'!$B$36,N58+M59-V58)))</f>
        <v>432</v>
      </c>
      <c r="O59" s="14">
        <f>N59*VLOOKUP('Données projet'!$B$9,Paramètres!$A$1:$I$89,3,0)*VLOOKUP('Données projet'!$B$9,Paramètres!$A$1:$I$89,5,0)</f>
        <v>258.33600000000001</v>
      </c>
      <c r="P59" s="14">
        <f t="shared" si="33"/>
        <v>62.367547966451262</v>
      </c>
      <c r="Q59" s="22">
        <f t="shared" si="53"/>
        <v>558.55867937490257</v>
      </c>
      <c r="R59" s="62">
        <f t="shared" si="0"/>
        <v>851.89201270823582</v>
      </c>
      <c r="S59" s="62">
        <f ca="1">AVERAGE(OFFSET($R$3,0,0,'Données projet'!$E$9+1,1))-AVERAGE(OFFSET($H$3,0,0,'Données projet'!$E$9+1,1))</f>
        <v>348.62416478262719</v>
      </c>
      <c r="T59" s="62">
        <f t="shared" si="34"/>
        <v>371.70674704563288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8.4906362495401542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2.8150104285322337E-3</v>
      </c>
      <c r="AC59" s="24">
        <f t="shared" si="3"/>
        <v>8.4934512599686869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 t="e">
        <f>AI59*VLOOKUP('Données projet'!$B$10,Paramètres!$A$1:$I$89,3,0)*VLOOKUP('Données projet'!$B$10,Paramètres!$A$1:$I$89,5,0)</f>
        <v>#N/A</v>
      </c>
      <c r="AK59" s="14" t="e">
        <f t="shared" si="35"/>
        <v>#N/A</v>
      </c>
      <c r="AL59" s="22" t="e">
        <f t="shared" si="4"/>
        <v>#N/A</v>
      </c>
      <c r="AM59" s="62" t="e">
        <f t="shared" si="5"/>
        <v>#N/A</v>
      </c>
      <c r="AN59" s="62" t="e">
        <f ca="1">AVERAGE(OFFSET($AM$3,0,0,'Données projet'!$E$10+1,1))-AVERAGE(OFFSET($H$3,0,0,'Données projet'!$E$10+1,1))</f>
        <v>#N/A</v>
      </c>
      <c r="AO59" s="62" t="e">
        <f t="shared" si="36"/>
        <v>#N/A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 t="e">
        <f>EXP(-LN(2)/35)*AU58+(1-EXP(-LN(2)/35))/(LN(2)/35)*AQ59*AR59*VLOOKUP('Données projet'!$B$10,Paramètres!$A$1:$I$89,3,0)*0.475*44/12</f>
        <v>#N/A</v>
      </c>
      <c r="AV59" s="23" t="e">
        <f>EXP(-LN(2)/25)*AV58+(1-EXP(-LN(2)/25))/(LN(2)/25)*Calculateur!AQ59*Calculateur!AS59*VLOOKUP('Données projet'!$B$10,Paramètres!$A$1:$I$89,3,0)*0.475*44/12</f>
        <v>#N/A</v>
      </c>
      <c r="AW59" s="23" t="e">
        <f>EXP(-LN(2)/2)*AW58+(1-EXP(-LN(2)/2))/(LN(2)/2)*AQ59*AT59*VLOOKUP('Données projet'!$B$10,Paramètres!$A$1:$I$89,3,0)*0.475*44/12</f>
        <v>#N/A</v>
      </c>
      <c r="AX59" s="23" t="e">
        <f t="shared" si="6"/>
        <v>#N/A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70">
        <f t="shared" si="1"/>
        <v>256.66666666666669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17</v>
      </c>
      <c r="N60" s="14">
        <f>IF('Données projet'!$A$36&gt;35,N59+M60-V59,IF(A60&lt;'Données projet'!$A$36,$K$205^A60,IF(A60='Données projet'!$A$36,'Données projet'!$B$36,N59+M60-V59)))</f>
        <v>449</v>
      </c>
      <c r="O60" s="14">
        <f>N60*VLOOKUP('Données projet'!$B$9,Paramètres!$A$1:$I$89,3,0)*VLOOKUP('Données projet'!$B$9,Paramètres!$A$1:$I$89,5,0)</f>
        <v>268.50200000000001</v>
      </c>
      <c r="P60" s="14">
        <f t="shared" si="33"/>
        <v>64.531253013339168</v>
      </c>
      <c r="Q60" s="22">
        <f t="shared" si="53"/>
        <v>580.03291566489895</v>
      </c>
      <c r="R60" s="62">
        <f t="shared" si="0"/>
        <v>873.36624899823232</v>
      </c>
      <c r="S60" s="62">
        <f ca="1">AVERAGE(OFFSET($R$3,0,0,'Données projet'!$E$9+1,1))-AVERAGE(OFFSET($H$3,0,0,'Données projet'!$E$9+1,1))</f>
        <v>348.62416478262719</v>
      </c>
      <c r="T60" s="62">
        <f t="shared" si="34"/>
        <v>371.70674704563288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8.3241400514634218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1.9905129631259916E-3</v>
      </c>
      <c r="AC60" s="24">
        <f t="shared" si="3"/>
        <v>8.3261305644265473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 t="e">
        <f>AI60*VLOOKUP('Données projet'!$B$10,Paramètres!$A$1:$I$89,3,0)*VLOOKUP('Données projet'!$B$10,Paramètres!$A$1:$I$89,5,0)</f>
        <v>#N/A</v>
      </c>
      <c r="AK60" s="14" t="e">
        <f t="shared" si="35"/>
        <v>#N/A</v>
      </c>
      <c r="AL60" s="22" t="e">
        <f t="shared" si="4"/>
        <v>#N/A</v>
      </c>
      <c r="AM60" s="62" t="e">
        <f t="shared" si="5"/>
        <v>#N/A</v>
      </c>
      <c r="AN60" s="62" t="e">
        <f ca="1">AVERAGE(OFFSET($AM$3,0,0,'Données projet'!$E$10+1,1))-AVERAGE(OFFSET($H$3,0,0,'Données projet'!$E$10+1,1))</f>
        <v>#N/A</v>
      </c>
      <c r="AO60" s="62" t="e">
        <f t="shared" si="36"/>
        <v>#N/A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 t="e">
        <f>EXP(-LN(2)/35)*AU59+(1-EXP(-LN(2)/35))/(LN(2)/35)*AQ60*AR60*VLOOKUP('Données projet'!$B$10,Paramètres!$A$1:$I$89,3,0)*0.475*44/12</f>
        <v>#N/A</v>
      </c>
      <c r="AV60" s="23" t="e">
        <f>EXP(-LN(2)/25)*AV59+(1-EXP(-LN(2)/25))/(LN(2)/25)*Calculateur!AQ60*Calculateur!AS60*VLOOKUP('Données projet'!$B$10,Paramètres!$A$1:$I$89,3,0)*0.475*44/12</f>
        <v>#N/A</v>
      </c>
      <c r="AW60" s="23" t="e">
        <f>EXP(-LN(2)/2)*AW59+(1-EXP(-LN(2)/2))/(LN(2)/2)*AQ60*AT60*VLOOKUP('Données projet'!$B$10,Paramètres!$A$1:$I$89,3,0)*0.475*44/12</f>
        <v>#N/A</v>
      </c>
      <c r="AX60" s="23" t="e">
        <f t="shared" si="6"/>
        <v>#N/A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70">
        <f t="shared" si="1"/>
        <v>256.66666666666669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17</v>
      </c>
      <c r="N61" s="14">
        <f>IF('Données projet'!$A$36&gt;35,N60+M61-V60,IF(A61&lt;'Données projet'!$A$36,$K$205^A61,IF(A61='Données projet'!$A$36,'Données projet'!$B$36,N60+M61-V60)))</f>
        <v>466</v>
      </c>
      <c r="O61" s="14">
        <f>N61*VLOOKUP('Données projet'!$B$9,Paramètres!$A$1:$I$89,3,0)*VLOOKUP('Données projet'!$B$9,Paramètres!$A$1:$I$89,5,0)</f>
        <v>278.66800000000001</v>
      </c>
      <c r="P61" s="14">
        <f t="shared" si="33"/>
        <v>66.685440917424543</v>
      </c>
      <c r="Q61" s="22">
        <f t="shared" si="53"/>
        <v>601.49057626451452</v>
      </c>
      <c r="R61" s="62">
        <f t="shared" si="0"/>
        <v>894.82390959784789</v>
      </c>
      <c r="S61" s="62">
        <f ca="1">AVERAGE(OFFSET($R$3,0,0,'Données projet'!$E$9+1,1))-AVERAGE(OFFSET($H$3,0,0,'Données projet'!$E$9+1,1))</f>
        <v>348.62416478262719</v>
      </c>
      <c r="T61" s="62">
        <f t="shared" si="34"/>
        <v>371.70674704563288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8.1609087422783215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1.4075052142661169E-3</v>
      </c>
      <c r="AC61" s="24">
        <f t="shared" si="3"/>
        <v>8.162316247492587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 t="e">
        <f>AI61*VLOOKUP('Données projet'!$B$10,Paramètres!$A$1:$I$89,3,0)*VLOOKUP('Données projet'!$B$10,Paramètres!$A$1:$I$89,5,0)</f>
        <v>#N/A</v>
      </c>
      <c r="AK61" s="14" t="e">
        <f t="shared" si="35"/>
        <v>#N/A</v>
      </c>
      <c r="AL61" s="22" t="e">
        <f t="shared" si="4"/>
        <v>#N/A</v>
      </c>
      <c r="AM61" s="62" t="e">
        <f t="shared" si="5"/>
        <v>#N/A</v>
      </c>
      <c r="AN61" s="62" t="e">
        <f ca="1">AVERAGE(OFFSET($AM$3,0,0,'Données projet'!$E$10+1,1))-AVERAGE(OFFSET($H$3,0,0,'Données projet'!$E$10+1,1))</f>
        <v>#N/A</v>
      </c>
      <c r="AO61" s="62" t="e">
        <f t="shared" si="36"/>
        <v>#N/A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 t="e">
        <f>EXP(-LN(2)/35)*AU60+(1-EXP(-LN(2)/35))/(LN(2)/35)*AQ61*AR61*VLOOKUP('Données projet'!$B$10,Paramètres!$A$1:$I$89,3,0)*0.475*44/12</f>
        <v>#N/A</v>
      </c>
      <c r="AV61" s="23" t="e">
        <f>EXP(-LN(2)/25)*AV60+(1-EXP(-LN(2)/25))/(LN(2)/25)*Calculateur!AQ61*Calculateur!AS61*VLOOKUP('Données projet'!$B$10,Paramètres!$A$1:$I$89,3,0)*0.475*44/12</f>
        <v>#N/A</v>
      </c>
      <c r="AW61" s="23" t="e">
        <f>EXP(-LN(2)/2)*AW60+(1-EXP(-LN(2)/2))/(LN(2)/2)*AQ61*AT61*VLOOKUP('Données projet'!$B$10,Paramètres!$A$1:$I$89,3,0)*0.475*44/12</f>
        <v>#N/A</v>
      </c>
      <c r="AX61" s="23" t="e">
        <f t="shared" si="6"/>
        <v>#N/A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70">
        <f t="shared" si="1"/>
        <v>256.66666666666669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17</v>
      </c>
      <c r="N62" s="14">
        <f>IF('Données projet'!$A$36&gt;35,N61+M62-V61,IF(A62&lt;'Données projet'!$A$36,$K$205^A62,IF(A62='Données projet'!$A$36,'Données projet'!$B$36,N61+M62-V61)))</f>
        <v>483</v>
      </c>
      <c r="O62" s="14">
        <f>N62*VLOOKUP('Données projet'!$B$9,Paramètres!$A$1:$I$89,3,0)*VLOOKUP('Données projet'!$B$9,Paramètres!$A$1:$I$89,5,0)</f>
        <v>288.834</v>
      </c>
      <c r="P62" s="14">
        <f t="shared" si="33"/>
        <v>68.830498636563377</v>
      </c>
      <c r="Q62" s="22">
        <f t="shared" si="53"/>
        <v>622.93233512534789</v>
      </c>
      <c r="R62" s="62">
        <f t="shared" si="0"/>
        <v>916.26566845868115</v>
      </c>
      <c r="S62" s="62">
        <f ca="1">AVERAGE(OFFSET($R$3,0,0,'Données projet'!$E$9+1,1))-AVERAGE(OFFSET($H$3,0,0,'Données projet'!$E$9+1,1))</f>
        <v>348.62416478262719</v>
      </c>
      <c r="T62" s="62">
        <f t="shared" si="34"/>
        <v>371.70674704563288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8.0008782995050733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9.9525648156299578E-4</v>
      </c>
      <c r="AC62" s="24">
        <f t="shared" si="3"/>
        <v>8.0018735559866361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 t="e">
        <f>AI62*VLOOKUP('Données projet'!$B$10,Paramètres!$A$1:$I$89,3,0)*VLOOKUP('Données projet'!$B$10,Paramètres!$A$1:$I$89,5,0)</f>
        <v>#N/A</v>
      </c>
      <c r="AK62" s="14" t="e">
        <f t="shared" si="35"/>
        <v>#N/A</v>
      </c>
      <c r="AL62" s="22" t="e">
        <f t="shared" si="4"/>
        <v>#N/A</v>
      </c>
      <c r="AM62" s="62" t="e">
        <f t="shared" si="5"/>
        <v>#N/A</v>
      </c>
      <c r="AN62" s="62" t="e">
        <f ca="1">AVERAGE(OFFSET($AM$3,0,0,'Données projet'!$E$10+1,1))-AVERAGE(OFFSET($H$3,0,0,'Données projet'!$E$10+1,1))</f>
        <v>#N/A</v>
      </c>
      <c r="AO62" s="62" t="e">
        <f t="shared" si="36"/>
        <v>#N/A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 t="e">
        <f>EXP(-LN(2)/35)*AU61+(1-EXP(-LN(2)/35))/(LN(2)/35)*AQ62*AR62*VLOOKUP('Données projet'!$B$10,Paramètres!$A$1:$I$89,3,0)*0.475*44/12</f>
        <v>#N/A</v>
      </c>
      <c r="AV62" s="23" t="e">
        <f>EXP(-LN(2)/25)*AV61+(1-EXP(-LN(2)/25))/(LN(2)/25)*Calculateur!AQ62*Calculateur!AS62*VLOOKUP('Données projet'!$B$10,Paramètres!$A$1:$I$89,3,0)*0.475*44/12</f>
        <v>#N/A</v>
      </c>
      <c r="AW62" s="23" t="e">
        <f>EXP(-LN(2)/2)*AW61+(1-EXP(-LN(2)/2))/(LN(2)/2)*AQ62*AT62*VLOOKUP('Données projet'!$B$10,Paramètres!$A$1:$I$89,3,0)*0.475*44/12</f>
        <v>#N/A</v>
      </c>
      <c r="AX62" s="23" t="e">
        <f t="shared" si="6"/>
        <v>#N/A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70">
        <f t="shared" si="1"/>
        <v>256.66666666666669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500</v>
      </c>
      <c r="L63" s="13">
        <f>VLOOKUP(A63,'Données projet'!$A$35:$I$55,9,0)</f>
        <v>17</v>
      </c>
      <c r="M63" s="13">
        <f t="array" ref="M63">INDEX(L:L,MIN(IF(ISNUMBER(L63:L259),ROW(L63:L259),"")))</f>
        <v>17</v>
      </c>
      <c r="N63" s="14">
        <f>IF('Données projet'!$A$36&gt;35,N62+M63-V62,IF(A63&lt;'Données projet'!$A$36,$K$205^A63,IF(A63='Données projet'!$A$36,'Données projet'!$B$36,N62+M63-V62)))</f>
        <v>500</v>
      </c>
      <c r="O63" s="14">
        <f>N63*VLOOKUP('Données projet'!$B$9,Paramètres!$A$1:$I$89,3,0)*VLOOKUP('Données projet'!$B$9,Paramètres!$A$1:$I$89,5,0)</f>
        <v>299</v>
      </c>
      <c r="P63" s="14">
        <f t="shared" si="33"/>
        <v>70.966784344875109</v>
      </c>
      <c r="Q63" s="22">
        <f t="shared" si="53"/>
        <v>644.35881606732414</v>
      </c>
      <c r="R63" s="62">
        <f t="shared" si="0"/>
        <v>937.6921494006574</v>
      </c>
      <c r="S63" s="62">
        <f ca="1">AVERAGE(OFFSET($R$3,0,0,'Données projet'!$E$9+1,1))-AVERAGE(OFFSET($H$3,0,0,'Données projet'!$E$9+1,1))</f>
        <v>348.62416478262719</v>
      </c>
      <c r="T63" s="62">
        <f t="shared" si="34"/>
        <v>371.70674704563288</v>
      </c>
      <c r="U63" s="16">
        <f>IF(ISNA(VLOOKUP(A63,'Données projet'!$A$35:$I$55,3,0)),0,VLOOKUP(A63,'Données projet'!$A$35:$I$55,3,0))</f>
        <v>10</v>
      </c>
      <c r="V63" s="16">
        <f>IF(ISNA(VLOOKUP(A63,'Données projet'!$A$35:$I$55,4,0)),0,VLOOKUP(A63,'Données projet'!$A$35:$I$55,4,0))</f>
        <v>32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7.8439859561056764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7.0375260713305843E-4</v>
      </c>
      <c r="AC63" s="24">
        <f t="shared" si="3"/>
        <v>7.8446897087128091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 t="e">
        <f>AI63*VLOOKUP('Données projet'!$B$10,Paramètres!$A$1:$I$89,3,0)*VLOOKUP('Données projet'!$B$10,Paramètres!$A$1:$I$89,5,0)</f>
        <v>#N/A</v>
      </c>
      <c r="AK63" s="14" t="e">
        <f t="shared" si="35"/>
        <v>#N/A</v>
      </c>
      <c r="AL63" s="22" t="e">
        <f t="shared" si="4"/>
        <v>#N/A</v>
      </c>
      <c r="AM63" s="62" t="e">
        <f t="shared" si="5"/>
        <v>#N/A</v>
      </c>
      <c r="AN63" s="62" t="e">
        <f ca="1">AVERAGE(OFFSET($AM$3,0,0,'Données projet'!$E$10+1,1))-AVERAGE(OFFSET($H$3,0,0,'Données projet'!$E$10+1,1))</f>
        <v>#N/A</v>
      </c>
      <c r="AO63" s="62" t="e">
        <f t="shared" si="36"/>
        <v>#N/A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 t="e">
        <f>EXP(-LN(2)/35)*AU62+(1-EXP(-LN(2)/35))/(LN(2)/35)*AQ63*AR63*VLOOKUP('Données projet'!$B$10,Paramètres!$A$1:$I$89,3,0)*0.475*44/12</f>
        <v>#N/A</v>
      </c>
      <c r="AV63" s="23" t="e">
        <f>EXP(-LN(2)/25)*AV62+(1-EXP(-LN(2)/25))/(LN(2)/25)*Calculateur!AQ63*Calculateur!AS63*VLOOKUP('Données projet'!$B$10,Paramètres!$A$1:$I$89,3,0)*0.475*44/12</f>
        <v>#N/A</v>
      </c>
      <c r="AW63" s="23" t="e">
        <f>EXP(-LN(2)/2)*AW62+(1-EXP(-LN(2)/2))/(LN(2)/2)*AQ63*AT63*VLOOKUP('Données projet'!$B$10,Paramètres!$A$1:$I$89,3,0)*0.475*44/12</f>
        <v>#N/A</v>
      </c>
      <c r="AX63" s="23" t="e">
        <f t="shared" si="6"/>
        <v>#N/A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70">
        <f t="shared" si="1"/>
        <v>256.66666666666669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17.399999999999999</v>
      </c>
      <c r="N64" s="14">
        <f>IF('Données projet'!$A$36&gt;35,N63+M64-V63,IF(A64&lt;'Données projet'!$A$36,$K$205^A64,IF(A64='Données projet'!$A$36,'Données projet'!$B$36,N63+M64-V63)))</f>
        <v>485.4</v>
      </c>
      <c r="O64" s="14">
        <f>N64*VLOOKUP('Données projet'!$B$9,Paramètres!$A$1:$I$89,3,0)*VLOOKUP('Données projet'!$B$9,Paramètres!$A$1:$I$89,5,0)</f>
        <v>290.26920000000001</v>
      </c>
      <c r="P64" s="14">
        <f t="shared" si="33"/>
        <v>69.13261576818384</v>
      </c>
      <c r="Q64" s="22">
        <f t="shared" si="53"/>
        <v>625.95816246292009</v>
      </c>
      <c r="R64" s="62">
        <f t="shared" si="0"/>
        <v>919.29149579625346</v>
      </c>
      <c r="S64" s="62">
        <f ca="1">AVERAGE(OFFSET($R$3,0,0,'Données projet'!$E$9+1,1))-AVERAGE(OFFSET($H$3,0,0,'Données projet'!$E$9+1,1))</f>
        <v>348.62416478262719</v>
      </c>
      <c r="T64" s="62">
        <f t="shared" si="34"/>
        <v>371.70674704563288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7.690170175865461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4.9762824078149789E-4</v>
      </c>
      <c r="AC64" s="24">
        <f t="shared" si="3"/>
        <v>7.6906678041062424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 t="e">
        <f>AI64*VLOOKUP('Données projet'!$B$10,Paramètres!$A$1:$I$89,3,0)*VLOOKUP('Données projet'!$B$10,Paramètres!$A$1:$I$89,5,0)</f>
        <v>#N/A</v>
      </c>
      <c r="AK64" s="14" t="e">
        <f t="shared" si="35"/>
        <v>#N/A</v>
      </c>
      <c r="AL64" s="22" t="e">
        <f t="shared" si="4"/>
        <v>#N/A</v>
      </c>
      <c r="AM64" s="62" t="e">
        <f t="shared" si="5"/>
        <v>#N/A</v>
      </c>
      <c r="AN64" s="62" t="e">
        <f ca="1">AVERAGE(OFFSET($AM$3,0,0,'Données projet'!$E$10+1,1))-AVERAGE(OFFSET($H$3,0,0,'Données projet'!$E$10+1,1))</f>
        <v>#N/A</v>
      </c>
      <c r="AO64" s="62" t="e">
        <f t="shared" si="36"/>
        <v>#N/A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 t="e">
        <f>EXP(-LN(2)/35)*AU63+(1-EXP(-LN(2)/35))/(LN(2)/35)*AQ64*AR64*VLOOKUP('Données projet'!$B$10,Paramètres!$A$1:$I$89,3,0)*0.475*44/12</f>
        <v>#N/A</v>
      </c>
      <c r="AV64" s="23" t="e">
        <f>EXP(-LN(2)/25)*AV63+(1-EXP(-LN(2)/25))/(LN(2)/25)*Calculateur!AQ64*Calculateur!AS64*VLOOKUP('Données projet'!$B$10,Paramètres!$A$1:$I$89,3,0)*0.475*44/12</f>
        <v>#N/A</v>
      </c>
      <c r="AW64" s="23" t="e">
        <f>EXP(-LN(2)/2)*AW63+(1-EXP(-LN(2)/2))/(LN(2)/2)*AQ64*AT64*VLOOKUP('Données projet'!$B$10,Paramètres!$A$1:$I$89,3,0)*0.475*44/12</f>
        <v>#N/A</v>
      </c>
      <c r="AX64" s="23" t="e">
        <f t="shared" si="6"/>
        <v>#N/A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70">
        <f t="shared" si="1"/>
        <v>256.66666666666669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17.399999999999999</v>
      </c>
      <c r="N65" s="14">
        <f>IF('Données projet'!$A$36&gt;35,N64+M65-V64,IF(A65&lt;'Données projet'!$A$36,$K$205^A65,IF(A65='Données projet'!$A$36,'Données projet'!$B$36,N64+M65-V64)))</f>
        <v>502.79999999999995</v>
      </c>
      <c r="O65" s="14">
        <f>N65*VLOOKUP('Données projet'!$B$9,Paramètres!$A$1:$I$89,3,0)*VLOOKUP('Données projet'!$B$9,Paramètres!$A$1:$I$89,5,0)</f>
        <v>300.67439999999999</v>
      </c>
      <c r="P65" s="14">
        <f t="shared" si="33"/>
        <v>71.317825137860439</v>
      </c>
      <c r="Q65" s="22">
        <f t="shared" si="53"/>
        <v>647.88645878177363</v>
      </c>
      <c r="R65" s="62">
        <f t="shared" si="0"/>
        <v>941.21979211510688</v>
      </c>
      <c r="S65" s="62">
        <f ca="1">AVERAGE(OFFSET($R$3,0,0,'Données projet'!$E$9+1,1))-AVERAGE(OFFSET($H$3,0,0,'Données projet'!$E$9+1,1))</f>
        <v>348.62416478262719</v>
      </c>
      <c r="T65" s="62">
        <f t="shared" si="34"/>
        <v>371.70674704563288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7.5393706292573945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3.5187630356652922E-4</v>
      </c>
      <c r="AC65" s="24">
        <f t="shared" si="3"/>
        <v>7.5397225055609614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 t="e">
        <f>AI65*VLOOKUP('Données projet'!$B$10,Paramètres!$A$1:$I$89,3,0)*VLOOKUP('Données projet'!$B$10,Paramètres!$A$1:$I$89,5,0)</f>
        <v>#N/A</v>
      </c>
      <c r="AK65" s="14" t="e">
        <f t="shared" si="35"/>
        <v>#N/A</v>
      </c>
      <c r="AL65" s="22" t="e">
        <f t="shared" si="4"/>
        <v>#N/A</v>
      </c>
      <c r="AM65" s="62" t="e">
        <f t="shared" si="5"/>
        <v>#N/A</v>
      </c>
      <c r="AN65" s="62" t="e">
        <f ca="1">AVERAGE(OFFSET($AM$3,0,0,'Données projet'!$E$10+1,1))-AVERAGE(OFFSET($H$3,0,0,'Données projet'!$E$10+1,1))</f>
        <v>#N/A</v>
      </c>
      <c r="AO65" s="62" t="e">
        <f t="shared" si="36"/>
        <v>#N/A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 t="e">
        <f>EXP(-LN(2)/35)*AU64+(1-EXP(-LN(2)/35))/(LN(2)/35)*AQ65*AR65*VLOOKUP('Données projet'!$B$10,Paramètres!$A$1:$I$89,3,0)*0.475*44/12</f>
        <v>#N/A</v>
      </c>
      <c r="AV65" s="23" t="e">
        <f>EXP(-LN(2)/25)*AV64+(1-EXP(-LN(2)/25))/(LN(2)/25)*Calculateur!AQ65*Calculateur!AS65*VLOOKUP('Données projet'!$B$10,Paramètres!$A$1:$I$89,3,0)*0.475*44/12</f>
        <v>#N/A</v>
      </c>
      <c r="AW65" s="23" t="e">
        <f>EXP(-LN(2)/2)*AW64+(1-EXP(-LN(2)/2))/(LN(2)/2)*AQ65*AT65*VLOOKUP('Données projet'!$B$10,Paramètres!$A$1:$I$89,3,0)*0.475*44/12</f>
        <v>#N/A</v>
      </c>
      <c r="AX65" s="23" t="e">
        <f t="shared" si="6"/>
        <v>#N/A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70">
        <f t="shared" si="1"/>
        <v>256.66666666666669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17.399999999999999</v>
      </c>
      <c r="N66" s="14">
        <f>IF('Données projet'!$A$36&gt;35,N65+M66-V65,IF(A66&lt;'Données projet'!$A$36,$K$205^A66,IF(A66='Données projet'!$A$36,'Données projet'!$B$36,N65+M66-V65)))</f>
        <v>520.19999999999993</v>
      </c>
      <c r="O66" s="14">
        <f>N66*VLOOKUP('Données projet'!$B$9,Paramètres!$A$1:$I$89,3,0)*VLOOKUP('Données projet'!$B$9,Paramètres!$A$1:$I$89,5,0)</f>
        <v>311.07959999999997</v>
      </c>
      <c r="P66" s="14">
        <f t="shared" si="33"/>
        <v>73.49424798183118</v>
      </c>
      <c r="Q66" s="22">
        <f t="shared" si="53"/>
        <v>669.79945190168917</v>
      </c>
      <c r="R66" s="62">
        <f t="shared" si="0"/>
        <v>963.13278523502254</v>
      </c>
      <c r="S66" s="62">
        <f ca="1">AVERAGE(OFFSET($R$3,0,0,'Données projet'!$E$9+1,1))-AVERAGE(OFFSET($H$3,0,0,'Données projet'!$E$9+1,1))</f>
        <v>348.62416478262719</v>
      </c>
      <c r="T66" s="62">
        <f t="shared" si="34"/>
        <v>371.70674704563288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7.3915281697796704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2.4881412039074894E-4</v>
      </c>
      <c r="AC66" s="24">
        <f t="shared" si="3"/>
        <v>7.3917769839000611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 t="e">
        <f>AI66*VLOOKUP('Données projet'!$B$10,Paramètres!$A$1:$I$89,3,0)*VLOOKUP('Données projet'!$B$10,Paramètres!$A$1:$I$89,5,0)</f>
        <v>#N/A</v>
      </c>
      <c r="AK66" s="14" t="e">
        <f t="shared" si="35"/>
        <v>#N/A</v>
      </c>
      <c r="AL66" s="22" t="e">
        <f t="shared" si="4"/>
        <v>#N/A</v>
      </c>
      <c r="AM66" s="62" t="e">
        <f t="shared" si="5"/>
        <v>#N/A</v>
      </c>
      <c r="AN66" s="62" t="e">
        <f ca="1">AVERAGE(OFFSET($AM$3,0,0,'Données projet'!$E$10+1,1))-AVERAGE(OFFSET($H$3,0,0,'Données projet'!$E$10+1,1))</f>
        <v>#N/A</v>
      </c>
      <c r="AO66" s="62" t="e">
        <f t="shared" si="36"/>
        <v>#N/A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 t="e">
        <f>EXP(-LN(2)/35)*AU65+(1-EXP(-LN(2)/35))/(LN(2)/35)*AQ66*AR66*VLOOKUP('Données projet'!$B$10,Paramètres!$A$1:$I$89,3,0)*0.475*44/12</f>
        <v>#N/A</v>
      </c>
      <c r="AV66" s="23" t="e">
        <f>EXP(-LN(2)/25)*AV65+(1-EXP(-LN(2)/25))/(LN(2)/25)*Calculateur!AQ66*Calculateur!AS66*VLOOKUP('Données projet'!$B$10,Paramètres!$A$1:$I$89,3,0)*0.475*44/12</f>
        <v>#N/A</v>
      </c>
      <c r="AW66" s="23" t="e">
        <f>EXP(-LN(2)/2)*AW65+(1-EXP(-LN(2)/2))/(LN(2)/2)*AQ66*AT66*VLOOKUP('Données projet'!$B$10,Paramètres!$A$1:$I$89,3,0)*0.475*44/12</f>
        <v>#N/A</v>
      </c>
      <c r="AX66" s="23" t="e">
        <f t="shared" si="6"/>
        <v>#N/A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70">
        <f t="shared" si="1"/>
        <v>256.66666666666669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17.399999999999999</v>
      </c>
      <c r="N67" s="14">
        <f>IF('Données projet'!$A$36&gt;35,N66+M67-V66,IF(A67&lt;'Données projet'!$A$36,$K$205^A67,IF(A67='Données projet'!$A$36,'Données projet'!$B$36,N66+M67-V66)))</f>
        <v>537.59999999999991</v>
      </c>
      <c r="O67" s="14">
        <f>N67*VLOOKUP('Données projet'!$B$9,Paramètres!$A$1:$I$89,3,0)*VLOOKUP('Données projet'!$B$9,Paramètres!$A$1:$I$89,5,0)</f>
        <v>321.48479999999995</v>
      </c>
      <c r="P67" s="14">
        <f t="shared" si="33"/>
        <v>75.662211893590367</v>
      </c>
      <c r="Q67" s="22">
        <f t="shared" ref="Q67:Q98" si="54">(O67+P67)*0.475*44/12</f>
        <v>691.69771238133637</v>
      </c>
      <c r="R67" s="62">
        <f t="shared" ref="R67:R130" si="55">Q67+(I67+J67)*44/12</f>
        <v>985.03104571466974</v>
      </c>
      <c r="S67" s="62">
        <f ca="1">AVERAGE(OFFSET($R$3,0,0,'Données projet'!$E$9+1,1))-AVERAGE(OFFSET($H$3,0,0,'Données projet'!$E$9+1,1))</f>
        <v>348.62416478262719</v>
      </c>
      <c r="T67" s="62">
        <f t="shared" si="34"/>
        <v>371.70674704563288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7.2465848107573088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1.7593815178326461E-4</v>
      </c>
      <c r="AC67" s="24">
        <f t="shared" si="3"/>
        <v>7.2467607489090922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 t="e">
        <f>AI67*VLOOKUP('Données projet'!$B$10,Paramètres!$A$1:$I$89,3,0)*VLOOKUP('Données projet'!$B$10,Paramètres!$A$1:$I$89,5,0)</f>
        <v>#N/A</v>
      </c>
      <c r="AK67" s="14" t="e">
        <f t="shared" si="35"/>
        <v>#N/A</v>
      </c>
      <c r="AL67" s="22" t="e">
        <f t="shared" si="4"/>
        <v>#N/A</v>
      </c>
      <c r="AM67" s="62" t="e">
        <f t="shared" si="5"/>
        <v>#N/A</v>
      </c>
      <c r="AN67" s="62" t="e">
        <f ca="1">AVERAGE(OFFSET($AM$3,0,0,'Données projet'!$E$10+1,1))-AVERAGE(OFFSET($H$3,0,0,'Données projet'!$E$10+1,1))</f>
        <v>#N/A</v>
      </c>
      <c r="AO67" s="62" t="e">
        <f t="shared" si="36"/>
        <v>#N/A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 t="e">
        <f>EXP(-LN(2)/35)*AU66+(1-EXP(-LN(2)/35))/(LN(2)/35)*AQ67*AR67*VLOOKUP('Données projet'!$B$10,Paramètres!$A$1:$I$89,3,0)*0.475*44/12</f>
        <v>#N/A</v>
      </c>
      <c r="AV67" s="23" t="e">
        <f>EXP(-LN(2)/25)*AV66+(1-EXP(-LN(2)/25))/(LN(2)/25)*Calculateur!AQ67*Calculateur!AS67*VLOOKUP('Données projet'!$B$10,Paramètres!$A$1:$I$89,3,0)*0.475*44/12</f>
        <v>#N/A</v>
      </c>
      <c r="AW67" s="23" t="e">
        <f>EXP(-LN(2)/2)*AW66+(1-EXP(-LN(2)/2))/(LN(2)/2)*AQ67*AT67*VLOOKUP('Données projet'!$B$10,Paramètres!$A$1:$I$89,3,0)*0.475*44/12</f>
        <v>#N/A</v>
      </c>
      <c r="AX67" s="23" t="e">
        <f t="shared" si="6"/>
        <v>#N/A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70">
        <f t="shared" ref="H68:H131" si="56">(B68+E68+F68)*44/12+(C68+D68)*0.475*44/12</f>
        <v>256.66666666666669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>
        <f>VLOOKUP(A68,'Données projet'!$A$35:$I$55,2,0)</f>
        <v>555</v>
      </c>
      <c r="L68" s="13">
        <f>VLOOKUP(A68,'Données projet'!$A$35:$I$55,9,0)</f>
        <v>17.399999999999999</v>
      </c>
      <c r="M68" s="13">
        <f t="array" ref="M68">INDEX(L:L,MIN(IF(ISNUMBER(L68:L264),ROW(L68:L264),"")))</f>
        <v>17.399999999999999</v>
      </c>
      <c r="N68" s="14">
        <f>IF('Données projet'!$A$36&gt;35,N67+M68-V67,IF(A68&lt;'Données projet'!$A$36,$K$205^A68,IF(A68='Données projet'!$A$36,'Données projet'!$B$36,N67+M68-V67)))</f>
        <v>554.99999999999989</v>
      </c>
      <c r="O68" s="14">
        <f>N68*VLOOKUP('Données projet'!$B$9,Paramètres!$A$1:$I$89,3,0)*VLOOKUP('Données projet'!$B$9,Paramètres!$A$1:$I$89,5,0)</f>
        <v>331.88999999999993</v>
      </c>
      <c r="P68" s="14">
        <f t="shared" si="33"/>
        <v>77.822022056956186</v>
      </c>
      <c r="Q68" s="22">
        <f t="shared" si="54"/>
        <v>713.58177174919854</v>
      </c>
      <c r="R68" s="62">
        <f t="shared" si="55"/>
        <v>1006.9151050825319</v>
      </c>
      <c r="S68" s="62">
        <f ca="1">AVERAGE(OFFSET($R$3,0,0,'Données projet'!$E$9+1,1))-AVERAGE(OFFSET($H$3,0,0,'Données projet'!$E$9+1,1))</f>
        <v>348.62416478262719</v>
      </c>
      <c r="T68" s="62">
        <f t="shared" si="34"/>
        <v>371.70674704563288</v>
      </c>
      <c r="U68" s="16">
        <f>IF(ISNA(VLOOKUP(A68,'Données projet'!$A$35:$I$55,3,0)),0,VLOOKUP(A68,'Données projet'!$A$35:$I$55,3,0))</f>
        <v>11</v>
      </c>
      <c r="V68" s="16">
        <f>IF(ISNA(VLOOKUP(A68,'Données projet'!$A$35:$I$55,4,0)),0,VLOOKUP(A68,'Données projet'!$A$35:$I$55,4,0))</f>
        <v>555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7.1044837025986558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1.2440706019537447E-4</v>
      </c>
      <c r="AC68" s="24">
        <f t="shared" ref="AC68:AC131" si="57">SUM(Z68:AB68)</f>
        <v>7.1046081096588516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 t="e">
        <f>AI68*VLOOKUP('Données projet'!$B$10,Paramètres!$A$1:$I$89,3,0)*VLOOKUP('Données projet'!$B$10,Paramètres!$A$1:$I$89,5,0)</f>
        <v>#N/A</v>
      </c>
      <c r="AK68" s="14" t="e">
        <f t="shared" si="35"/>
        <v>#N/A</v>
      </c>
      <c r="AL68" s="22" t="e">
        <f t="shared" ref="AL68:AL131" si="58">(AJ68+AK68)*0.475*44/12</f>
        <v>#N/A</v>
      </c>
      <c r="AM68" s="62" t="e">
        <f t="shared" ref="AM68:AM131" si="59">AL68+(AD68+AE68)*44/12</f>
        <v>#N/A</v>
      </c>
      <c r="AN68" s="62" t="e">
        <f ca="1">AVERAGE(OFFSET($AM$3,0,0,'Données projet'!$E$10+1,1))-AVERAGE(OFFSET($H$3,0,0,'Données projet'!$E$10+1,1))</f>
        <v>#N/A</v>
      </c>
      <c r="AO68" s="62" t="e">
        <f t="shared" si="36"/>
        <v>#N/A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 t="e">
        <f>EXP(-LN(2)/35)*AU67+(1-EXP(-LN(2)/35))/(LN(2)/35)*AQ68*AR68*VLOOKUP('Données projet'!$B$10,Paramètres!$A$1:$I$89,3,0)*0.475*44/12</f>
        <v>#N/A</v>
      </c>
      <c r="AV68" s="23" t="e">
        <f>EXP(-LN(2)/25)*AV67+(1-EXP(-LN(2)/25))/(LN(2)/25)*Calculateur!AQ68*Calculateur!AS68*VLOOKUP('Données projet'!$B$10,Paramètres!$A$1:$I$89,3,0)*0.475*44/12</f>
        <v>#N/A</v>
      </c>
      <c r="AW68" s="23" t="e">
        <f>EXP(-LN(2)/2)*AW67+(1-EXP(-LN(2)/2))/(LN(2)/2)*AQ68*AT68*VLOOKUP('Données projet'!$B$10,Paramètres!$A$1:$I$89,3,0)*0.475*44/12</f>
        <v>#N/A</v>
      </c>
      <c r="AX68" s="23" t="e">
        <f t="shared" ref="AX68:AX131" si="60">SUM(AU68:AW68)</f>
        <v>#N/A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70">
        <f t="shared" si="56"/>
        <v>256.66666666666669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-1.1368683772161603E-13</v>
      </c>
      <c r="O69" s="14">
        <f>N69*VLOOKUP('Données projet'!$B$9,Paramètres!$A$1:$I$89,3,0)*VLOOKUP('Données projet'!$B$9,Paramètres!$A$1:$I$89,5,0)</f>
        <v>-6.7984728957526396E-14</v>
      </c>
      <c r="P69" s="14" t="e">
        <f t="shared" ref="P69:P132" si="87">EXP(-1.0587+0.8836*LN(O69)+0.284)</f>
        <v>#NUM!</v>
      </c>
      <c r="Q69" s="22" t="e">
        <f t="shared" si="54"/>
        <v>#NUM!</v>
      </c>
      <c r="R69" s="62" t="e">
        <f t="shared" si="55"/>
        <v>#NUM!</v>
      </c>
      <c r="S69" s="62">
        <f ca="1">AVERAGE(OFFSET($R$3,0,0,'Données projet'!$E$9+1,1))-AVERAGE(OFFSET($H$3,0,0,'Données projet'!$E$9+1,1))</f>
        <v>348.62416478262719</v>
      </c>
      <c r="T69" s="62">
        <f t="shared" ref="T69:T132" si="88">$T$3</f>
        <v>371.70674704563288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6.9651691104978761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8.7969075891632304E-5</v>
      </c>
      <c r="AC69" s="24">
        <f t="shared" si="57"/>
        <v>6.9652570795737674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 t="e">
        <f>AI69*VLOOKUP('Données projet'!$B$10,Paramètres!$A$1:$I$89,3,0)*VLOOKUP('Données projet'!$B$10,Paramètres!$A$1:$I$89,5,0)</f>
        <v>#N/A</v>
      </c>
      <c r="AK69" s="14" t="e">
        <f t="shared" ref="AK69:AK132" si="89">EXP(-1.0587+0.8836*LN(AJ69)+0.284)</f>
        <v>#N/A</v>
      </c>
      <c r="AL69" s="22" t="e">
        <f t="shared" si="58"/>
        <v>#N/A</v>
      </c>
      <c r="AM69" s="62" t="e">
        <f t="shared" si="59"/>
        <v>#N/A</v>
      </c>
      <c r="AN69" s="62" t="e">
        <f ca="1">AVERAGE(OFFSET($AM$3,0,0,'Données projet'!$E$10+1,1))-AVERAGE(OFFSET($H$3,0,0,'Données projet'!$E$10+1,1))</f>
        <v>#N/A</v>
      </c>
      <c r="AO69" s="62" t="e">
        <f t="shared" ref="AO69:AO132" si="90">$AO$3</f>
        <v>#N/A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 t="e">
        <f>EXP(-LN(2)/35)*AU68+(1-EXP(-LN(2)/35))/(LN(2)/35)*AQ69*AR69*VLOOKUP('Données projet'!$B$10,Paramètres!$A$1:$I$89,3,0)*0.475*44/12</f>
        <v>#N/A</v>
      </c>
      <c r="AV69" s="23" t="e">
        <f>EXP(-LN(2)/25)*AV68+(1-EXP(-LN(2)/25))/(LN(2)/25)*Calculateur!AQ69*Calculateur!AS69*VLOOKUP('Données projet'!$B$10,Paramètres!$A$1:$I$89,3,0)*0.475*44/12</f>
        <v>#N/A</v>
      </c>
      <c r="AW69" s="23" t="e">
        <f>EXP(-LN(2)/2)*AW68+(1-EXP(-LN(2)/2))/(LN(2)/2)*AQ69*AT69*VLOOKUP('Données projet'!$B$10,Paramètres!$A$1:$I$89,3,0)*0.475*44/12</f>
        <v>#N/A</v>
      </c>
      <c r="AX69" s="23" t="e">
        <f t="shared" si="60"/>
        <v>#N/A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70">
        <f t="shared" si="56"/>
        <v>256.66666666666669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-1.1368683772161603E-13</v>
      </c>
      <c r="O70" s="14">
        <f>N70*VLOOKUP('Données projet'!$B$9,Paramètres!$A$1:$I$89,3,0)*VLOOKUP('Données projet'!$B$9,Paramètres!$A$1:$I$89,5,0)</f>
        <v>-6.7984728957526396E-14</v>
      </c>
      <c r="P70" s="14" t="e">
        <f t="shared" si="87"/>
        <v>#NUM!</v>
      </c>
      <c r="Q70" s="22" t="e">
        <f t="shared" si="54"/>
        <v>#NUM!</v>
      </c>
      <c r="R70" s="62" t="e">
        <f t="shared" si="55"/>
        <v>#NUM!</v>
      </c>
      <c r="S70" s="62">
        <f ca="1">AVERAGE(OFFSET($R$3,0,0,'Données projet'!$E$9+1,1))-AVERAGE(OFFSET($H$3,0,0,'Données projet'!$E$9+1,1))</f>
        <v>348.62416478262719</v>
      </c>
      <c r="T70" s="62">
        <f t="shared" si="88"/>
        <v>371.70674704563288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6.8285863925746817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6.2203530097687236E-5</v>
      </c>
      <c r="AC70" s="24">
        <f t="shared" si="57"/>
        <v>6.8286485961047791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 t="e">
        <f>AI70*VLOOKUP('Données projet'!$B$10,Paramètres!$A$1:$I$89,3,0)*VLOOKUP('Données projet'!$B$10,Paramètres!$A$1:$I$89,5,0)</f>
        <v>#N/A</v>
      </c>
      <c r="AK70" s="14" t="e">
        <f t="shared" si="89"/>
        <v>#N/A</v>
      </c>
      <c r="AL70" s="22" t="e">
        <f t="shared" si="58"/>
        <v>#N/A</v>
      </c>
      <c r="AM70" s="62" t="e">
        <f t="shared" si="59"/>
        <v>#N/A</v>
      </c>
      <c r="AN70" s="62" t="e">
        <f ca="1">AVERAGE(OFFSET($AM$3,0,0,'Données projet'!$E$10+1,1))-AVERAGE(OFFSET($H$3,0,0,'Données projet'!$E$10+1,1))</f>
        <v>#N/A</v>
      </c>
      <c r="AO70" s="62" t="e">
        <f t="shared" si="90"/>
        <v>#N/A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 t="e">
        <f>EXP(-LN(2)/35)*AU69+(1-EXP(-LN(2)/35))/(LN(2)/35)*AQ70*AR70*VLOOKUP('Données projet'!$B$10,Paramètres!$A$1:$I$89,3,0)*0.475*44/12</f>
        <v>#N/A</v>
      </c>
      <c r="AV70" s="23" t="e">
        <f>EXP(-LN(2)/25)*AV69+(1-EXP(-LN(2)/25))/(LN(2)/25)*Calculateur!AQ70*Calculateur!AS70*VLOOKUP('Données projet'!$B$10,Paramètres!$A$1:$I$89,3,0)*0.475*44/12</f>
        <v>#N/A</v>
      </c>
      <c r="AW70" s="23" t="e">
        <f>EXP(-LN(2)/2)*AW69+(1-EXP(-LN(2)/2))/(LN(2)/2)*AQ70*AT70*VLOOKUP('Données projet'!$B$10,Paramètres!$A$1:$I$89,3,0)*0.475*44/12</f>
        <v>#N/A</v>
      </c>
      <c r="AX70" s="23" t="e">
        <f t="shared" si="60"/>
        <v>#N/A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70">
        <f t="shared" si="56"/>
        <v>256.66666666666669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-1.1368683772161603E-13</v>
      </c>
      <c r="O71" s="14">
        <f>N71*VLOOKUP('Données projet'!$B$9,Paramètres!$A$1:$I$89,3,0)*VLOOKUP('Données projet'!$B$9,Paramètres!$A$1:$I$89,5,0)</f>
        <v>-6.7984728957526396E-14</v>
      </c>
      <c r="P71" s="14" t="e">
        <f t="shared" si="87"/>
        <v>#NUM!</v>
      </c>
      <c r="Q71" s="22" t="e">
        <f t="shared" si="54"/>
        <v>#NUM!</v>
      </c>
      <c r="R71" s="62" t="e">
        <f t="shared" si="55"/>
        <v>#NUM!</v>
      </c>
      <c r="S71" s="62">
        <f ca="1">AVERAGE(OFFSET($R$3,0,0,'Données projet'!$E$9+1,1))-AVERAGE(OFFSET($H$3,0,0,'Données projet'!$E$9+1,1))</f>
        <v>348.62416478262719</v>
      </c>
      <c r="T71" s="62">
        <f t="shared" si="88"/>
        <v>371.70674704563288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6.6946819784427296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4.3984537945816152E-5</v>
      </c>
      <c r="AC71" s="24">
        <f t="shared" si="57"/>
        <v>6.6947259629806757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 t="e">
        <f>AI71*VLOOKUP('Données projet'!$B$10,Paramètres!$A$1:$I$89,3,0)*VLOOKUP('Données projet'!$B$10,Paramètres!$A$1:$I$89,5,0)</f>
        <v>#N/A</v>
      </c>
      <c r="AK71" s="14" t="e">
        <f t="shared" si="89"/>
        <v>#N/A</v>
      </c>
      <c r="AL71" s="22" t="e">
        <f t="shared" si="58"/>
        <v>#N/A</v>
      </c>
      <c r="AM71" s="62" t="e">
        <f t="shared" si="59"/>
        <v>#N/A</v>
      </c>
      <c r="AN71" s="62" t="e">
        <f ca="1">AVERAGE(OFFSET($AM$3,0,0,'Données projet'!$E$10+1,1))-AVERAGE(OFFSET($H$3,0,0,'Données projet'!$E$10+1,1))</f>
        <v>#N/A</v>
      </c>
      <c r="AO71" s="62" t="e">
        <f t="shared" si="90"/>
        <v>#N/A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 t="e">
        <f>EXP(-LN(2)/35)*AU70+(1-EXP(-LN(2)/35))/(LN(2)/35)*AQ71*AR71*VLOOKUP('Données projet'!$B$10,Paramètres!$A$1:$I$89,3,0)*0.475*44/12</f>
        <v>#N/A</v>
      </c>
      <c r="AV71" s="23" t="e">
        <f>EXP(-LN(2)/25)*AV70+(1-EXP(-LN(2)/25))/(LN(2)/25)*Calculateur!AQ71*Calculateur!AS71*VLOOKUP('Données projet'!$B$10,Paramètres!$A$1:$I$89,3,0)*0.475*44/12</f>
        <v>#N/A</v>
      </c>
      <c r="AW71" s="23" t="e">
        <f>EXP(-LN(2)/2)*AW70+(1-EXP(-LN(2)/2))/(LN(2)/2)*AQ71*AT71*VLOOKUP('Données projet'!$B$10,Paramètres!$A$1:$I$89,3,0)*0.475*44/12</f>
        <v>#N/A</v>
      </c>
      <c r="AX71" s="23" t="e">
        <f t="shared" si="60"/>
        <v>#N/A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70">
        <f t="shared" si="56"/>
        <v>256.66666666666669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-1.1368683772161603E-13</v>
      </c>
      <c r="O72" s="14">
        <f>N72*VLOOKUP('Données projet'!$B$9,Paramètres!$A$1:$I$89,3,0)*VLOOKUP('Données projet'!$B$9,Paramètres!$A$1:$I$89,5,0)</f>
        <v>-6.7984728957526396E-14</v>
      </c>
      <c r="P72" s="14" t="e">
        <f t="shared" si="87"/>
        <v>#NUM!</v>
      </c>
      <c r="Q72" s="22" t="e">
        <f t="shared" si="54"/>
        <v>#NUM!</v>
      </c>
      <c r="R72" s="62" t="e">
        <f t="shared" si="55"/>
        <v>#NUM!</v>
      </c>
      <c r="S72" s="62">
        <f ca="1">AVERAGE(OFFSET($R$3,0,0,'Données projet'!$E$9+1,1))-AVERAGE(OFFSET($H$3,0,0,'Données projet'!$E$9+1,1))</f>
        <v>348.62416478262719</v>
      </c>
      <c r="T72" s="62">
        <f t="shared" si="88"/>
        <v>371.70674704563288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6.5634033481982765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3.1101765048843618E-5</v>
      </c>
      <c r="AC72" s="24">
        <f t="shared" si="57"/>
        <v>6.5634344499633253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 t="e">
        <f>AI72*VLOOKUP('Données projet'!$B$10,Paramètres!$A$1:$I$89,3,0)*VLOOKUP('Données projet'!$B$10,Paramètres!$A$1:$I$89,5,0)</f>
        <v>#N/A</v>
      </c>
      <c r="AK72" s="14" t="e">
        <f t="shared" si="89"/>
        <v>#N/A</v>
      </c>
      <c r="AL72" s="22" t="e">
        <f t="shared" si="58"/>
        <v>#N/A</v>
      </c>
      <c r="AM72" s="62" t="e">
        <f t="shared" si="59"/>
        <v>#N/A</v>
      </c>
      <c r="AN72" s="62" t="e">
        <f ca="1">AVERAGE(OFFSET($AM$3,0,0,'Données projet'!$E$10+1,1))-AVERAGE(OFFSET($H$3,0,0,'Données projet'!$E$10+1,1))</f>
        <v>#N/A</v>
      </c>
      <c r="AO72" s="62" t="e">
        <f t="shared" si="90"/>
        <v>#N/A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 t="e">
        <f>EXP(-LN(2)/35)*AU71+(1-EXP(-LN(2)/35))/(LN(2)/35)*AQ72*AR72*VLOOKUP('Données projet'!$B$10,Paramètres!$A$1:$I$89,3,0)*0.475*44/12</f>
        <v>#N/A</v>
      </c>
      <c r="AV72" s="23" t="e">
        <f>EXP(-LN(2)/25)*AV71+(1-EXP(-LN(2)/25))/(LN(2)/25)*Calculateur!AQ72*Calculateur!AS72*VLOOKUP('Données projet'!$B$10,Paramètres!$A$1:$I$89,3,0)*0.475*44/12</f>
        <v>#N/A</v>
      </c>
      <c r="AW72" s="23" t="e">
        <f>EXP(-LN(2)/2)*AW71+(1-EXP(-LN(2)/2))/(LN(2)/2)*AQ72*AT72*VLOOKUP('Données projet'!$B$10,Paramètres!$A$1:$I$89,3,0)*0.475*44/12</f>
        <v>#N/A</v>
      </c>
      <c r="AX72" s="23" t="e">
        <f t="shared" si="60"/>
        <v>#N/A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70">
        <f t="shared" si="56"/>
        <v>256.66666666666669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-1.1368683772161603E-13</v>
      </c>
      <c r="O73" s="14">
        <f>N73*VLOOKUP('Données projet'!$B$9,Paramètres!$A$1:$I$89,3,0)*VLOOKUP('Données projet'!$B$9,Paramètres!$A$1:$I$89,5,0)</f>
        <v>-6.7984728957526396E-14</v>
      </c>
      <c r="P73" s="14" t="e">
        <f t="shared" si="87"/>
        <v>#NUM!</v>
      </c>
      <c r="Q73" s="22" t="e">
        <f t="shared" si="54"/>
        <v>#NUM!</v>
      </c>
      <c r="R73" s="62" t="e">
        <f t="shared" si="55"/>
        <v>#NUM!</v>
      </c>
      <c r="S73" s="62">
        <f ca="1">AVERAGE(OFFSET($R$3,0,0,'Données projet'!$E$9+1,1))-AVERAGE(OFFSET($H$3,0,0,'Données projet'!$E$9+1,1))</f>
        <v>348.62416478262719</v>
      </c>
      <c r="T73" s="62">
        <f t="shared" si="88"/>
        <v>371.70674704563288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6.43469901182086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2.1992268972908076E-5</v>
      </c>
      <c r="AC73" s="24">
        <f t="shared" si="57"/>
        <v>6.4347210040898331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 t="e">
        <f>AI73*VLOOKUP('Données projet'!$B$10,Paramètres!$A$1:$I$89,3,0)*VLOOKUP('Données projet'!$B$10,Paramètres!$A$1:$I$89,5,0)</f>
        <v>#N/A</v>
      </c>
      <c r="AK73" s="14" t="e">
        <f t="shared" si="89"/>
        <v>#N/A</v>
      </c>
      <c r="AL73" s="22" t="e">
        <f t="shared" si="58"/>
        <v>#N/A</v>
      </c>
      <c r="AM73" s="62" t="e">
        <f t="shared" si="59"/>
        <v>#N/A</v>
      </c>
      <c r="AN73" s="62" t="e">
        <f ca="1">AVERAGE(OFFSET($AM$3,0,0,'Données projet'!$E$10+1,1))-AVERAGE(OFFSET($H$3,0,0,'Données projet'!$E$10+1,1))</f>
        <v>#N/A</v>
      </c>
      <c r="AO73" s="62" t="e">
        <f t="shared" si="90"/>
        <v>#N/A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 t="e">
        <f>EXP(-LN(2)/35)*AU72+(1-EXP(-LN(2)/35))/(LN(2)/35)*AQ73*AR73*VLOOKUP('Données projet'!$B$10,Paramètres!$A$1:$I$89,3,0)*0.475*44/12</f>
        <v>#N/A</v>
      </c>
      <c r="AV73" s="23" t="e">
        <f>EXP(-LN(2)/25)*AV72+(1-EXP(-LN(2)/25))/(LN(2)/25)*Calculateur!AQ73*Calculateur!AS73*VLOOKUP('Données projet'!$B$10,Paramètres!$A$1:$I$89,3,0)*0.475*44/12</f>
        <v>#N/A</v>
      </c>
      <c r="AW73" s="23" t="e">
        <f>EXP(-LN(2)/2)*AW72+(1-EXP(-LN(2)/2))/(LN(2)/2)*AQ73*AT73*VLOOKUP('Données projet'!$B$10,Paramètres!$A$1:$I$89,3,0)*0.475*44/12</f>
        <v>#N/A</v>
      </c>
      <c r="AX73" s="23" t="e">
        <f t="shared" si="60"/>
        <v>#N/A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70">
        <f t="shared" si="56"/>
        <v>256.66666666666669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-1.1368683772161603E-13</v>
      </c>
      <c r="O74" s="14">
        <f>N74*VLOOKUP('Données projet'!$B$9,Paramètres!$A$1:$I$89,3,0)*VLOOKUP('Données projet'!$B$9,Paramètres!$A$1:$I$89,5,0)</f>
        <v>-6.7984728957526396E-14</v>
      </c>
      <c r="P74" s="14" t="e">
        <f t="shared" si="87"/>
        <v>#NUM!</v>
      </c>
      <c r="Q74" s="22" t="e">
        <f t="shared" si="54"/>
        <v>#NUM!</v>
      </c>
      <c r="R74" s="62" t="e">
        <f t="shared" si="55"/>
        <v>#NUM!</v>
      </c>
      <c r="S74" s="62">
        <f ca="1">AVERAGE(OFFSET($R$3,0,0,'Données projet'!$E$9+1,1))-AVERAGE(OFFSET($H$3,0,0,'Données projet'!$E$9+1,1))</f>
        <v>348.62416478262719</v>
      </c>
      <c r="T74" s="62">
        <f t="shared" si="88"/>
        <v>371.70674704563288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6.30851848897791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1.5550882524421809E-5</v>
      </c>
      <c r="AC74" s="24">
        <f t="shared" si="57"/>
        <v>6.3085340398604348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 t="e">
        <f>AI74*VLOOKUP('Données projet'!$B$10,Paramètres!$A$1:$I$89,3,0)*VLOOKUP('Données projet'!$B$10,Paramètres!$A$1:$I$89,5,0)</f>
        <v>#N/A</v>
      </c>
      <c r="AK74" s="14" t="e">
        <f t="shared" si="89"/>
        <v>#N/A</v>
      </c>
      <c r="AL74" s="22" t="e">
        <f t="shared" si="58"/>
        <v>#N/A</v>
      </c>
      <c r="AM74" s="62" t="e">
        <f t="shared" si="59"/>
        <v>#N/A</v>
      </c>
      <c r="AN74" s="62" t="e">
        <f ca="1">AVERAGE(OFFSET($AM$3,0,0,'Données projet'!$E$10+1,1))-AVERAGE(OFFSET($H$3,0,0,'Données projet'!$E$10+1,1))</f>
        <v>#N/A</v>
      </c>
      <c r="AO74" s="62" t="e">
        <f t="shared" si="90"/>
        <v>#N/A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 t="e">
        <f>EXP(-LN(2)/35)*AU73+(1-EXP(-LN(2)/35))/(LN(2)/35)*AQ74*AR74*VLOOKUP('Données projet'!$B$10,Paramètres!$A$1:$I$89,3,0)*0.475*44/12</f>
        <v>#N/A</v>
      </c>
      <c r="AV74" s="23" t="e">
        <f>EXP(-LN(2)/25)*AV73+(1-EXP(-LN(2)/25))/(LN(2)/25)*Calculateur!AQ74*Calculateur!AS74*VLOOKUP('Données projet'!$B$10,Paramètres!$A$1:$I$89,3,0)*0.475*44/12</f>
        <v>#N/A</v>
      </c>
      <c r="AW74" s="23" t="e">
        <f>EXP(-LN(2)/2)*AW73+(1-EXP(-LN(2)/2))/(LN(2)/2)*AQ74*AT74*VLOOKUP('Données projet'!$B$10,Paramètres!$A$1:$I$89,3,0)*0.475*44/12</f>
        <v>#N/A</v>
      </c>
      <c r="AX74" s="23" t="e">
        <f t="shared" si="60"/>
        <v>#N/A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70">
        <f t="shared" si="56"/>
        <v>256.66666666666669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-1.1368683772161603E-13</v>
      </c>
      <c r="O75" s="14">
        <f>N75*VLOOKUP('Données projet'!$B$9,Paramètres!$A$1:$I$89,3,0)*VLOOKUP('Données projet'!$B$9,Paramètres!$A$1:$I$89,5,0)</f>
        <v>-6.7984728957526396E-14</v>
      </c>
      <c r="P75" s="14" t="e">
        <f t="shared" si="87"/>
        <v>#NUM!</v>
      </c>
      <c r="Q75" s="22" t="e">
        <f t="shared" si="54"/>
        <v>#NUM!</v>
      </c>
      <c r="R75" s="62" t="e">
        <f t="shared" si="55"/>
        <v>#NUM!</v>
      </c>
      <c r="S75" s="62">
        <f ca="1">AVERAGE(OFFSET($R$3,0,0,'Données projet'!$E$9+1,1))-AVERAGE(OFFSET($H$3,0,0,'Données projet'!$E$9+1,1))</f>
        <v>348.62416478262719</v>
      </c>
      <c r="T75" s="62">
        <f t="shared" si="88"/>
        <v>371.70674704563288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6.1848122892253912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1.0996134486454038E-5</v>
      </c>
      <c r="AC75" s="24">
        <f t="shared" si="57"/>
        <v>6.1848232853598777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 t="e">
        <f>AI75*VLOOKUP('Données projet'!$B$10,Paramètres!$A$1:$I$89,3,0)*VLOOKUP('Données projet'!$B$10,Paramètres!$A$1:$I$89,5,0)</f>
        <v>#N/A</v>
      </c>
      <c r="AK75" s="14" t="e">
        <f t="shared" si="89"/>
        <v>#N/A</v>
      </c>
      <c r="AL75" s="22" t="e">
        <f t="shared" si="58"/>
        <v>#N/A</v>
      </c>
      <c r="AM75" s="62" t="e">
        <f t="shared" si="59"/>
        <v>#N/A</v>
      </c>
      <c r="AN75" s="62" t="e">
        <f ca="1">AVERAGE(OFFSET($AM$3,0,0,'Données projet'!$E$10+1,1))-AVERAGE(OFFSET($H$3,0,0,'Données projet'!$E$10+1,1))</f>
        <v>#N/A</v>
      </c>
      <c r="AO75" s="62" t="e">
        <f t="shared" si="90"/>
        <v>#N/A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 t="e">
        <f>EXP(-LN(2)/35)*AU74+(1-EXP(-LN(2)/35))/(LN(2)/35)*AQ75*AR75*VLOOKUP('Données projet'!$B$10,Paramètres!$A$1:$I$89,3,0)*0.475*44/12</f>
        <v>#N/A</v>
      </c>
      <c r="AV75" s="23" t="e">
        <f>EXP(-LN(2)/25)*AV74+(1-EXP(-LN(2)/25))/(LN(2)/25)*Calculateur!AQ75*Calculateur!AS75*VLOOKUP('Données projet'!$B$10,Paramètres!$A$1:$I$89,3,0)*0.475*44/12</f>
        <v>#N/A</v>
      </c>
      <c r="AW75" s="23" t="e">
        <f>EXP(-LN(2)/2)*AW74+(1-EXP(-LN(2)/2))/(LN(2)/2)*AQ75*AT75*VLOOKUP('Données projet'!$B$10,Paramètres!$A$1:$I$89,3,0)*0.475*44/12</f>
        <v>#N/A</v>
      </c>
      <c r="AX75" s="23" t="e">
        <f t="shared" si="60"/>
        <v>#N/A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70">
        <f t="shared" si="56"/>
        <v>256.66666666666669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-1.1368683772161603E-13</v>
      </c>
      <c r="O76" s="14">
        <f>N76*VLOOKUP('Données projet'!$B$9,Paramètres!$A$1:$I$89,3,0)*VLOOKUP('Données projet'!$B$9,Paramètres!$A$1:$I$89,5,0)</f>
        <v>-6.7984728957526396E-14</v>
      </c>
      <c r="P76" s="14" t="e">
        <f t="shared" si="87"/>
        <v>#NUM!</v>
      </c>
      <c r="Q76" s="22" t="e">
        <f t="shared" si="54"/>
        <v>#NUM!</v>
      </c>
      <c r="R76" s="62" t="e">
        <f t="shared" si="55"/>
        <v>#NUM!</v>
      </c>
      <c r="S76" s="62">
        <f ca="1">AVERAGE(OFFSET($R$3,0,0,'Données projet'!$E$9+1,1))-AVERAGE(OFFSET($H$3,0,0,'Données projet'!$E$9+1,1))</f>
        <v>348.62416478262719</v>
      </c>
      <c r="T76" s="62">
        <f t="shared" si="88"/>
        <v>371.70674704563288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6.0635318925966875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7.7754412622109045E-6</v>
      </c>
      <c r="AC76" s="24">
        <f t="shared" si="57"/>
        <v>6.0635396680379499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 t="e">
        <f>AI76*VLOOKUP('Données projet'!$B$10,Paramètres!$A$1:$I$89,3,0)*VLOOKUP('Données projet'!$B$10,Paramètres!$A$1:$I$89,5,0)</f>
        <v>#N/A</v>
      </c>
      <c r="AK76" s="14" t="e">
        <f t="shared" si="89"/>
        <v>#N/A</v>
      </c>
      <c r="AL76" s="22" t="e">
        <f t="shared" si="58"/>
        <v>#N/A</v>
      </c>
      <c r="AM76" s="62" t="e">
        <f t="shared" si="59"/>
        <v>#N/A</v>
      </c>
      <c r="AN76" s="62" t="e">
        <f ca="1">AVERAGE(OFFSET($AM$3,0,0,'Données projet'!$E$10+1,1))-AVERAGE(OFFSET($H$3,0,0,'Données projet'!$E$10+1,1))</f>
        <v>#N/A</v>
      </c>
      <c r="AO76" s="62" t="e">
        <f t="shared" si="90"/>
        <v>#N/A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 t="e">
        <f>EXP(-LN(2)/35)*AU75+(1-EXP(-LN(2)/35))/(LN(2)/35)*AQ76*AR76*VLOOKUP('Données projet'!$B$10,Paramètres!$A$1:$I$89,3,0)*0.475*44/12</f>
        <v>#N/A</v>
      </c>
      <c r="AV76" s="23" t="e">
        <f>EXP(-LN(2)/25)*AV75+(1-EXP(-LN(2)/25))/(LN(2)/25)*Calculateur!AQ76*Calculateur!AS76*VLOOKUP('Données projet'!$B$10,Paramètres!$A$1:$I$89,3,0)*0.475*44/12</f>
        <v>#N/A</v>
      </c>
      <c r="AW76" s="23" t="e">
        <f>EXP(-LN(2)/2)*AW75+(1-EXP(-LN(2)/2))/(LN(2)/2)*AQ76*AT76*VLOOKUP('Données projet'!$B$10,Paramètres!$A$1:$I$89,3,0)*0.475*44/12</f>
        <v>#N/A</v>
      </c>
      <c r="AX76" s="23" t="e">
        <f t="shared" si="60"/>
        <v>#N/A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70">
        <f t="shared" si="56"/>
        <v>256.66666666666669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-1.1368683772161603E-13</v>
      </c>
      <c r="O77" s="14">
        <f>N77*VLOOKUP('Données projet'!$B$9,Paramètres!$A$1:$I$89,3,0)*VLOOKUP('Données projet'!$B$9,Paramètres!$A$1:$I$89,5,0)</f>
        <v>-6.7984728957526396E-14</v>
      </c>
      <c r="P77" s="14" t="e">
        <f t="shared" si="87"/>
        <v>#NUM!</v>
      </c>
      <c r="Q77" s="22" t="e">
        <f t="shared" si="54"/>
        <v>#NUM!</v>
      </c>
      <c r="R77" s="62" t="e">
        <f t="shared" si="55"/>
        <v>#NUM!</v>
      </c>
      <c r="S77" s="62">
        <f ca="1">AVERAGE(OFFSET($R$3,0,0,'Données projet'!$E$9+1,1))-AVERAGE(OFFSET($H$3,0,0,'Données projet'!$E$9+1,1))</f>
        <v>348.62416478262719</v>
      </c>
      <c r="T77" s="62">
        <f t="shared" si="88"/>
        <v>371.70674704563288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5.9446297305721352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5.498067243227019E-6</v>
      </c>
      <c r="AC77" s="24">
        <f t="shared" si="57"/>
        <v>5.9446352286393784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 t="e">
        <f>AI77*VLOOKUP('Données projet'!$B$10,Paramètres!$A$1:$I$89,3,0)*VLOOKUP('Données projet'!$B$10,Paramètres!$A$1:$I$89,5,0)</f>
        <v>#N/A</v>
      </c>
      <c r="AK77" s="14" t="e">
        <f t="shared" si="89"/>
        <v>#N/A</v>
      </c>
      <c r="AL77" s="22" t="e">
        <f t="shared" si="58"/>
        <v>#N/A</v>
      </c>
      <c r="AM77" s="62" t="e">
        <f t="shared" si="59"/>
        <v>#N/A</v>
      </c>
      <c r="AN77" s="62" t="e">
        <f ca="1">AVERAGE(OFFSET($AM$3,0,0,'Données projet'!$E$10+1,1))-AVERAGE(OFFSET($H$3,0,0,'Données projet'!$E$10+1,1))</f>
        <v>#N/A</v>
      </c>
      <c r="AO77" s="62" t="e">
        <f t="shared" si="90"/>
        <v>#N/A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 t="e">
        <f>EXP(-LN(2)/35)*AU76+(1-EXP(-LN(2)/35))/(LN(2)/35)*AQ77*AR77*VLOOKUP('Données projet'!$B$10,Paramètres!$A$1:$I$89,3,0)*0.475*44/12</f>
        <v>#N/A</v>
      </c>
      <c r="AV77" s="23" t="e">
        <f>EXP(-LN(2)/25)*AV76+(1-EXP(-LN(2)/25))/(LN(2)/25)*Calculateur!AQ77*Calculateur!AS77*VLOOKUP('Données projet'!$B$10,Paramètres!$A$1:$I$89,3,0)*0.475*44/12</f>
        <v>#N/A</v>
      </c>
      <c r="AW77" s="23" t="e">
        <f>EXP(-LN(2)/2)*AW76+(1-EXP(-LN(2)/2))/(LN(2)/2)*AQ77*AT77*VLOOKUP('Données projet'!$B$10,Paramètres!$A$1:$I$89,3,0)*0.475*44/12</f>
        <v>#N/A</v>
      </c>
      <c r="AX77" s="23" t="e">
        <f t="shared" si="60"/>
        <v>#N/A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70">
        <f t="shared" si="56"/>
        <v>256.66666666666669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-1.1368683772161603E-13</v>
      </c>
      <c r="O78" s="14">
        <f>N78*VLOOKUP('Données projet'!$B$9,Paramètres!$A$1:$I$89,3,0)*VLOOKUP('Données projet'!$B$9,Paramètres!$A$1:$I$89,5,0)</f>
        <v>-6.7984728957526396E-14</v>
      </c>
      <c r="P78" s="14" t="e">
        <f t="shared" si="87"/>
        <v>#NUM!</v>
      </c>
      <c r="Q78" s="22" t="e">
        <f t="shared" si="54"/>
        <v>#NUM!</v>
      </c>
      <c r="R78" s="62" t="e">
        <f t="shared" si="55"/>
        <v>#NUM!</v>
      </c>
      <c r="S78" s="62">
        <f ca="1">AVERAGE(OFFSET($R$3,0,0,'Données projet'!$E$9+1,1))-AVERAGE(OFFSET($H$3,0,0,'Données projet'!$E$9+1,1))</f>
        <v>348.62416478262719</v>
      </c>
      <c r="T78" s="62">
        <f t="shared" si="88"/>
        <v>371.70674704563288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5.8280591674217268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3.8877206311054523E-6</v>
      </c>
      <c r="AC78" s="24">
        <f t="shared" si="57"/>
        <v>5.8280630551423576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 t="e">
        <f>AI78*VLOOKUP('Données projet'!$B$10,Paramètres!$A$1:$I$89,3,0)*VLOOKUP('Données projet'!$B$10,Paramètres!$A$1:$I$89,5,0)</f>
        <v>#N/A</v>
      </c>
      <c r="AK78" s="14" t="e">
        <f t="shared" si="89"/>
        <v>#N/A</v>
      </c>
      <c r="AL78" s="22" t="e">
        <f t="shared" si="58"/>
        <v>#N/A</v>
      </c>
      <c r="AM78" s="62" t="e">
        <f t="shared" si="59"/>
        <v>#N/A</v>
      </c>
      <c r="AN78" s="62" t="e">
        <f ca="1">AVERAGE(OFFSET($AM$3,0,0,'Données projet'!$E$10+1,1))-AVERAGE(OFFSET($H$3,0,0,'Données projet'!$E$10+1,1))</f>
        <v>#N/A</v>
      </c>
      <c r="AO78" s="62" t="e">
        <f t="shared" si="90"/>
        <v>#N/A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 t="e">
        <f>EXP(-LN(2)/35)*AU77+(1-EXP(-LN(2)/35))/(LN(2)/35)*AQ78*AR78*VLOOKUP('Données projet'!$B$10,Paramètres!$A$1:$I$89,3,0)*0.475*44/12</f>
        <v>#N/A</v>
      </c>
      <c r="AV78" s="23" t="e">
        <f>EXP(-LN(2)/25)*AV77+(1-EXP(-LN(2)/25))/(LN(2)/25)*Calculateur!AQ78*Calculateur!AS78*VLOOKUP('Données projet'!$B$10,Paramètres!$A$1:$I$89,3,0)*0.475*44/12</f>
        <v>#N/A</v>
      </c>
      <c r="AW78" s="23" t="e">
        <f>EXP(-LN(2)/2)*AW77+(1-EXP(-LN(2)/2))/(LN(2)/2)*AQ78*AT78*VLOOKUP('Données projet'!$B$10,Paramètres!$A$1:$I$89,3,0)*0.475*44/12</f>
        <v>#N/A</v>
      </c>
      <c r="AX78" s="23" t="e">
        <f t="shared" si="60"/>
        <v>#N/A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70">
        <f t="shared" si="56"/>
        <v>256.66666666666669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-1.1368683772161603E-13</v>
      </c>
      <c r="O79" s="14">
        <f>N79*VLOOKUP('Données projet'!$B$9,Paramètres!$A$1:$I$89,3,0)*VLOOKUP('Données projet'!$B$9,Paramètres!$A$1:$I$89,5,0)</f>
        <v>-6.7984728957526396E-14</v>
      </c>
      <c r="P79" s="14" t="e">
        <f t="shared" si="87"/>
        <v>#NUM!</v>
      </c>
      <c r="Q79" s="22" t="e">
        <f t="shared" si="54"/>
        <v>#NUM!</v>
      </c>
      <c r="R79" s="62" t="e">
        <f t="shared" si="55"/>
        <v>#NUM!</v>
      </c>
      <c r="S79" s="62">
        <f ca="1">AVERAGE(OFFSET($R$3,0,0,'Données projet'!$E$9+1,1))-AVERAGE(OFFSET($H$3,0,0,'Données projet'!$E$9+1,1))</f>
        <v>348.62416478262719</v>
      </c>
      <c r="T79" s="62">
        <f t="shared" si="88"/>
        <v>371.70674704563288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5.7137744819136751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2.7490336216135095E-6</v>
      </c>
      <c r="AC79" s="24">
        <f t="shared" si="57"/>
        <v>5.7137772309472963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 t="e">
        <f>AI79*VLOOKUP('Données projet'!$B$10,Paramètres!$A$1:$I$89,3,0)*VLOOKUP('Données projet'!$B$10,Paramètres!$A$1:$I$89,5,0)</f>
        <v>#N/A</v>
      </c>
      <c r="AK79" s="14" t="e">
        <f t="shared" si="89"/>
        <v>#N/A</v>
      </c>
      <c r="AL79" s="22" t="e">
        <f t="shared" si="58"/>
        <v>#N/A</v>
      </c>
      <c r="AM79" s="62" t="e">
        <f t="shared" si="59"/>
        <v>#N/A</v>
      </c>
      <c r="AN79" s="62" t="e">
        <f ca="1">AVERAGE(OFFSET($AM$3,0,0,'Données projet'!$E$10+1,1))-AVERAGE(OFFSET($H$3,0,0,'Données projet'!$E$10+1,1))</f>
        <v>#N/A</v>
      </c>
      <c r="AO79" s="62" t="e">
        <f t="shared" si="90"/>
        <v>#N/A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 t="e">
        <f>EXP(-LN(2)/35)*AU78+(1-EXP(-LN(2)/35))/(LN(2)/35)*AQ79*AR79*VLOOKUP('Données projet'!$B$10,Paramètres!$A$1:$I$89,3,0)*0.475*44/12</f>
        <v>#N/A</v>
      </c>
      <c r="AV79" s="23" t="e">
        <f>EXP(-LN(2)/25)*AV78+(1-EXP(-LN(2)/25))/(LN(2)/25)*Calculateur!AQ79*Calculateur!AS79*VLOOKUP('Données projet'!$B$10,Paramètres!$A$1:$I$89,3,0)*0.475*44/12</f>
        <v>#N/A</v>
      </c>
      <c r="AW79" s="23" t="e">
        <f>EXP(-LN(2)/2)*AW78+(1-EXP(-LN(2)/2))/(LN(2)/2)*AQ79*AT79*VLOOKUP('Données projet'!$B$10,Paramètres!$A$1:$I$89,3,0)*0.475*44/12</f>
        <v>#N/A</v>
      </c>
      <c r="AX79" s="23" t="e">
        <f t="shared" si="60"/>
        <v>#N/A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70">
        <f t="shared" si="56"/>
        <v>256.66666666666669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-1.1368683772161603E-13</v>
      </c>
      <c r="O80" s="14">
        <f>N80*VLOOKUP('Données projet'!$B$9,Paramètres!$A$1:$I$89,3,0)*VLOOKUP('Données projet'!$B$9,Paramètres!$A$1:$I$89,5,0)</f>
        <v>-6.7984728957526396E-14</v>
      </c>
      <c r="P80" s="14" t="e">
        <f t="shared" si="87"/>
        <v>#NUM!</v>
      </c>
      <c r="Q80" s="22" t="e">
        <f t="shared" si="54"/>
        <v>#NUM!</v>
      </c>
      <c r="R80" s="62" t="e">
        <f t="shared" si="55"/>
        <v>#NUM!</v>
      </c>
      <c r="S80" s="62">
        <f ca="1">AVERAGE(OFFSET($R$3,0,0,'Données projet'!$E$9+1,1))-AVERAGE(OFFSET($H$3,0,0,'Données projet'!$E$9+1,1))</f>
        <v>348.62416478262719</v>
      </c>
      <c r="T80" s="62">
        <f t="shared" si="88"/>
        <v>371.70674704563288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5.6017308493816609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1.9438603155527261E-6</v>
      </c>
      <c r="AC80" s="24">
        <f t="shared" si="57"/>
        <v>5.6017327932419763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 t="e">
        <f>AI80*VLOOKUP('Données projet'!$B$10,Paramètres!$A$1:$I$89,3,0)*VLOOKUP('Données projet'!$B$10,Paramètres!$A$1:$I$89,5,0)</f>
        <v>#N/A</v>
      </c>
      <c r="AK80" s="14" t="e">
        <f t="shared" si="89"/>
        <v>#N/A</v>
      </c>
      <c r="AL80" s="22" t="e">
        <f t="shared" si="58"/>
        <v>#N/A</v>
      </c>
      <c r="AM80" s="62" t="e">
        <f t="shared" si="59"/>
        <v>#N/A</v>
      </c>
      <c r="AN80" s="62" t="e">
        <f ca="1">AVERAGE(OFFSET($AM$3,0,0,'Données projet'!$E$10+1,1))-AVERAGE(OFFSET($H$3,0,0,'Données projet'!$E$10+1,1))</f>
        <v>#N/A</v>
      </c>
      <c r="AO80" s="62" t="e">
        <f t="shared" si="90"/>
        <v>#N/A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 t="e">
        <f>EXP(-LN(2)/35)*AU79+(1-EXP(-LN(2)/35))/(LN(2)/35)*AQ80*AR80*VLOOKUP('Données projet'!$B$10,Paramètres!$A$1:$I$89,3,0)*0.475*44/12</f>
        <v>#N/A</v>
      </c>
      <c r="AV80" s="23" t="e">
        <f>EXP(-LN(2)/25)*AV79+(1-EXP(-LN(2)/25))/(LN(2)/25)*Calculateur!AQ80*Calculateur!AS80*VLOOKUP('Données projet'!$B$10,Paramètres!$A$1:$I$89,3,0)*0.475*44/12</f>
        <v>#N/A</v>
      </c>
      <c r="AW80" s="23" t="e">
        <f>EXP(-LN(2)/2)*AW79+(1-EXP(-LN(2)/2))/(LN(2)/2)*AQ80*AT80*VLOOKUP('Données projet'!$B$10,Paramètres!$A$1:$I$89,3,0)*0.475*44/12</f>
        <v>#N/A</v>
      </c>
      <c r="AX80" s="23" t="e">
        <f t="shared" si="60"/>
        <v>#N/A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70">
        <f t="shared" si="56"/>
        <v>256.66666666666669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-1.1368683772161603E-13</v>
      </c>
      <c r="O81" s="14">
        <f>N81*VLOOKUP('Données projet'!$B$9,Paramètres!$A$1:$I$89,3,0)*VLOOKUP('Données projet'!$B$9,Paramètres!$A$1:$I$89,5,0)</f>
        <v>-6.7984728957526396E-14</v>
      </c>
      <c r="P81" s="14" t="e">
        <f t="shared" si="87"/>
        <v>#NUM!</v>
      </c>
      <c r="Q81" s="22" t="e">
        <f t="shared" si="54"/>
        <v>#NUM!</v>
      </c>
      <c r="R81" s="62" t="e">
        <f t="shared" si="55"/>
        <v>#NUM!</v>
      </c>
      <c r="S81" s="62">
        <f ca="1">AVERAGE(OFFSET($R$3,0,0,'Données projet'!$E$9+1,1))-AVERAGE(OFFSET($H$3,0,0,'Données projet'!$E$9+1,1))</f>
        <v>348.62416478262719</v>
      </c>
      <c r="T81" s="62">
        <f t="shared" si="88"/>
        <v>371.70674704563288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5.4918843241437321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1.3745168108067548E-6</v>
      </c>
      <c r="AC81" s="24">
        <f t="shared" si="57"/>
        <v>5.4918856986605427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 t="e">
        <f>AI81*VLOOKUP('Données projet'!$B$10,Paramètres!$A$1:$I$89,3,0)*VLOOKUP('Données projet'!$B$10,Paramètres!$A$1:$I$89,5,0)</f>
        <v>#N/A</v>
      </c>
      <c r="AK81" s="14" t="e">
        <f t="shared" si="89"/>
        <v>#N/A</v>
      </c>
      <c r="AL81" s="22" t="e">
        <f t="shared" si="58"/>
        <v>#N/A</v>
      </c>
      <c r="AM81" s="62" t="e">
        <f t="shared" si="59"/>
        <v>#N/A</v>
      </c>
      <c r="AN81" s="62" t="e">
        <f ca="1">AVERAGE(OFFSET($AM$3,0,0,'Données projet'!$E$10+1,1))-AVERAGE(OFFSET($H$3,0,0,'Données projet'!$E$10+1,1))</f>
        <v>#N/A</v>
      </c>
      <c r="AO81" s="62" t="e">
        <f t="shared" si="90"/>
        <v>#N/A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 t="e">
        <f>EXP(-LN(2)/35)*AU80+(1-EXP(-LN(2)/35))/(LN(2)/35)*AQ81*AR81*VLOOKUP('Données projet'!$B$10,Paramètres!$A$1:$I$89,3,0)*0.475*44/12</f>
        <v>#N/A</v>
      </c>
      <c r="AV81" s="23" t="e">
        <f>EXP(-LN(2)/25)*AV80+(1-EXP(-LN(2)/25))/(LN(2)/25)*Calculateur!AQ81*Calculateur!AS81*VLOOKUP('Données projet'!$B$10,Paramètres!$A$1:$I$89,3,0)*0.475*44/12</f>
        <v>#N/A</v>
      </c>
      <c r="AW81" s="23" t="e">
        <f>EXP(-LN(2)/2)*AW80+(1-EXP(-LN(2)/2))/(LN(2)/2)*AQ81*AT81*VLOOKUP('Données projet'!$B$10,Paramètres!$A$1:$I$89,3,0)*0.475*44/12</f>
        <v>#N/A</v>
      </c>
      <c r="AX81" s="23" t="e">
        <f t="shared" si="60"/>
        <v>#N/A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70">
        <f t="shared" si="56"/>
        <v>256.66666666666669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-1.1368683772161603E-13</v>
      </c>
      <c r="O82" s="14">
        <f>N82*VLOOKUP('Données projet'!$B$9,Paramètres!$A$1:$I$89,3,0)*VLOOKUP('Données projet'!$B$9,Paramètres!$A$1:$I$89,5,0)</f>
        <v>-6.7984728957526396E-14</v>
      </c>
      <c r="P82" s="14" t="e">
        <f t="shared" si="87"/>
        <v>#NUM!</v>
      </c>
      <c r="Q82" s="22" t="e">
        <f t="shared" si="54"/>
        <v>#NUM!</v>
      </c>
      <c r="R82" s="62" t="e">
        <f t="shared" si="55"/>
        <v>#NUM!</v>
      </c>
      <c r="S82" s="62">
        <f ca="1">AVERAGE(OFFSET($R$3,0,0,'Données projet'!$E$9+1,1))-AVERAGE(OFFSET($H$3,0,0,'Données projet'!$E$9+1,1))</f>
        <v>348.62416478262719</v>
      </c>
      <c r="T82" s="62">
        <f t="shared" si="88"/>
        <v>371.70674704563288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5.3841918222659544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9.7193015777636307E-7</v>
      </c>
      <c r="AC82" s="24">
        <f t="shared" si="57"/>
        <v>5.3841927941961121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 t="e">
        <f>AI82*VLOOKUP('Données projet'!$B$10,Paramètres!$A$1:$I$89,3,0)*VLOOKUP('Données projet'!$B$10,Paramètres!$A$1:$I$89,5,0)</f>
        <v>#N/A</v>
      </c>
      <c r="AK82" s="14" t="e">
        <f t="shared" si="89"/>
        <v>#N/A</v>
      </c>
      <c r="AL82" s="22" t="e">
        <f t="shared" si="58"/>
        <v>#N/A</v>
      </c>
      <c r="AM82" s="62" t="e">
        <f t="shared" si="59"/>
        <v>#N/A</v>
      </c>
      <c r="AN82" s="62" t="e">
        <f ca="1">AVERAGE(OFFSET($AM$3,0,0,'Données projet'!$E$10+1,1))-AVERAGE(OFFSET($H$3,0,0,'Données projet'!$E$10+1,1))</f>
        <v>#N/A</v>
      </c>
      <c r="AO82" s="62" t="e">
        <f t="shared" si="90"/>
        <v>#N/A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 t="e">
        <f>EXP(-LN(2)/35)*AU81+(1-EXP(-LN(2)/35))/(LN(2)/35)*AQ82*AR82*VLOOKUP('Données projet'!$B$10,Paramètres!$A$1:$I$89,3,0)*0.475*44/12</f>
        <v>#N/A</v>
      </c>
      <c r="AV82" s="23" t="e">
        <f>EXP(-LN(2)/25)*AV81+(1-EXP(-LN(2)/25))/(LN(2)/25)*Calculateur!AQ82*Calculateur!AS82*VLOOKUP('Données projet'!$B$10,Paramètres!$A$1:$I$89,3,0)*0.475*44/12</f>
        <v>#N/A</v>
      </c>
      <c r="AW82" s="23" t="e">
        <f>EXP(-LN(2)/2)*AW81+(1-EXP(-LN(2)/2))/(LN(2)/2)*AQ82*AT82*VLOOKUP('Données projet'!$B$10,Paramètres!$A$1:$I$89,3,0)*0.475*44/12</f>
        <v>#N/A</v>
      </c>
      <c r="AX82" s="23" t="e">
        <f t="shared" si="60"/>
        <v>#N/A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70">
        <f t="shared" si="56"/>
        <v>256.66666666666669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-1.1368683772161603E-13</v>
      </c>
      <c r="O83" s="14">
        <f>N83*VLOOKUP('Données projet'!$B$9,Paramètres!$A$1:$I$89,3,0)*VLOOKUP('Données projet'!$B$9,Paramètres!$A$1:$I$89,5,0)</f>
        <v>-6.7984728957526396E-14</v>
      </c>
      <c r="P83" s="14" t="e">
        <f t="shared" si="87"/>
        <v>#NUM!</v>
      </c>
      <c r="Q83" s="22" t="e">
        <f t="shared" si="54"/>
        <v>#NUM!</v>
      </c>
      <c r="R83" s="62" t="e">
        <f t="shared" si="55"/>
        <v>#NUM!</v>
      </c>
      <c r="S83" s="62">
        <f ca="1">AVERAGE(OFFSET($R$3,0,0,'Données projet'!$E$9+1,1))-AVERAGE(OFFSET($H$3,0,0,'Données projet'!$E$9+1,1))</f>
        <v>348.62416478262719</v>
      </c>
      <c r="T83" s="62">
        <f t="shared" si="88"/>
        <v>371.70674704563288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5.2786111046640594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6.8725840540337738E-7</v>
      </c>
      <c r="AC83" s="24">
        <f t="shared" si="57"/>
        <v>5.2786117919224651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 t="e">
        <f>AI83*VLOOKUP('Données projet'!$B$10,Paramètres!$A$1:$I$89,3,0)*VLOOKUP('Données projet'!$B$10,Paramètres!$A$1:$I$89,5,0)</f>
        <v>#N/A</v>
      </c>
      <c r="AK83" s="14" t="e">
        <f t="shared" si="89"/>
        <v>#N/A</v>
      </c>
      <c r="AL83" s="22" t="e">
        <f t="shared" si="58"/>
        <v>#N/A</v>
      </c>
      <c r="AM83" s="62" t="e">
        <f t="shared" si="59"/>
        <v>#N/A</v>
      </c>
      <c r="AN83" s="62" t="e">
        <f ca="1">AVERAGE(OFFSET($AM$3,0,0,'Données projet'!$E$10+1,1))-AVERAGE(OFFSET($H$3,0,0,'Données projet'!$E$10+1,1))</f>
        <v>#N/A</v>
      </c>
      <c r="AO83" s="62" t="e">
        <f t="shared" si="90"/>
        <v>#N/A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 t="e">
        <f>EXP(-LN(2)/35)*AU82+(1-EXP(-LN(2)/35))/(LN(2)/35)*AQ83*AR83*VLOOKUP('Données projet'!$B$10,Paramètres!$A$1:$I$89,3,0)*0.475*44/12</f>
        <v>#N/A</v>
      </c>
      <c r="AV83" s="23" t="e">
        <f>EXP(-LN(2)/25)*AV82+(1-EXP(-LN(2)/25))/(LN(2)/25)*Calculateur!AQ83*Calculateur!AS83*VLOOKUP('Données projet'!$B$10,Paramètres!$A$1:$I$89,3,0)*0.475*44/12</f>
        <v>#N/A</v>
      </c>
      <c r="AW83" s="23" t="e">
        <f>EXP(-LN(2)/2)*AW82+(1-EXP(-LN(2)/2))/(LN(2)/2)*AQ83*AT83*VLOOKUP('Données projet'!$B$10,Paramètres!$A$1:$I$89,3,0)*0.475*44/12</f>
        <v>#N/A</v>
      </c>
      <c r="AX83" s="23" t="e">
        <f t="shared" si="60"/>
        <v>#N/A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70">
        <f t="shared" si="56"/>
        <v>256.66666666666669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-1.1368683772161603E-13</v>
      </c>
      <c r="O84" s="14">
        <f>N84*VLOOKUP('Données projet'!$B$9,Paramètres!$A$1:$I$89,3,0)*VLOOKUP('Données projet'!$B$9,Paramètres!$A$1:$I$89,5,0)</f>
        <v>-6.7984728957526396E-14</v>
      </c>
      <c r="P84" s="14" t="e">
        <f t="shared" si="87"/>
        <v>#NUM!</v>
      </c>
      <c r="Q84" s="22" t="e">
        <f t="shared" si="54"/>
        <v>#NUM!</v>
      </c>
      <c r="R84" s="62" t="e">
        <f t="shared" si="55"/>
        <v>#NUM!</v>
      </c>
      <c r="S84" s="62">
        <f ca="1">AVERAGE(OFFSET($R$3,0,0,'Données projet'!$E$9+1,1))-AVERAGE(OFFSET($H$3,0,0,'Données projet'!$E$9+1,1))</f>
        <v>348.62416478262719</v>
      </c>
      <c r="T84" s="62">
        <f t="shared" si="88"/>
        <v>371.70674704563288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5.1751007605364583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4.8596507888818153E-7</v>
      </c>
      <c r="AC84" s="24">
        <f t="shared" si="57"/>
        <v>5.1751012465015371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 t="e">
        <f>AI84*VLOOKUP('Données projet'!$B$10,Paramètres!$A$1:$I$89,3,0)*VLOOKUP('Données projet'!$B$10,Paramètres!$A$1:$I$89,5,0)</f>
        <v>#N/A</v>
      </c>
      <c r="AK84" s="14" t="e">
        <f t="shared" si="89"/>
        <v>#N/A</v>
      </c>
      <c r="AL84" s="22" t="e">
        <f t="shared" si="58"/>
        <v>#N/A</v>
      </c>
      <c r="AM84" s="62" t="e">
        <f t="shared" si="59"/>
        <v>#N/A</v>
      </c>
      <c r="AN84" s="62" t="e">
        <f ca="1">AVERAGE(OFFSET($AM$3,0,0,'Données projet'!$E$10+1,1))-AVERAGE(OFFSET($H$3,0,0,'Données projet'!$E$10+1,1))</f>
        <v>#N/A</v>
      </c>
      <c r="AO84" s="62" t="e">
        <f t="shared" si="90"/>
        <v>#N/A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 t="e">
        <f>EXP(-LN(2)/35)*AU83+(1-EXP(-LN(2)/35))/(LN(2)/35)*AQ84*AR84*VLOOKUP('Données projet'!$B$10,Paramètres!$A$1:$I$89,3,0)*0.475*44/12</f>
        <v>#N/A</v>
      </c>
      <c r="AV84" s="23" t="e">
        <f>EXP(-LN(2)/25)*AV83+(1-EXP(-LN(2)/25))/(LN(2)/25)*Calculateur!AQ84*Calculateur!AS84*VLOOKUP('Données projet'!$B$10,Paramètres!$A$1:$I$89,3,0)*0.475*44/12</f>
        <v>#N/A</v>
      </c>
      <c r="AW84" s="23" t="e">
        <f>EXP(-LN(2)/2)*AW83+(1-EXP(-LN(2)/2))/(LN(2)/2)*AQ84*AT84*VLOOKUP('Données projet'!$B$10,Paramètres!$A$1:$I$89,3,0)*0.475*44/12</f>
        <v>#N/A</v>
      </c>
      <c r="AX84" s="23" t="e">
        <f t="shared" si="60"/>
        <v>#N/A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70">
        <f t="shared" si="56"/>
        <v>256.66666666666669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-1.1368683772161603E-13</v>
      </c>
      <c r="O85" s="14">
        <f>N85*VLOOKUP('Données projet'!$B$9,Paramètres!$A$1:$I$89,3,0)*VLOOKUP('Données projet'!$B$9,Paramètres!$A$1:$I$89,5,0)</f>
        <v>-6.7984728957526396E-14</v>
      </c>
      <c r="P85" s="14" t="e">
        <f t="shared" si="87"/>
        <v>#NUM!</v>
      </c>
      <c r="Q85" s="22" t="e">
        <f t="shared" si="54"/>
        <v>#NUM!</v>
      </c>
      <c r="R85" s="62" t="e">
        <f t="shared" si="55"/>
        <v>#NUM!</v>
      </c>
      <c r="S85" s="62">
        <f ca="1">AVERAGE(OFFSET($R$3,0,0,'Données projet'!$E$9+1,1))-AVERAGE(OFFSET($H$3,0,0,'Données projet'!$E$9+1,1))</f>
        <v>348.62416478262719</v>
      </c>
      <c r="T85" s="62">
        <f t="shared" si="88"/>
        <v>371.70674704563288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5.0736201911221235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3.4362920270168869E-7</v>
      </c>
      <c r="AC85" s="24">
        <f t="shared" si="57"/>
        <v>5.0736205347513259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 t="e">
        <f>AI85*VLOOKUP('Données projet'!$B$10,Paramètres!$A$1:$I$89,3,0)*VLOOKUP('Données projet'!$B$10,Paramètres!$A$1:$I$89,5,0)</f>
        <v>#N/A</v>
      </c>
      <c r="AK85" s="14" t="e">
        <f t="shared" si="89"/>
        <v>#N/A</v>
      </c>
      <c r="AL85" s="22" t="e">
        <f t="shared" si="58"/>
        <v>#N/A</v>
      </c>
      <c r="AM85" s="62" t="e">
        <f t="shared" si="59"/>
        <v>#N/A</v>
      </c>
      <c r="AN85" s="62" t="e">
        <f ca="1">AVERAGE(OFFSET($AM$3,0,0,'Données projet'!$E$10+1,1))-AVERAGE(OFFSET($H$3,0,0,'Données projet'!$E$10+1,1))</f>
        <v>#N/A</v>
      </c>
      <c r="AO85" s="62" t="e">
        <f t="shared" si="90"/>
        <v>#N/A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 t="e">
        <f>EXP(-LN(2)/35)*AU84+(1-EXP(-LN(2)/35))/(LN(2)/35)*AQ85*AR85*VLOOKUP('Données projet'!$B$10,Paramètres!$A$1:$I$89,3,0)*0.475*44/12</f>
        <v>#N/A</v>
      </c>
      <c r="AV85" s="23" t="e">
        <f>EXP(-LN(2)/25)*AV84+(1-EXP(-LN(2)/25))/(LN(2)/25)*Calculateur!AQ85*Calculateur!AS85*VLOOKUP('Données projet'!$B$10,Paramètres!$A$1:$I$89,3,0)*0.475*44/12</f>
        <v>#N/A</v>
      </c>
      <c r="AW85" s="23" t="e">
        <f>EXP(-LN(2)/2)*AW84+(1-EXP(-LN(2)/2))/(LN(2)/2)*AQ85*AT85*VLOOKUP('Données projet'!$B$10,Paramètres!$A$1:$I$89,3,0)*0.475*44/12</f>
        <v>#N/A</v>
      </c>
      <c r="AX85" s="23" t="e">
        <f t="shared" si="60"/>
        <v>#N/A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70">
        <f t="shared" si="56"/>
        <v>256.66666666666669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-1.1368683772161603E-13</v>
      </c>
      <c r="O86" s="14">
        <f>N86*VLOOKUP('Données projet'!$B$9,Paramètres!$A$1:$I$89,3,0)*VLOOKUP('Données projet'!$B$9,Paramètres!$A$1:$I$89,5,0)</f>
        <v>-6.7984728957526396E-14</v>
      </c>
      <c r="P86" s="14" t="e">
        <f t="shared" si="87"/>
        <v>#NUM!</v>
      </c>
      <c r="Q86" s="22" t="e">
        <f t="shared" si="54"/>
        <v>#NUM!</v>
      </c>
      <c r="R86" s="62" t="e">
        <f t="shared" si="55"/>
        <v>#NUM!</v>
      </c>
      <c r="S86" s="62">
        <f ca="1">AVERAGE(OFFSET($R$3,0,0,'Données projet'!$E$9+1,1))-AVERAGE(OFFSET($H$3,0,0,'Données projet'!$E$9+1,1))</f>
        <v>348.62416478262719</v>
      </c>
      <c r="T86" s="62">
        <f t="shared" si="88"/>
        <v>371.70674704563288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4.9741295937769685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2.4298253944409077E-7</v>
      </c>
      <c r="AC86" s="24">
        <f t="shared" si="57"/>
        <v>4.9741298367595084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 t="e">
        <f>AI86*VLOOKUP('Données projet'!$B$10,Paramètres!$A$1:$I$89,3,0)*VLOOKUP('Données projet'!$B$10,Paramètres!$A$1:$I$89,5,0)</f>
        <v>#N/A</v>
      </c>
      <c r="AK86" s="14" t="e">
        <f t="shared" si="89"/>
        <v>#N/A</v>
      </c>
      <c r="AL86" s="22" t="e">
        <f t="shared" si="58"/>
        <v>#N/A</v>
      </c>
      <c r="AM86" s="62" t="e">
        <f t="shared" si="59"/>
        <v>#N/A</v>
      </c>
      <c r="AN86" s="62" t="e">
        <f ca="1">AVERAGE(OFFSET($AM$3,0,0,'Données projet'!$E$10+1,1))-AVERAGE(OFFSET($H$3,0,0,'Données projet'!$E$10+1,1))</f>
        <v>#N/A</v>
      </c>
      <c r="AO86" s="62" t="e">
        <f t="shared" si="90"/>
        <v>#N/A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 t="e">
        <f>EXP(-LN(2)/35)*AU85+(1-EXP(-LN(2)/35))/(LN(2)/35)*AQ86*AR86*VLOOKUP('Données projet'!$B$10,Paramètres!$A$1:$I$89,3,0)*0.475*44/12</f>
        <v>#N/A</v>
      </c>
      <c r="AV86" s="23" t="e">
        <f>EXP(-LN(2)/25)*AV85+(1-EXP(-LN(2)/25))/(LN(2)/25)*Calculateur!AQ86*Calculateur!AS86*VLOOKUP('Données projet'!$B$10,Paramètres!$A$1:$I$89,3,0)*0.475*44/12</f>
        <v>#N/A</v>
      </c>
      <c r="AW86" s="23" t="e">
        <f>EXP(-LN(2)/2)*AW85+(1-EXP(-LN(2)/2))/(LN(2)/2)*AQ86*AT86*VLOOKUP('Données projet'!$B$10,Paramètres!$A$1:$I$89,3,0)*0.475*44/12</f>
        <v>#N/A</v>
      </c>
      <c r="AX86" s="23" t="e">
        <f t="shared" si="60"/>
        <v>#N/A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70">
        <f t="shared" si="56"/>
        <v>256.66666666666669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-1.1368683772161603E-13</v>
      </c>
      <c r="O87" s="14">
        <f>N87*VLOOKUP('Données projet'!$B$9,Paramètres!$A$1:$I$89,3,0)*VLOOKUP('Données projet'!$B$9,Paramètres!$A$1:$I$89,5,0)</f>
        <v>-6.7984728957526396E-14</v>
      </c>
      <c r="P87" s="14" t="e">
        <f t="shared" si="87"/>
        <v>#NUM!</v>
      </c>
      <c r="Q87" s="22" t="e">
        <f t="shared" si="54"/>
        <v>#NUM!</v>
      </c>
      <c r="R87" s="62" t="e">
        <f t="shared" si="55"/>
        <v>#NUM!</v>
      </c>
      <c r="S87" s="62">
        <f ca="1">AVERAGE(OFFSET($R$3,0,0,'Données projet'!$E$9+1,1))-AVERAGE(OFFSET($H$3,0,0,'Données projet'!$E$9+1,1))</f>
        <v>348.62416478262719</v>
      </c>
      <c r="T87" s="62">
        <f t="shared" si="88"/>
        <v>371.70674704563288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4.87658994636248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1.7181460135084434E-7</v>
      </c>
      <c r="AC87" s="24">
        <f t="shared" si="57"/>
        <v>4.8765901181770817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 t="e">
        <f>AI87*VLOOKUP('Données projet'!$B$10,Paramètres!$A$1:$I$89,3,0)*VLOOKUP('Données projet'!$B$10,Paramètres!$A$1:$I$89,5,0)</f>
        <v>#N/A</v>
      </c>
      <c r="AK87" s="14" t="e">
        <f t="shared" si="89"/>
        <v>#N/A</v>
      </c>
      <c r="AL87" s="22" t="e">
        <f t="shared" si="58"/>
        <v>#N/A</v>
      </c>
      <c r="AM87" s="62" t="e">
        <f t="shared" si="59"/>
        <v>#N/A</v>
      </c>
      <c r="AN87" s="62" t="e">
        <f ca="1">AVERAGE(OFFSET($AM$3,0,0,'Données projet'!$E$10+1,1))-AVERAGE(OFFSET($H$3,0,0,'Données projet'!$E$10+1,1))</f>
        <v>#N/A</v>
      </c>
      <c r="AO87" s="62" t="e">
        <f t="shared" si="90"/>
        <v>#N/A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 t="e">
        <f>EXP(-LN(2)/35)*AU86+(1-EXP(-LN(2)/35))/(LN(2)/35)*AQ87*AR87*VLOOKUP('Données projet'!$B$10,Paramètres!$A$1:$I$89,3,0)*0.475*44/12</f>
        <v>#N/A</v>
      </c>
      <c r="AV87" s="23" t="e">
        <f>EXP(-LN(2)/25)*AV86+(1-EXP(-LN(2)/25))/(LN(2)/25)*Calculateur!AQ87*Calculateur!AS87*VLOOKUP('Données projet'!$B$10,Paramètres!$A$1:$I$89,3,0)*0.475*44/12</f>
        <v>#N/A</v>
      </c>
      <c r="AW87" s="23" t="e">
        <f>EXP(-LN(2)/2)*AW86+(1-EXP(-LN(2)/2))/(LN(2)/2)*AQ87*AT87*VLOOKUP('Données projet'!$B$10,Paramètres!$A$1:$I$89,3,0)*0.475*44/12</f>
        <v>#N/A</v>
      </c>
      <c r="AX87" s="23" t="e">
        <f t="shared" si="60"/>
        <v>#N/A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70">
        <f t="shared" si="56"/>
        <v>256.66666666666669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-1.1368683772161603E-13</v>
      </c>
      <c r="O88" s="14">
        <f>N88*VLOOKUP('Données projet'!$B$9,Paramètres!$A$1:$I$89,3,0)*VLOOKUP('Données projet'!$B$9,Paramètres!$A$1:$I$89,5,0)</f>
        <v>-6.7984728957526396E-14</v>
      </c>
      <c r="P88" s="14" t="e">
        <f t="shared" si="87"/>
        <v>#NUM!</v>
      </c>
      <c r="Q88" s="22" t="e">
        <f t="shared" si="54"/>
        <v>#NUM!</v>
      </c>
      <c r="R88" s="62" t="e">
        <f t="shared" si="55"/>
        <v>#NUM!</v>
      </c>
      <c r="S88" s="62">
        <f ca="1">AVERAGE(OFFSET($R$3,0,0,'Données projet'!$E$9+1,1))-AVERAGE(OFFSET($H$3,0,0,'Données projet'!$E$9+1,1))</f>
        <v>348.62416478262719</v>
      </c>
      <c r="T88" s="62">
        <f t="shared" si="88"/>
        <v>371.70674704563288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4.7809629919404788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1.2149126972204538E-7</v>
      </c>
      <c r="AC88" s="24">
        <f t="shared" si="57"/>
        <v>4.7809631134317483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 t="e">
        <f>AI88*VLOOKUP('Données projet'!$B$10,Paramètres!$A$1:$I$89,3,0)*VLOOKUP('Données projet'!$B$10,Paramètres!$A$1:$I$89,5,0)</f>
        <v>#N/A</v>
      </c>
      <c r="AK88" s="14" t="e">
        <f t="shared" si="89"/>
        <v>#N/A</v>
      </c>
      <c r="AL88" s="22" t="e">
        <f t="shared" si="58"/>
        <v>#N/A</v>
      </c>
      <c r="AM88" s="62" t="e">
        <f t="shared" si="59"/>
        <v>#N/A</v>
      </c>
      <c r="AN88" s="62" t="e">
        <f ca="1">AVERAGE(OFFSET($AM$3,0,0,'Données projet'!$E$10+1,1))-AVERAGE(OFFSET($H$3,0,0,'Données projet'!$E$10+1,1))</f>
        <v>#N/A</v>
      </c>
      <c r="AO88" s="62" t="e">
        <f t="shared" si="90"/>
        <v>#N/A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 t="e">
        <f>EXP(-LN(2)/35)*AU87+(1-EXP(-LN(2)/35))/(LN(2)/35)*AQ88*AR88*VLOOKUP('Données projet'!$B$10,Paramètres!$A$1:$I$89,3,0)*0.475*44/12</f>
        <v>#N/A</v>
      </c>
      <c r="AV88" s="23" t="e">
        <f>EXP(-LN(2)/25)*AV87+(1-EXP(-LN(2)/25))/(LN(2)/25)*Calculateur!AQ88*Calculateur!AS88*VLOOKUP('Données projet'!$B$10,Paramètres!$A$1:$I$89,3,0)*0.475*44/12</f>
        <v>#N/A</v>
      </c>
      <c r="AW88" s="23" t="e">
        <f>EXP(-LN(2)/2)*AW87+(1-EXP(-LN(2)/2))/(LN(2)/2)*AQ88*AT88*VLOOKUP('Données projet'!$B$10,Paramètres!$A$1:$I$89,3,0)*0.475*44/12</f>
        <v>#N/A</v>
      </c>
      <c r="AX88" s="23" t="e">
        <f t="shared" si="60"/>
        <v>#N/A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70">
        <f t="shared" si="56"/>
        <v>256.66666666666669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-1.1368683772161603E-13</v>
      </c>
      <c r="O89" s="14">
        <f>N89*VLOOKUP('Données projet'!$B$9,Paramètres!$A$1:$I$89,3,0)*VLOOKUP('Données projet'!$B$9,Paramètres!$A$1:$I$89,5,0)</f>
        <v>-6.7984728957526396E-14</v>
      </c>
      <c r="P89" s="14" t="e">
        <f t="shared" si="87"/>
        <v>#NUM!</v>
      </c>
      <c r="Q89" s="22" t="e">
        <f t="shared" si="54"/>
        <v>#NUM!</v>
      </c>
      <c r="R89" s="62" t="e">
        <f t="shared" si="55"/>
        <v>#NUM!</v>
      </c>
      <c r="S89" s="62">
        <f ca="1">AVERAGE(OFFSET($R$3,0,0,'Données projet'!$E$9+1,1))-AVERAGE(OFFSET($H$3,0,0,'Données projet'!$E$9+1,1))</f>
        <v>348.62416478262719</v>
      </c>
      <c r="T89" s="62">
        <f t="shared" si="88"/>
        <v>371.70674704563288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4.6872112237680099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8.5907300675422172E-8</v>
      </c>
      <c r="AC89" s="24">
        <f t="shared" si="57"/>
        <v>4.6872113096753107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 t="e">
        <f>AI89*VLOOKUP('Données projet'!$B$10,Paramètres!$A$1:$I$89,3,0)*VLOOKUP('Données projet'!$B$10,Paramètres!$A$1:$I$89,5,0)</f>
        <v>#N/A</v>
      </c>
      <c r="AK89" s="14" t="e">
        <f t="shared" si="89"/>
        <v>#N/A</v>
      </c>
      <c r="AL89" s="22" t="e">
        <f t="shared" si="58"/>
        <v>#N/A</v>
      </c>
      <c r="AM89" s="62" t="e">
        <f t="shared" si="59"/>
        <v>#N/A</v>
      </c>
      <c r="AN89" s="62" t="e">
        <f ca="1">AVERAGE(OFFSET($AM$3,0,0,'Données projet'!$E$10+1,1))-AVERAGE(OFFSET($H$3,0,0,'Données projet'!$E$10+1,1))</f>
        <v>#N/A</v>
      </c>
      <c r="AO89" s="62" t="e">
        <f t="shared" si="90"/>
        <v>#N/A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 t="e">
        <f>EXP(-LN(2)/35)*AU88+(1-EXP(-LN(2)/35))/(LN(2)/35)*AQ89*AR89*VLOOKUP('Données projet'!$B$10,Paramètres!$A$1:$I$89,3,0)*0.475*44/12</f>
        <v>#N/A</v>
      </c>
      <c r="AV89" s="23" t="e">
        <f>EXP(-LN(2)/25)*AV88+(1-EXP(-LN(2)/25))/(LN(2)/25)*Calculateur!AQ89*Calculateur!AS89*VLOOKUP('Données projet'!$B$10,Paramètres!$A$1:$I$89,3,0)*0.475*44/12</f>
        <v>#N/A</v>
      </c>
      <c r="AW89" s="23" t="e">
        <f>EXP(-LN(2)/2)*AW88+(1-EXP(-LN(2)/2))/(LN(2)/2)*AQ89*AT89*VLOOKUP('Données projet'!$B$10,Paramètres!$A$1:$I$89,3,0)*0.475*44/12</f>
        <v>#N/A</v>
      </c>
      <c r="AX89" s="23" t="e">
        <f t="shared" si="60"/>
        <v>#N/A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70">
        <f t="shared" si="56"/>
        <v>256.66666666666669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-1.1368683772161603E-13</v>
      </c>
      <c r="O90" s="14">
        <f>N90*VLOOKUP('Données projet'!$B$9,Paramètres!$A$1:$I$89,3,0)*VLOOKUP('Données projet'!$B$9,Paramètres!$A$1:$I$89,5,0)</f>
        <v>-6.7984728957526396E-14</v>
      </c>
      <c r="P90" s="14" t="e">
        <f t="shared" si="87"/>
        <v>#NUM!</v>
      </c>
      <c r="Q90" s="22" t="e">
        <f t="shared" si="54"/>
        <v>#NUM!</v>
      </c>
      <c r="R90" s="62" t="e">
        <f t="shared" si="55"/>
        <v>#NUM!</v>
      </c>
      <c r="S90" s="62">
        <f ca="1">AVERAGE(OFFSET($R$3,0,0,'Données projet'!$E$9+1,1))-AVERAGE(OFFSET($H$3,0,0,'Données projet'!$E$9+1,1))</f>
        <v>348.62416478262719</v>
      </c>
      <c r="T90" s="62">
        <f t="shared" si="88"/>
        <v>371.70674704563288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4.5952978705864709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6.0745634861022692E-8</v>
      </c>
      <c r="AC90" s="24">
        <f t="shared" si="57"/>
        <v>4.5952979313321061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 t="e">
        <f>AI90*VLOOKUP('Données projet'!$B$10,Paramètres!$A$1:$I$89,3,0)*VLOOKUP('Données projet'!$B$10,Paramètres!$A$1:$I$89,5,0)</f>
        <v>#N/A</v>
      </c>
      <c r="AK90" s="14" t="e">
        <f t="shared" si="89"/>
        <v>#N/A</v>
      </c>
      <c r="AL90" s="22" t="e">
        <f t="shared" si="58"/>
        <v>#N/A</v>
      </c>
      <c r="AM90" s="62" t="e">
        <f t="shared" si="59"/>
        <v>#N/A</v>
      </c>
      <c r="AN90" s="62" t="e">
        <f ca="1">AVERAGE(OFFSET($AM$3,0,0,'Données projet'!$E$10+1,1))-AVERAGE(OFFSET($H$3,0,0,'Données projet'!$E$10+1,1))</f>
        <v>#N/A</v>
      </c>
      <c r="AO90" s="62" t="e">
        <f t="shared" si="90"/>
        <v>#N/A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 t="e">
        <f>EXP(-LN(2)/35)*AU89+(1-EXP(-LN(2)/35))/(LN(2)/35)*AQ90*AR90*VLOOKUP('Données projet'!$B$10,Paramètres!$A$1:$I$89,3,0)*0.475*44/12</f>
        <v>#N/A</v>
      </c>
      <c r="AV90" s="23" t="e">
        <f>EXP(-LN(2)/25)*AV89+(1-EXP(-LN(2)/25))/(LN(2)/25)*Calculateur!AQ90*Calculateur!AS90*VLOOKUP('Données projet'!$B$10,Paramètres!$A$1:$I$89,3,0)*0.475*44/12</f>
        <v>#N/A</v>
      </c>
      <c r="AW90" s="23" t="e">
        <f>EXP(-LN(2)/2)*AW89+(1-EXP(-LN(2)/2))/(LN(2)/2)*AQ90*AT90*VLOOKUP('Données projet'!$B$10,Paramètres!$A$1:$I$89,3,0)*0.475*44/12</f>
        <v>#N/A</v>
      </c>
      <c r="AX90" s="23" t="e">
        <f t="shared" si="60"/>
        <v>#N/A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70">
        <f t="shared" si="56"/>
        <v>256.66666666666669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-1.1368683772161603E-13</v>
      </c>
      <c r="O91" s="14">
        <f>N91*VLOOKUP('Données projet'!$B$9,Paramètres!$A$1:$I$89,3,0)*VLOOKUP('Données projet'!$B$9,Paramètres!$A$1:$I$89,5,0)</f>
        <v>-6.7984728957526396E-14</v>
      </c>
      <c r="P91" s="14" t="e">
        <f t="shared" si="87"/>
        <v>#NUM!</v>
      </c>
      <c r="Q91" s="22" t="e">
        <f t="shared" si="54"/>
        <v>#NUM!</v>
      </c>
      <c r="R91" s="62" t="e">
        <f t="shared" si="55"/>
        <v>#NUM!</v>
      </c>
      <c r="S91" s="62">
        <f ca="1">AVERAGE(OFFSET($R$3,0,0,'Données projet'!$E$9+1,1))-AVERAGE(OFFSET($H$3,0,0,'Données projet'!$E$9+1,1))</f>
        <v>348.62416478262719</v>
      </c>
      <c r="T91" s="62">
        <f t="shared" si="88"/>
        <v>371.70674704563288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4.5051868821992125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4.2953650337711086E-8</v>
      </c>
      <c r="AC91" s="24">
        <f t="shared" si="57"/>
        <v>4.5051869251528629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 t="e">
        <f>AI91*VLOOKUP('Données projet'!$B$10,Paramètres!$A$1:$I$89,3,0)*VLOOKUP('Données projet'!$B$10,Paramètres!$A$1:$I$89,5,0)</f>
        <v>#N/A</v>
      </c>
      <c r="AK91" s="14" t="e">
        <f t="shared" si="89"/>
        <v>#N/A</v>
      </c>
      <c r="AL91" s="22" t="e">
        <f t="shared" si="58"/>
        <v>#N/A</v>
      </c>
      <c r="AM91" s="62" t="e">
        <f t="shared" si="59"/>
        <v>#N/A</v>
      </c>
      <c r="AN91" s="62" t="e">
        <f ca="1">AVERAGE(OFFSET($AM$3,0,0,'Données projet'!$E$10+1,1))-AVERAGE(OFFSET($H$3,0,0,'Données projet'!$E$10+1,1))</f>
        <v>#N/A</v>
      </c>
      <c r="AO91" s="62" t="e">
        <f t="shared" si="90"/>
        <v>#N/A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 t="e">
        <f>EXP(-LN(2)/35)*AU90+(1-EXP(-LN(2)/35))/(LN(2)/35)*AQ91*AR91*VLOOKUP('Données projet'!$B$10,Paramètres!$A$1:$I$89,3,0)*0.475*44/12</f>
        <v>#N/A</v>
      </c>
      <c r="AV91" s="23" t="e">
        <f>EXP(-LN(2)/25)*AV90+(1-EXP(-LN(2)/25))/(LN(2)/25)*Calculateur!AQ91*Calculateur!AS91*VLOOKUP('Données projet'!$B$10,Paramètres!$A$1:$I$89,3,0)*0.475*44/12</f>
        <v>#N/A</v>
      </c>
      <c r="AW91" s="23" t="e">
        <f>EXP(-LN(2)/2)*AW90+(1-EXP(-LN(2)/2))/(LN(2)/2)*AQ91*AT91*VLOOKUP('Données projet'!$B$10,Paramètres!$A$1:$I$89,3,0)*0.475*44/12</f>
        <v>#N/A</v>
      </c>
      <c r="AX91" s="23" t="e">
        <f t="shared" si="60"/>
        <v>#N/A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70">
        <f t="shared" si="56"/>
        <v>256.66666666666669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-1.1368683772161603E-13</v>
      </c>
      <c r="O92" s="14">
        <f>N92*VLOOKUP('Données projet'!$B$9,Paramètres!$A$1:$I$89,3,0)*VLOOKUP('Données projet'!$B$9,Paramètres!$A$1:$I$89,5,0)</f>
        <v>-6.7984728957526396E-14</v>
      </c>
      <c r="P92" s="14" t="e">
        <f t="shared" si="87"/>
        <v>#NUM!</v>
      </c>
      <c r="Q92" s="22" t="e">
        <f t="shared" si="54"/>
        <v>#NUM!</v>
      </c>
      <c r="R92" s="62" t="e">
        <f t="shared" si="55"/>
        <v>#NUM!</v>
      </c>
      <c r="S92" s="62">
        <f ca="1">AVERAGE(OFFSET($R$3,0,0,'Données projet'!$E$9+1,1))-AVERAGE(OFFSET($H$3,0,0,'Données projet'!$E$9+1,1))</f>
        <v>348.62416478262719</v>
      </c>
      <c r="T92" s="62">
        <f t="shared" si="88"/>
        <v>371.70674704563288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4.4168429153319524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3.0372817430511346E-8</v>
      </c>
      <c r="AC92" s="24">
        <f t="shared" si="57"/>
        <v>4.4168429457047695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 t="e">
        <f>AI92*VLOOKUP('Données projet'!$B$10,Paramètres!$A$1:$I$89,3,0)*VLOOKUP('Données projet'!$B$10,Paramètres!$A$1:$I$89,5,0)</f>
        <v>#N/A</v>
      </c>
      <c r="AK92" s="14" t="e">
        <f t="shared" si="89"/>
        <v>#N/A</v>
      </c>
      <c r="AL92" s="22" t="e">
        <f t="shared" si="58"/>
        <v>#N/A</v>
      </c>
      <c r="AM92" s="62" t="e">
        <f t="shared" si="59"/>
        <v>#N/A</v>
      </c>
      <c r="AN92" s="62" t="e">
        <f ca="1">AVERAGE(OFFSET($AM$3,0,0,'Données projet'!$E$10+1,1))-AVERAGE(OFFSET($H$3,0,0,'Données projet'!$E$10+1,1))</f>
        <v>#N/A</v>
      </c>
      <c r="AO92" s="62" t="e">
        <f t="shared" si="90"/>
        <v>#N/A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 t="e">
        <f>EXP(-LN(2)/35)*AU91+(1-EXP(-LN(2)/35))/(LN(2)/35)*AQ92*AR92*VLOOKUP('Données projet'!$B$10,Paramètres!$A$1:$I$89,3,0)*0.475*44/12</f>
        <v>#N/A</v>
      </c>
      <c r="AV92" s="23" t="e">
        <f>EXP(-LN(2)/25)*AV91+(1-EXP(-LN(2)/25))/(LN(2)/25)*Calculateur!AQ92*Calculateur!AS92*VLOOKUP('Données projet'!$B$10,Paramètres!$A$1:$I$89,3,0)*0.475*44/12</f>
        <v>#N/A</v>
      </c>
      <c r="AW92" s="23" t="e">
        <f>EXP(-LN(2)/2)*AW91+(1-EXP(-LN(2)/2))/(LN(2)/2)*AQ92*AT92*VLOOKUP('Données projet'!$B$10,Paramètres!$A$1:$I$89,3,0)*0.475*44/12</f>
        <v>#N/A</v>
      </c>
      <c r="AX92" s="23" t="e">
        <f t="shared" si="60"/>
        <v>#N/A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70">
        <f t="shared" si="56"/>
        <v>256.66666666666669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-1.1368683772161603E-13</v>
      </c>
      <c r="O93" s="14">
        <f>N93*VLOOKUP('Données projet'!$B$9,Paramètres!$A$1:$I$89,3,0)*VLOOKUP('Données projet'!$B$9,Paramètres!$A$1:$I$89,5,0)</f>
        <v>-6.7984728957526396E-14</v>
      </c>
      <c r="P93" s="14" t="e">
        <f t="shared" si="87"/>
        <v>#NUM!</v>
      </c>
      <c r="Q93" s="22" t="e">
        <f t="shared" si="54"/>
        <v>#NUM!</v>
      </c>
      <c r="R93" s="62" t="e">
        <f t="shared" si="55"/>
        <v>#NUM!</v>
      </c>
      <c r="S93" s="62">
        <f ca="1">AVERAGE(OFFSET($R$3,0,0,'Données projet'!$E$9+1,1))-AVERAGE(OFFSET($H$3,0,0,'Données projet'!$E$9+1,1))</f>
        <v>348.62416478262719</v>
      </c>
      <c r="T93" s="62">
        <f t="shared" si="88"/>
        <v>371.70674704563288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4.3302313197704603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2.1476825168855543E-8</v>
      </c>
      <c r="AC93" s="24">
        <f t="shared" si="57"/>
        <v>4.330231341247285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 t="e">
        <f>AI93*VLOOKUP('Données projet'!$B$10,Paramètres!$A$1:$I$89,3,0)*VLOOKUP('Données projet'!$B$10,Paramètres!$A$1:$I$89,5,0)</f>
        <v>#N/A</v>
      </c>
      <c r="AK93" s="14" t="e">
        <f t="shared" si="89"/>
        <v>#N/A</v>
      </c>
      <c r="AL93" s="22" t="e">
        <f t="shared" si="58"/>
        <v>#N/A</v>
      </c>
      <c r="AM93" s="62" t="e">
        <f t="shared" si="59"/>
        <v>#N/A</v>
      </c>
      <c r="AN93" s="62" t="e">
        <f ca="1">AVERAGE(OFFSET($AM$3,0,0,'Données projet'!$E$10+1,1))-AVERAGE(OFFSET($H$3,0,0,'Données projet'!$E$10+1,1))</f>
        <v>#N/A</v>
      </c>
      <c r="AO93" s="62" t="e">
        <f t="shared" si="90"/>
        <v>#N/A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 t="e">
        <f>EXP(-LN(2)/35)*AU92+(1-EXP(-LN(2)/35))/(LN(2)/35)*AQ93*AR93*VLOOKUP('Données projet'!$B$10,Paramètres!$A$1:$I$89,3,0)*0.475*44/12</f>
        <v>#N/A</v>
      </c>
      <c r="AV93" s="23" t="e">
        <f>EXP(-LN(2)/25)*AV92+(1-EXP(-LN(2)/25))/(LN(2)/25)*Calculateur!AQ93*Calculateur!AS93*VLOOKUP('Données projet'!$B$10,Paramètres!$A$1:$I$89,3,0)*0.475*44/12</f>
        <v>#N/A</v>
      </c>
      <c r="AW93" s="23" t="e">
        <f>EXP(-LN(2)/2)*AW92+(1-EXP(-LN(2)/2))/(LN(2)/2)*AQ93*AT93*VLOOKUP('Données projet'!$B$10,Paramètres!$A$1:$I$89,3,0)*0.475*44/12</f>
        <v>#N/A</v>
      </c>
      <c r="AX93" s="23" t="e">
        <f t="shared" si="60"/>
        <v>#N/A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70">
        <f t="shared" si="56"/>
        <v>256.66666666666669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-1.1368683772161603E-13</v>
      </c>
      <c r="O94" s="14">
        <f>N94*VLOOKUP('Données projet'!$B$9,Paramètres!$A$1:$I$89,3,0)*VLOOKUP('Données projet'!$B$9,Paramètres!$A$1:$I$89,5,0)</f>
        <v>-6.7984728957526396E-14</v>
      </c>
      <c r="P94" s="14" t="e">
        <f t="shared" si="87"/>
        <v>#NUM!</v>
      </c>
      <c r="Q94" s="22" t="e">
        <f t="shared" si="54"/>
        <v>#NUM!</v>
      </c>
      <c r="R94" s="62" t="e">
        <f t="shared" si="55"/>
        <v>#NUM!</v>
      </c>
      <c r="S94" s="62">
        <f ca="1">AVERAGE(OFFSET($R$3,0,0,'Données projet'!$E$9+1,1))-AVERAGE(OFFSET($H$3,0,0,'Données projet'!$E$9+1,1))</f>
        <v>348.62416478262719</v>
      </c>
      <c r="T94" s="62">
        <f t="shared" si="88"/>
        <v>371.70674704563288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4.2453181247700718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1.5186408715255673E-8</v>
      </c>
      <c r="AC94" s="24">
        <f t="shared" si="57"/>
        <v>4.2453181399564803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 t="e">
        <f>AI94*VLOOKUP('Données projet'!$B$10,Paramètres!$A$1:$I$89,3,0)*VLOOKUP('Données projet'!$B$10,Paramètres!$A$1:$I$89,5,0)</f>
        <v>#N/A</v>
      </c>
      <c r="AK94" s="14" t="e">
        <f t="shared" si="89"/>
        <v>#N/A</v>
      </c>
      <c r="AL94" s="22" t="e">
        <f t="shared" si="58"/>
        <v>#N/A</v>
      </c>
      <c r="AM94" s="62" t="e">
        <f t="shared" si="59"/>
        <v>#N/A</v>
      </c>
      <c r="AN94" s="62" t="e">
        <f ca="1">AVERAGE(OFFSET($AM$3,0,0,'Données projet'!$E$10+1,1))-AVERAGE(OFFSET($H$3,0,0,'Données projet'!$E$10+1,1))</f>
        <v>#N/A</v>
      </c>
      <c r="AO94" s="62" t="e">
        <f t="shared" si="90"/>
        <v>#N/A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 t="e">
        <f>EXP(-LN(2)/35)*AU93+(1-EXP(-LN(2)/35))/(LN(2)/35)*AQ94*AR94*VLOOKUP('Données projet'!$B$10,Paramètres!$A$1:$I$89,3,0)*0.475*44/12</f>
        <v>#N/A</v>
      </c>
      <c r="AV94" s="23" t="e">
        <f>EXP(-LN(2)/25)*AV93+(1-EXP(-LN(2)/25))/(LN(2)/25)*Calculateur!AQ94*Calculateur!AS94*VLOOKUP('Données projet'!$B$10,Paramètres!$A$1:$I$89,3,0)*0.475*44/12</f>
        <v>#N/A</v>
      </c>
      <c r="AW94" s="23" t="e">
        <f>EXP(-LN(2)/2)*AW93+(1-EXP(-LN(2)/2))/(LN(2)/2)*AQ94*AT94*VLOOKUP('Données projet'!$B$10,Paramètres!$A$1:$I$89,3,0)*0.475*44/12</f>
        <v>#N/A</v>
      </c>
      <c r="AX94" s="23" t="e">
        <f t="shared" si="60"/>
        <v>#N/A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70">
        <f t="shared" si="56"/>
        <v>256.66666666666669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-1.1368683772161603E-13</v>
      </c>
      <c r="O95" s="14">
        <f>N95*VLOOKUP('Données projet'!$B$9,Paramètres!$A$1:$I$89,3,0)*VLOOKUP('Données projet'!$B$9,Paramètres!$A$1:$I$89,5,0)</f>
        <v>-6.7984728957526396E-14</v>
      </c>
      <c r="P95" s="14" t="e">
        <f t="shared" si="87"/>
        <v>#NUM!</v>
      </c>
      <c r="Q95" s="22" t="e">
        <f t="shared" si="54"/>
        <v>#NUM!</v>
      </c>
      <c r="R95" s="62" t="e">
        <f t="shared" si="55"/>
        <v>#NUM!</v>
      </c>
      <c r="S95" s="62">
        <f ca="1">AVERAGE(OFFSET($R$3,0,0,'Données projet'!$E$9+1,1))-AVERAGE(OFFSET($H$3,0,0,'Données projet'!$E$9+1,1))</f>
        <v>348.62416478262719</v>
      </c>
      <c r="T95" s="62">
        <f t="shared" si="88"/>
        <v>371.70674704563288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4.1620700257317056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1.0738412584427772E-8</v>
      </c>
      <c r="AC95" s="24">
        <f t="shared" si="57"/>
        <v>4.1620700364701184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 t="e">
        <f>AI95*VLOOKUP('Données projet'!$B$10,Paramètres!$A$1:$I$89,3,0)*VLOOKUP('Données projet'!$B$10,Paramètres!$A$1:$I$89,5,0)</f>
        <v>#N/A</v>
      </c>
      <c r="AK95" s="14" t="e">
        <f t="shared" si="89"/>
        <v>#N/A</v>
      </c>
      <c r="AL95" s="22" t="e">
        <f t="shared" si="58"/>
        <v>#N/A</v>
      </c>
      <c r="AM95" s="62" t="e">
        <f t="shared" si="59"/>
        <v>#N/A</v>
      </c>
      <c r="AN95" s="62" t="e">
        <f ca="1">AVERAGE(OFFSET($AM$3,0,0,'Données projet'!$E$10+1,1))-AVERAGE(OFFSET($H$3,0,0,'Données projet'!$E$10+1,1))</f>
        <v>#N/A</v>
      </c>
      <c r="AO95" s="62" t="e">
        <f t="shared" si="90"/>
        <v>#N/A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 t="e">
        <f>EXP(-LN(2)/35)*AU94+(1-EXP(-LN(2)/35))/(LN(2)/35)*AQ95*AR95*VLOOKUP('Données projet'!$B$10,Paramètres!$A$1:$I$89,3,0)*0.475*44/12</f>
        <v>#N/A</v>
      </c>
      <c r="AV95" s="23" t="e">
        <f>EXP(-LN(2)/25)*AV94+(1-EXP(-LN(2)/25))/(LN(2)/25)*Calculateur!AQ95*Calculateur!AS95*VLOOKUP('Données projet'!$B$10,Paramètres!$A$1:$I$89,3,0)*0.475*44/12</f>
        <v>#N/A</v>
      </c>
      <c r="AW95" s="23" t="e">
        <f>EXP(-LN(2)/2)*AW94+(1-EXP(-LN(2)/2))/(LN(2)/2)*AQ95*AT95*VLOOKUP('Données projet'!$B$10,Paramètres!$A$1:$I$89,3,0)*0.475*44/12</f>
        <v>#N/A</v>
      </c>
      <c r="AX95" s="23" t="e">
        <f t="shared" si="60"/>
        <v>#N/A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70">
        <f t="shared" si="56"/>
        <v>256.66666666666669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-1.1368683772161603E-13</v>
      </c>
      <c r="O96" s="14">
        <f>N96*VLOOKUP('Données projet'!$B$9,Paramètres!$A$1:$I$89,3,0)*VLOOKUP('Données projet'!$B$9,Paramètres!$A$1:$I$89,5,0)</f>
        <v>-6.7984728957526396E-14</v>
      </c>
      <c r="P96" s="14" t="e">
        <f t="shared" si="87"/>
        <v>#NUM!</v>
      </c>
      <c r="Q96" s="22" t="e">
        <f t="shared" si="54"/>
        <v>#NUM!</v>
      </c>
      <c r="R96" s="62" t="e">
        <f t="shared" si="55"/>
        <v>#NUM!</v>
      </c>
      <c r="S96" s="62">
        <f ca="1">AVERAGE(OFFSET($R$3,0,0,'Données projet'!$E$9+1,1))-AVERAGE(OFFSET($H$3,0,0,'Données projet'!$E$9+1,1))</f>
        <v>348.62416478262719</v>
      </c>
      <c r="T96" s="62">
        <f t="shared" si="88"/>
        <v>371.70674704563288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4.0804543711391554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7.5932043576278364E-9</v>
      </c>
      <c r="AC96" s="24">
        <f t="shared" si="57"/>
        <v>4.0804543787323597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 t="e">
        <f>AI96*VLOOKUP('Données projet'!$B$10,Paramètres!$A$1:$I$89,3,0)*VLOOKUP('Données projet'!$B$10,Paramètres!$A$1:$I$89,5,0)</f>
        <v>#N/A</v>
      </c>
      <c r="AK96" s="14" t="e">
        <f t="shared" si="89"/>
        <v>#N/A</v>
      </c>
      <c r="AL96" s="22" t="e">
        <f t="shared" si="58"/>
        <v>#N/A</v>
      </c>
      <c r="AM96" s="62" t="e">
        <f t="shared" si="59"/>
        <v>#N/A</v>
      </c>
      <c r="AN96" s="62" t="e">
        <f ca="1">AVERAGE(OFFSET($AM$3,0,0,'Données projet'!$E$10+1,1))-AVERAGE(OFFSET($H$3,0,0,'Données projet'!$E$10+1,1))</f>
        <v>#N/A</v>
      </c>
      <c r="AO96" s="62" t="e">
        <f t="shared" si="90"/>
        <v>#N/A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 t="e">
        <f>EXP(-LN(2)/35)*AU95+(1-EXP(-LN(2)/35))/(LN(2)/35)*AQ96*AR96*VLOOKUP('Données projet'!$B$10,Paramètres!$A$1:$I$89,3,0)*0.475*44/12</f>
        <v>#N/A</v>
      </c>
      <c r="AV96" s="23" t="e">
        <f>EXP(-LN(2)/25)*AV95+(1-EXP(-LN(2)/25))/(LN(2)/25)*Calculateur!AQ96*Calculateur!AS96*VLOOKUP('Données projet'!$B$10,Paramètres!$A$1:$I$89,3,0)*0.475*44/12</f>
        <v>#N/A</v>
      </c>
      <c r="AW96" s="23" t="e">
        <f>EXP(-LN(2)/2)*AW95+(1-EXP(-LN(2)/2))/(LN(2)/2)*AQ96*AT96*VLOOKUP('Données projet'!$B$10,Paramètres!$A$1:$I$89,3,0)*0.475*44/12</f>
        <v>#N/A</v>
      </c>
      <c r="AX96" s="23" t="e">
        <f t="shared" si="60"/>
        <v>#N/A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70">
        <f t="shared" si="56"/>
        <v>256.66666666666669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-1.1368683772161603E-13</v>
      </c>
      <c r="O97" s="14">
        <f>N97*VLOOKUP('Données projet'!$B$9,Paramètres!$A$1:$I$89,3,0)*VLOOKUP('Données projet'!$B$9,Paramètres!$A$1:$I$89,5,0)</f>
        <v>-6.7984728957526396E-14</v>
      </c>
      <c r="P97" s="14" t="e">
        <f t="shared" si="87"/>
        <v>#NUM!</v>
      </c>
      <c r="Q97" s="22" t="e">
        <f t="shared" si="54"/>
        <v>#NUM!</v>
      </c>
      <c r="R97" s="62" t="e">
        <f t="shared" si="55"/>
        <v>#NUM!</v>
      </c>
      <c r="S97" s="62">
        <f ca="1">AVERAGE(OFFSET($R$3,0,0,'Données projet'!$E$9+1,1))-AVERAGE(OFFSET($H$3,0,0,'Données projet'!$E$9+1,1))</f>
        <v>348.62416478262719</v>
      </c>
      <c r="T97" s="62">
        <f t="shared" si="88"/>
        <v>371.70674704563288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4.0004391497525313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5.3692062922138858E-9</v>
      </c>
      <c r="AC97" s="24">
        <f t="shared" si="57"/>
        <v>4.0004391551217378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 t="e">
        <f>AI97*VLOOKUP('Données projet'!$B$10,Paramètres!$A$1:$I$89,3,0)*VLOOKUP('Données projet'!$B$10,Paramètres!$A$1:$I$89,5,0)</f>
        <v>#N/A</v>
      </c>
      <c r="AK97" s="14" t="e">
        <f t="shared" si="89"/>
        <v>#N/A</v>
      </c>
      <c r="AL97" s="22" t="e">
        <f t="shared" si="58"/>
        <v>#N/A</v>
      </c>
      <c r="AM97" s="62" t="e">
        <f t="shared" si="59"/>
        <v>#N/A</v>
      </c>
      <c r="AN97" s="62" t="e">
        <f ca="1">AVERAGE(OFFSET($AM$3,0,0,'Données projet'!$E$10+1,1))-AVERAGE(OFFSET($H$3,0,0,'Données projet'!$E$10+1,1))</f>
        <v>#N/A</v>
      </c>
      <c r="AO97" s="62" t="e">
        <f t="shared" si="90"/>
        <v>#N/A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 t="e">
        <f>EXP(-LN(2)/35)*AU96+(1-EXP(-LN(2)/35))/(LN(2)/35)*AQ97*AR97*VLOOKUP('Données projet'!$B$10,Paramètres!$A$1:$I$89,3,0)*0.475*44/12</f>
        <v>#N/A</v>
      </c>
      <c r="AV97" s="23" t="e">
        <f>EXP(-LN(2)/25)*AV96+(1-EXP(-LN(2)/25))/(LN(2)/25)*Calculateur!AQ97*Calculateur!AS97*VLOOKUP('Données projet'!$B$10,Paramètres!$A$1:$I$89,3,0)*0.475*44/12</f>
        <v>#N/A</v>
      </c>
      <c r="AW97" s="23" t="e">
        <f>EXP(-LN(2)/2)*AW96+(1-EXP(-LN(2)/2))/(LN(2)/2)*AQ97*AT97*VLOOKUP('Données projet'!$B$10,Paramètres!$A$1:$I$89,3,0)*0.475*44/12</f>
        <v>#N/A</v>
      </c>
      <c r="AX97" s="23" t="e">
        <f t="shared" si="60"/>
        <v>#N/A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70">
        <f t="shared" si="56"/>
        <v>256.66666666666669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-1.1368683772161603E-13</v>
      </c>
      <c r="O98" s="14">
        <f>N98*VLOOKUP('Données projet'!$B$9,Paramètres!$A$1:$I$89,3,0)*VLOOKUP('Données projet'!$B$9,Paramètres!$A$1:$I$89,5,0)</f>
        <v>-6.7984728957526396E-14</v>
      </c>
      <c r="P98" s="14" t="e">
        <f t="shared" si="87"/>
        <v>#NUM!</v>
      </c>
      <c r="Q98" s="22" t="e">
        <f t="shared" si="54"/>
        <v>#NUM!</v>
      </c>
      <c r="R98" s="62" t="e">
        <f t="shared" si="55"/>
        <v>#NUM!</v>
      </c>
      <c r="S98" s="62">
        <f ca="1">AVERAGE(OFFSET($R$3,0,0,'Données projet'!$E$9+1,1))-AVERAGE(OFFSET($H$3,0,0,'Données projet'!$E$9+1,1))</f>
        <v>348.62416478262719</v>
      </c>
      <c r="T98" s="62">
        <f t="shared" si="88"/>
        <v>371.70674704563288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3.9219929780528329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3.7966021788139182E-9</v>
      </c>
      <c r="AC98" s="24">
        <f t="shared" si="57"/>
        <v>3.921992981849435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 t="e">
        <f>AI98*VLOOKUP('Données projet'!$B$10,Paramètres!$A$1:$I$89,3,0)*VLOOKUP('Données projet'!$B$10,Paramètres!$A$1:$I$89,5,0)</f>
        <v>#N/A</v>
      </c>
      <c r="AK98" s="14" t="e">
        <f t="shared" si="89"/>
        <v>#N/A</v>
      </c>
      <c r="AL98" s="22" t="e">
        <f t="shared" si="58"/>
        <v>#N/A</v>
      </c>
      <c r="AM98" s="62" t="e">
        <f t="shared" si="59"/>
        <v>#N/A</v>
      </c>
      <c r="AN98" s="62" t="e">
        <f ca="1">AVERAGE(OFFSET($AM$3,0,0,'Données projet'!$E$10+1,1))-AVERAGE(OFFSET($H$3,0,0,'Données projet'!$E$10+1,1))</f>
        <v>#N/A</v>
      </c>
      <c r="AO98" s="62" t="e">
        <f t="shared" si="90"/>
        <v>#N/A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 t="e">
        <f>EXP(-LN(2)/35)*AU97+(1-EXP(-LN(2)/35))/(LN(2)/35)*AQ98*AR98*VLOOKUP('Données projet'!$B$10,Paramètres!$A$1:$I$89,3,0)*0.475*44/12</f>
        <v>#N/A</v>
      </c>
      <c r="AV98" s="23" t="e">
        <f>EXP(-LN(2)/25)*AV97+(1-EXP(-LN(2)/25))/(LN(2)/25)*Calculateur!AQ98*Calculateur!AS98*VLOOKUP('Données projet'!$B$10,Paramètres!$A$1:$I$89,3,0)*0.475*44/12</f>
        <v>#N/A</v>
      </c>
      <c r="AW98" s="23" t="e">
        <f>EXP(-LN(2)/2)*AW97+(1-EXP(-LN(2)/2))/(LN(2)/2)*AQ98*AT98*VLOOKUP('Données projet'!$B$10,Paramètres!$A$1:$I$89,3,0)*0.475*44/12</f>
        <v>#N/A</v>
      </c>
      <c r="AX98" s="23" t="e">
        <f t="shared" si="60"/>
        <v>#N/A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70">
        <f t="shared" si="56"/>
        <v>256.66666666666669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-1.1368683772161603E-13</v>
      </c>
      <c r="O99" s="14">
        <f>N99*VLOOKUP('Données projet'!$B$9,Paramètres!$A$1:$I$89,3,0)*VLOOKUP('Données projet'!$B$9,Paramètres!$A$1:$I$89,5,0)</f>
        <v>-6.7984728957526396E-14</v>
      </c>
      <c r="P99" s="14" t="e">
        <f t="shared" si="87"/>
        <v>#NUM!</v>
      </c>
      <c r="Q99" s="22" t="e">
        <f t="shared" ref="Q99:Q130" si="107">(O99+P99)*0.475*44/12</f>
        <v>#NUM!</v>
      </c>
      <c r="R99" s="62" t="e">
        <f t="shared" si="55"/>
        <v>#NUM!</v>
      </c>
      <c r="S99" s="62">
        <f ca="1">AVERAGE(OFFSET($R$3,0,0,'Données projet'!$E$9+1,1))-AVERAGE(OFFSET($H$3,0,0,'Données projet'!$E$9+1,1))</f>
        <v>348.62416478262719</v>
      </c>
      <c r="T99" s="62">
        <f t="shared" si="88"/>
        <v>371.70674704563288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3.8450850879327252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2.6846031461069429E-9</v>
      </c>
      <c r="AC99" s="24">
        <f t="shared" si="57"/>
        <v>3.8450850906173284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 t="e">
        <f>AI99*VLOOKUP('Données projet'!$B$10,Paramètres!$A$1:$I$89,3,0)*VLOOKUP('Données projet'!$B$10,Paramètres!$A$1:$I$89,5,0)</f>
        <v>#N/A</v>
      </c>
      <c r="AK99" s="14" t="e">
        <f t="shared" si="89"/>
        <v>#N/A</v>
      </c>
      <c r="AL99" s="22" t="e">
        <f t="shared" si="58"/>
        <v>#N/A</v>
      </c>
      <c r="AM99" s="62" t="e">
        <f t="shared" si="59"/>
        <v>#N/A</v>
      </c>
      <c r="AN99" s="62" t="e">
        <f ca="1">AVERAGE(OFFSET($AM$3,0,0,'Données projet'!$E$10+1,1))-AVERAGE(OFFSET($H$3,0,0,'Données projet'!$E$10+1,1))</f>
        <v>#N/A</v>
      </c>
      <c r="AO99" s="62" t="e">
        <f t="shared" si="90"/>
        <v>#N/A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 t="e">
        <f>EXP(-LN(2)/35)*AU98+(1-EXP(-LN(2)/35))/(LN(2)/35)*AQ99*AR99*VLOOKUP('Données projet'!$B$10,Paramètres!$A$1:$I$89,3,0)*0.475*44/12</f>
        <v>#N/A</v>
      </c>
      <c r="AV99" s="23" t="e">
        <f>EXP(-LN(2)/25)*AV98+(1-EXP(-LN(2)/25))/(LN(2)/25)*Calculateur!AQ99*Calculateur!AS99*VLOOKUP('Données projet'!$B$10,Paramètres!$A$1:$I$89,3,0)*0.475*44/12</f>
        <v>#N/A</v>
      </c>
      <c r="AW99" s="23" t="e">
        <f>EXP(-LN(2)/2)*AW98+(1-EXP(-LN(2)/2))/(LN(2)/2)*AQ99*AT99*VLOOKUP('Données projet'!$B$10,Paramètres!$A$1:$I$89,3,0)*0.475*44/12</f>
        <v>#N/A</v>
      </c>
      <c r="AX99" s="23" t="e">
        <f t="shared" si="60"/>
        <v>#N/A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70">
        <f t="shared" si="56"/>
        <v>256.66666666666669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-1.1368683772161603E-13</v>
      </c>
      <c r="O100" s="14">
        <f>N100*VLOOKUP('Données projet'!$B$9,Paramètres!$A$1:$I$89,3,0)*VLOOKUP('Données projet'!$B$9,Paramètres!$A$1:$I$89,5,0)</f>
        <v>-6.7984728957526396E-14</v>
      </c>
      <c r="P100" s="14" t="e">
        <f t="shared" si="87"/>
        <v>#NUM!</v>
      </c>
      <c r="Q100" s="22" t="e">
        <f t="shared" si="107"/>
        <v>#NUM!</v>
      </c>
      <c r="R100" s="62" t="e">
        <f t="shared" si="55"/>
        <v>#NUM!</v>
      </c>
      <c r="S100" s="62">
        <f ca="1">AVERAGE(OFFSET($R$3,0,0,'Données projet'!$E$9+1,1))-AVERAGE(OFFSET($H$3,0,0,'Données projet'!$E$9+1,1))</f>
        <v>348.62416478262719</v>
      </c>
      <c r="T100" s="62">
        <f t="shared" si="88"/>
        <v>371.70674704563288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3.7696853146286919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1.8983010894069591E-9</v>
      </c>
      <c r="AC100" s="24">
        <f t="shared" si="57"/>
        <v>3.769685316526993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 t="e">
        <f>AI100*VLOOKUP('Données projet'!$B$10,Paramètres!$A$1:$I$89,3,0)*VLOOKUP('Données projet'!$B$10,Paramètres!$A$1:$I$89,5,0)</f>
        <v>#N/A</v>
      </c>
      <c r="AK100" s="14" t="e">
        <f t="shared" si="89"/>
        <v>#N/A</v>
      </c>
      <c r="AL100" s="22" t="e">
        <f t="shared" si="58"/>
        <v>#N/A</v>
      </c>
      <c r="AM100" s="62" t="e">
        <f t="shared" si="59"/>
        <v>#N/A</v>
      </c>
      <c r="AN100" s="62" t="e">
        <f ca="1">AVERAGE(OFFSET($AM$3,0,0,'Données projet'!$E$10+1,1))-AVERAGE(OFFSET($H$3,0,0,'Données projet'!$E$10+1,1))</f>
        <v>#N/A</v>
      </c>
      <c r="AO100" s="62" t="e">
        <f t="shared" si="90"/>
        <v>#N/A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 t="e">
        <f>EXP(-LN(2)/35)*AU99+(1-EXP(-LN(2)/35))/(LN(2)/35)*AQ100*AR100*VLOOKUP('Données projet'!$B$10,Paramètres!$A$1:$I$89,3,0)*0.475*44/12</f>
        <v>#N/A</v>
      </c>
      <c r="AV100" s="23" t="e">
        <f>EXP(-LN(2)/25)*AV99+(1-EXP(-LN(2)/25))/(LN(2)/25)*Calculateur!AQ100*Calculateur!AS100*VLOOKUP('Données projet'!$B$10,Paramètres!$A$1:$I$89,3,0)*0.475*44/12</f>
        <v>#N/A</v>
      </c>
      <c r="AW100" s="23" t="e">
        <f>EXP(-LN(2)/2)*AW99+(1-EXP(-LN(2)/2))/(LN(2)/2)*AQ100*AT100*VLOOKUP('Données projet'!$B$10,Paramètres!$A$1:$I$89,3,0)*0.475*44/12</f>
        <v>#N/A</v>
      </c>
      <c r="AX100" s="23" t="e">
        <f t="shared" si="60"/>
        <v>#N/A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70">
        <f t="shared" si="56"/>
        <v>256.66666666666669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-1.1368683772161603E-13</v>
      </c>
      <c r="O101" s="14">
        <f>N101*VLOOKUP('Données projet'!$B$9,Paramètres!$A$1:$I$89,3,0)*VLOOKUP('Données projet'!$B$9,Paramètres!$A$1:$I$89,5,0)</f>
        <v>-6.7984728957526396E-14</v>
      </c>
      <c r="P101" s="14" t="e">
        <f t="shared" si="87"/>
        <v>#NUM!</v>
      </c>
      <c r="Q101" s="22" t="e">
        <f t="shared" si="107"/>
        <v>#NUM!</v>
      </c>
      <c r="R101" s="62" t="e">
        <f t="shared" si="55"/>
        <v>#NUM!</v>
      </c>
      <c r="S101" s="62">
        <f ca="1">AVERAGE(OFFSET($R$3,0,0,'Données projet'!$E$9+1,1))-AVERAGE(OFFSET($H$3,0,0,'Données projet'!$E$9+1,1))</f>
        <v>348.62416478262719</v>
      </c>
      <c r="T101" s="62">
        <f t="shared" si="88"/>
        <v>371.70674704563288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3.6957640848898299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1.3423015730534714E-9</v>
      </c>
      <c r="AC101" s="24">
        <f t="shared" si="57"/>
        <v>3.6957640862321313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 t="e">
        <f>AI101*VLOOKUP('Données projet'!$B$10,Paramètres!$A$1:$I$89,3,0)*VLOOKUP('Données projet'!$B$10,Paramètres!$A$1:$I$89,5,0)</f>
        <v>#N/A</v>
      </c>
      <c r="AK101" s="14" t="e">
        <f t="shared" si="89"/>
        <v>#N/A</v>
      </c>
      <c r="AL101" s="22" t="e">
        <f t="shared" si="58"/>
        <v>#N/A</v>
      </c>
      <c r="AM101" s="62" t="e">
        <f t="shared" si="59"/>
        <v>#N/A</v>
      </c>
      <c r="AN101" s="62" t="e">
        <f ca="1">AVERAGE(OFFSET($AM$3,0,0,'Données projet'!$E$10+1,1))-AVERAGE(OFFSET($H$3,0,0,'Données projet'!$E$10+1,1))</f>
        <v>#N/A</v>
      </c>
      <c r="AO101" s="62" t="e">
        <f t="shared" si="90"/>
        <v>#N/A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 t="e">
        <f>EXP(-LN(2)/35)*AU100+(1-EXP(-LN(2)/35))/(LN(2)/35)*AQ101*AR101*VLOOKUP('Données projet'!$B$10,Paramètres!$A$1:$I$89,3,0)*0.475*44/12</f>
        <v>#N/A</v>
      </c>
      <c r="AV101" s="23" t="e">
        <f>EXP(-LN(2)/25)*AV100+(1-EXP(-LN(2)/25))/(LN(2)/25)*Calculateur!AQ101*Calculateur!AS101*VLOOKUP('Données projet'!$B$10,Paramètres!$A$1:$I$89,3,0)*0.475*44/12</f>
        <v>#N/A</v>
      </c>
      <c r="AW101" s="23" t="e">
        <f>EXP(-LN(2)/2)*AW100+(1-EXP(-LN(2)/2))/(LN(2)/2)*AQ101*AT101*VLOOKUP('Données projet'!$B$10,Paramètres!$A$1:$I$89,3,0)*0.475*44/12</f>
        <v>#N/A</v>
      </c>
      <c r="AX101" s="23" t="e">
        <f t="shared" si="60"/>
        <v>#N/A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70">
        <f t="shared" si="56"/>
        <v>256.66666666666669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-1.1368683772161603E-13</v>
      </c>
      <c r="O102" s="14">
        <f>N102*VLOOKUP('Données projet'!$B$9,Paramètres!$A$1:$I$89,3,0)*VLOOKUP('Données projet'!$B$9,Paramètres!$A$1:$I$89,5,0)</f>
        <v>-6.7984728957526396E-14</v>
      </c>
      <c r="P102" s="14" t="e">
        <f t="shared" si="87"/>
        <v>#NUM!</v>
      </c>
      <c r="Q102" s="22" t="e">
        <f t="shared" si="107"/>
        <v>#NUM!</v>
      </c>
      <c r="R102" s="62" t="e">
        <f t="shared" si="55"/>
        <v>#NUM!</v>
      </c>
      <c r="S102" s="62">
        <f ca="1">AVERAGE(OFFSET($R$3,0,0,'Données projet'!$E$9+1,1))-AVERAGE(OFFSET($H$3,0,0,'Données projet'!$E$9+1,1))</f>
        <v>348.62416478262719</v>
      </c>
      <c r="T102" s="62">
        <f t="shared" si="88"/>
        <v>371.70674704563288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3.6232924053786491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9.4915054470347956E-10</v>
      </c>
      <c r="AC102" s="24">
        <f t="shared" si="57"/>
        <v>3.6232924063277996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 t="e">
        <f>AI102*VLOOKUP('Données projet'!$B$10,Paramètres!$A$1:$I$89,3,0)*VLOOKUP('Données projet'!$B$10,Paramètres!$A$1:$I$89,5,0)</f>
        <v>#N/A</v>
      </c>
      <c r="AK102" s="14" t="e">
        <f t="shared" si="89"/>
        <v>#N/A</v>
      </c>
      <c r="AL102" s="22" t="e">
        <f t="shared" si="58"/>
        <v>#N/A</v>
      </c>
      <c r="AM102" s="62" t="e">
        <f t="shared" si="59"/>
        <v>#N/A</v>
      </c>
      <c r="AN102" s="62" t="e">
        <f ca="1">AVERAGE(OFFSET($AM$3,0,0,'Données projet'!$E$10+1,1))-AVERAGE(OFFSET($H$3,0,0,'Données projet'!$E$10+1,1))</f>
        <v>#N/A</v>
      </c>
      <c r="AO102" s="62" t="e">
        <f t="shared" si="90"/>
        <v>#N/A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 t="e">
        <f>EXP(-LN(2)/35)*AU101+(1-EXP(-LN(2)/35))/(LN(2)/35)*AQ102*AR102*VLOOKUP('Données projet'!$B$10,Paramètres!$A$1:$I$89,3,0)*0.475*44/12</f>
        <v>#N/A</v>
      </c>
      <c r="AV102" s="23" t="e">
        <f>EXP(-LN(2)/25)*AV101+(1-EXP(-LN(2)/25))/(LN(2)/25)*Calculateur!AQ102*Calculateur!AS102*VLOOKUP('Données projet'!$B$10,Paramètres!$A$1:$I$89,3,0)*0.475*44/12</f>
        <v>#N/A</v>
      </c>
      <c r="AW102" s="23" t="e">
        <f>EXP(-LN(2)/2)*AW101+(1-EXP(-LN(2)/2))/(LN(2)/2)*AQ102*AT102*VLOOKUP('Données projet'!$B$10,Paramètres!$A$1:$I$89,3,0)*0.475*44/12</f>
        <v>#N/A</v>
      </c>
      <c r="AX102" s="23" t="e">
        <f t="shared" si="60"/>
        <v>#N/A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70">
        <f t="shared" si="56"/>
        <v>256.66666666666669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-1.1368683772161603E-13</v>
      </c>
      <c r="O103" s="14">
        <f>N103*VLOOKUP('Données projet'!$B$9,Paramètres!$A$1:$I$89,3,0)*VLOOKUP('Données projet'!$B$9,Paramètres!$A$1:$I$89,5,0)</f>
        <v>-6.7984728957526396E-14</v>
      </c>
      <c r="P103" s="14" t="e">
        <f t="shared" si="87"/>
        <v>#NUM!</v>
      </c>
      <c r="Q103" s="22" t="e">
        <f t="shared" si="107"/>
        <v>#NUM!</v>
      </c>
      <c r="R103" s="62" t="e">
        <f t="shared" si="55"/>
        <v>#NUM!</v>
      </c>
      <c r="S103" s="62">
        <f ca="1">AVERAGE(OFFSET($R$3,0,0,'Données projet'!$E$9+1,1))-AVERAGE(OFFSET($H$3,0,0,'Données projet'!$E$9+1,1))</f>
        <v>348.62416478262719</v>
      </c>
      <c r="T103" s="62">
        <f t="shared" si="88"/>
        <v>371.70674704563288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3.5522418512993226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6.7115078652673572E-10</v>
      </c>
      <c r="AC103" s="24">
        <f t="shared" si="57"/>
        <v>3.5522418519704733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 t="e">
        <f>AI103*VLOOKUP('Données projet'!$B$10,Paramètres!$A$1:$I$89,3,0)*VLOOKUP('Données projet'!$B$10,Paramètres!$A$1:$I$89,5,0)</f>
        <v>#N/A</v>
      </c>
      <c r="AK103" s="14" t="e">
        <f t="shared" si="89"/>
        <v>#N/A</v>
      </c>
      <c r="AL103" s="22" t="e">
        <f t="shared" si="58"/>
        <v>#N/A</v>
      </c>
      <c r="AM103" s="62" t="e">
        <f t="shared" si="59"/>
        <v>#N/A</v>
      </c>
      <c r="AN103" s="62" t="e">
        <f ca="1">AVERAGE(OFFSET($AM$3,0,0,'Données projet'!$E$10+1,1))-AVERAGE(OFFSET($H$3,0,0,'Données projet'!$E$10+1,1))</f>
        <v>#N/A</v>
      </c>
      <c r="AO103" s="62" t="e">
        <f t="shared" si="90"/>
        <v>#N/A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 t="e">
        <f>EXP(-LN(2)/35)*AU102+(1-EXP(-LN(2)/35))/(LN(2)/35)*AQ103*AR103*VLOOKUP('Données projet'!$B$10,Paramètres!$A$1:$I$89,3,0)*0.475*44/12</f>
        <v>#N/A</v>
      </c>
      <c r="AV103" s="23" t="e">
        <f>EXP(-LN(2)/25)*AV102+(1-EXP(-LN(2)/25))/(LN(2)/25)*Calculateur!AQ103*Calculateur!AS103*VLOOKUP('Données projet'!$B$10,Paramètres!$A$1:$I$89,3,0)*0.475*44/12</f>
        <v>#N/A</v>
      </c>
      <c r="AW103" s="23" t="e">
        <f>EXP(-LN(2)/2)*AW102+(1-EXP(-LN(2)/2))/(LN(2)/2)*AQ103*AT103*VLOOKUP('Données projet'!$B$10,Paramètres!$A$1:$I$89,3,0)*0.475*44/12</f>
        <v>#N/A</v>
      </c>
      <c r="AX103" s="23" t="e">
        <f t="shared" si="60"/>
        <v>#N/A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70">
        <f t="shared" si="56"/>
        <v>256.66666666666669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-1.1368683772161603E-13</v>
      </c>
      <c r="O104" s="14">
        <f>N104*VLOOKUP('Données projet'!$B$9,Paramètres!$A$1:$I$89,3,0)*VLOOKUP('Données projet'!$B$9,Paramètres!$A$1:$I$89,5,0)</f>
        <v>-6.7984728957526396E-14</v>
      </c>
      <c r="P104" s="14" t="e">
        <f t="shared" si="8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348.62416478262719</v>
      </c>
      <c r="T104" s="62">
        <f t="shared" si="88"/>
        <v>371.70674704563288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3.4825845552489327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4.7457527235173978E-10</v>
      </c>
      <c r="AC104" s="24">
        <f t="shared" si="57"/>
        <v>3.4825845557235082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 t="e">
        <f>AI104*VLOOKUP('Données projet'!$B$10,Paramètres!$A$1:$I$89,3,0)*VLOOKUP('Données projet'!$B$10,Paramètres!$A$1:$I$89,5,0)</f>
        <v>#N/A</v>
      </c>
      <c r="AK104" s="14" t="e">
        <f t="shared" si="89"/>
        <v>#N/A</v>
      </c>
      <c r="AL104" s="22" t="e">
        <f t="shared" si="58"/>
        <v>#N/A</v>
      </c>
      <c r="AM104" s="62" t="e">
        <f t="shared" si="59"/>
        <v>#N/A</v>
      </c>
      <c r="AN104" s="62" t="e">
        <f ca="1">AVERAGE(OFFSET($AM$3,0,0,'Données projet'!$E$10+1,1))-AVERAGE(OFFSET($H$3,0,0,'Données projet'!$E$10+1,1))</f>
        <v>#N/A</v>
      </c>
      <c r="AO104" s="62" t="e">
        <f t="shared" si="90"/>
        <v>#N/A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 t="e">
        <f>EXP(-LN(2)/35)*AU103+(1-EXP(-LN(2)/35))/(LN(2)/35)*AQ104*AR104*VLOOKUP('Données projet'!$B$10,Paramètres!$A$1:$I$89,3,0)*0.475*44/12</f>
        <v>#N/A</v>
      </c>
      <c r="AV104" s="23" t="e">
        <f>EXP(-LN(2)/25)*AV103+(1-EXP(-LN(2)/25))/(LN(2)/25)*Calculateur!AQ104*Calculateur!AS104*VLOOKUP('Données projet'!$B$10,Paramètres!$A$1:$I$89,3,0)*0.475*44/12</f>
        <v>#N/A</v>
      </c>
      <c r="AW104" s="23" t="e">
        <f>EXP(-LN(2)/2)*AW103+(1-EXP(-LN(2)/2))/(LN(2)/2)*AQ104*AT104*VLOOKUP('Données projet'!$B$10,Paramètres!$A$1:$I$89,3,0)*0.475*44/12</f>
        <v>#N/A</v>
      </c>
      <c r="AX104" s="23" t="e">
        <f t="shared" si="60"/>
        <v>#N/A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70">
        <f t="shared" si="56"/>
        <v>256.66666666666669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-1.1368683772161603E-13</v>
      </c>
      <c r="O105" s="14">
        <f>N105*VLOOKUP('Données projet'!$B$9,Paramètres!$A$1:$I$89,3,0)*VLOOKUP('Données projet'!$B$9,Paramètres!$A$1:$I$89,5,0)</f>
        <v>-6.7984728957526396E-14</v>
      </c>
      <c r="P105" s="14" t="e">
        <f t="shared" si="8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348.62416478262719</v>
      </c>
      <c r="T105" s="62">
        <f t="shared" si="88"/>
        <v>371.70674704563288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3.414293196287336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3.3557539326336786E-10</v>
      </c>
      <c r="AC105" s="24">
        <f t="shared" si="57"/>
        <v>3.4142931966229115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 t="e">
        <f>AI105*VLOOKUP('Données projet'!$B$10,Paramètres!$A$1:$I$89,3,0)*VLOOKUP('Données projet'!$B$10,Paramètres!$A$1:$I$89,5,0)</f>
        <v>#N/A</v>
      </c>
      <c r="AK105" s="14" t="e">
        <f t="shared" si="89"/>
        <v>#N/A</v>
      </c>
      <c r="AL105" s="22" t="e">
        <f t="shared" si="58"/>
        <v>#N/A</v>
      </c>
      <c r="AM105" s="62" t="e">
        <f t="shared" si="59"/>
        <v>#N/A</v>
      </c>
      <c r="AN105" s="62" t="e">
        <f ca="1">AVERAGE(OFFSET($AM$3,0,0,'Données projet'!$E$10+1,1))-AVERAGE(OFFSET($H$3,0,0,'Données projet'!$E$10+1,1))</f>
        <v>#N/A</v>
      </c>
      <c r="AO105" s="62" t="e">
        <f t="shared" si="90"/>
        <v>#N/A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 t="e">
        <f>EXP(-LN(2)/35)*AU104+(1-EXP(-LN(2)/35))/(LN(2)/35)*AQ105*AR105*VLOOKUP('Données projet'!$B$10,Paramètres!$A$1:$I$89,3,0)*0.475*44/12</f>
        <v>#N/A</v>
      </c>
      <c r="AV105" s="23" t="e">
        <f>EXP(-LN(2)/25)*AV104+(1-EXP(-LN(2)/25))/(LN(2)/25)*Calculateur!AQ105*Calculateur!AS105*VLOOKUP('Données projet'!$B$10,Paramètres!$A$1:$I$89,3,0)*0.475*44/12</f>
        <v>#N/A</v>
      </c>
      <c r="AW105" s="23" t="e">
        <f>EXP(-LN(2)/2)*AW104+(1-EXP(-LN(2)/2))/(LN(2)/2)*AQ105*AT105*VLOOKUP('Données projet'!$B$10,Paramètres!$A$1:$I$89,3,0)*0.475*44/12</f>
        <v>#N/A</v>
      </c>
      <c r="AX105" s="23" t="e">
        <f t="shared" si="60"/>
        <v>#N/A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70">
        <f t="shared" si="56"/>
        <v>256.66666666666669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-1.1368683772161603E-13</v>
      </c>
      <c r="O106" s="14">
        <f>N106*VLOOKUP('Données projet'!$B$9,Paramètres!$A$1:$I$89,3,0)*VLOOKUP('Données projet'!$B$9,Paramètres!$A$1:$I$89,5,0)</f>
        <v>-6.7984728957526396E-14</v>
      </c>
      <c r="P106" s="14" t="e">
        <f t="shared" si="8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348.62416478262719</v>
      </c>
      <c r="T106" s="62">
        <f t="shared" si="88"/>
        <v>371.70674704563288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3.3473409892213599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2.3728763617586989E-10</v>
      </c>
      <c r="AC106" s="24">
        <f t="shared" si="57"/>
        <v>3.3473409894586474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 t="e">
        <f>AI106*VLOOKUP('Données projet'!$B$10,Paramètres!$A$1:$I$89,3,0)*VLOOKUP('Données projet'!$B$10,Paramètres!$A$1:$I$89,5,0)</f>
        <v>#N/A</v>
      </c>
      <c r="AK106" s="14" t="e">
        <f t="shared" si="89"/>
        <v>#N/A</v>
      </c>
      <c r="AL106" s="22" t="e">
        <f t="shared" si="58"/>
        <v>#N/A</v>
      </c>
      <c r="AM106" s="62" t="e">
        <f t="shared" si="59"/>
        <v>#N/A</v>
      </c>
      <c r="AN106" s="62" t="e">
        <f ca="1">AVERAGE(OFFSET($AM$3,0,0,'Données projet'!$E$10+1,1))-AVERAGE(OFFSET($H$3,0,0,'Données projet'!$E$10+1,1))</f>
        <v>#N/A</v>
      </c>
      <c r="AO106" s="62" t="e">
        <f t="shared" si="90"/>
        <v>#N/A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 t="e">
        <f>EXP(-LN(2)/35)*AU105+(1-EXP(-LN(2)/35))/(LN(2)/35)*AQ106*AR106*VLOOKUP('Données projet'!$B$10,Paramètres!$A$1:$I$89,3,0)*0.475*44/12</f>
        <v>#N/A</v>
      </c>
      <c r="AV106" s="23" t="e">
        <f>EXP(-LN(2)/25)*AV105+(1-EXP(-LN(2)/25))/(LN(2)/25)*Calculateur!AQ106*Calculateur!AS106*VLOOKUP('Données projet'!$B$10,Paramètres!$A$1:$I$89,3,0)*0.475*44/12</f>
        <v>#N/A</v>
      </c>
      <c r="AW106" s="23" t="e">
        <f>EXP(-LN(2)/2)*AW105+(1-EXP(-LN(2)/2))/(LN(2)/2)*AQ106*AT106*VLOOKUP('Données projet'!$B$10,Paramètres!$A$1:$I$89,3,0)*0.475*44/12</f>
        <v>#N/A</v>
      </c>
      <c r="AX106" s="23" t="e">
        <f t="shared" si="60"/>
        <v>#N/A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70">
        <f t="shared" si="56"/>
        <v>256.66666666666669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-1.1368683772161603E-13</v>
      </c>
      <c r="O107" s="14">
        <f>N107*VLOOKUP('Données projet'!$B$9,Paramètres!$A$1:$I$89,3,0)*VLOOKUP('Données projet'!$B$9,Paramètres!$A$1:$I$89,5,0)</f>
        <v>-6.7984728957526396E-14</v>
      </c>
      <c r="P107" s="14" t="e">
        <f t="shared" si="8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348.62416478262719</v>
      </c>
      <c r="T107" s="62">
        <f t="shared" si="88"/>
        <v>371.70674704563288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3.2817016740991338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1.6778769663168393E-10</v>
      </c>
      <c r="AC107" s="24">
        <f t="shared" si="57"/>
        <v>3.2817016742669214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 t="e">
        <f>AI107*VLOOKUP('Données projet'!$B$10,Paramètres!$A$1:$I$89,3,0)*VLOOKUP('Données projet'!$B$10,Paramètres!$A$1:$I$89,5,0)</f>
        <v>#N/A</v>
      </c>
      <c r="AK107" s="14" t="e">
        <f t="shared" si="89"/>
        <v>#N/A</v>
      </c>
      <c r="AL107" s="22" t="e">
        <f t="shared" si="58"/>
        <v>#N/A</v>
      </c>
      <c r="AM107" s="62" t="e">
        <f t="shared" si="59"/>
        <v>#N/A</v>
      </c>
      <c r="AN107" s="62" t="e">
        <f ca="1">AVERAGE(OFFSET($AM$3,0,0,'Données projet'!$E$10+1,1))-AVERAGE(OFFSET($H$3,0,0,'Données projet'!$E$10+1,1))</f>
        <v>#N/A</v>
      </c>
      <c r="AO107" s="62" t="e">
        <f t="shared" si="90"/>
        <v>#N/A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 t="e">
        <f>EXP(-LN(2)/35)*AU106+(1-EXP(-LN(2)/35))/(LN(2)/35)*AQ107*AR107*VLOOKUP('Données projet'!$B$10,Paramètres!$A$1:$I$89,3,0)*0.475*44/12</f>
        <v>#N/A</v>
      </c>
      <c r="AV107" s="23" t="e">
        <f>EXP(-LN(2)/25)*AV106+(1-EXP(-LN(2)/25))/(LN(2)/25)*Calculateur!AQ107*Calculateur!AS107*VLOOKUP('Données projet'!$B$10,Paramètres!$A$1:$I$89,3,0)*0.475*44/12</f>
        <v>#N/A</v>
      </c>
      <c r="AW107" s="23" t="e">
        <f>EXP(-LN(2)/2)*AW106+(1-EXP(-LN(2)/2))/(LN(2)/2)*AQ107*AT107*VLOOKUP('Données projet'!$B$10,Paramètres!$A$1:$I$89,3,0)*0.475*44/12</f>
        <v>#N/A</v>
      </c>
      <c r="AX107" s="23" t="e">
        <f t="shared" si="60"/>
        <v>#N/A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70">
        <f t="shared" si="56"/>
        <v>256.66666666666669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-1.1368683772161603E-13</v>
      </c>
      <c r="O108" s="14">
        <f>N108*VLOOKUP('Données projet'!$B$9,Paramètres!$A$1:$I$89,3,0)*VLOOKUP('Données projet'!$B$9,Paramètres!$A$1:$I$89,5,0)</f>
        <v>-6.7984728957526396E-14</v>
      </c>
      <c r="P108" s="14" t="e">
        <f t="shared" si="8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348.62416478262719</v>
      </c>
      <c r="T108" s="62">
        <f t="shared" si="88"/>
        <v>371.70674704563288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3.2173495059104256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1.1864381808793494E-10</v>
      </c>
      <c r="AC108" s="24">
        <f t="shared" si="57"/>
        <v>3.2173495060290693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 t="e">
        <f>AI108*VLOOKUP('Données projet'!$B$10,Paramètres!$A$1:$I$89,3,0)*VLOOKUP('Données projet'!$B$10,Paramètres!$A$1:$I$89,5,0)</f>
        <v>#N/A</v>
      </c>
      <c r="AK108" s="14" t="e">
        <f t="shared" si="89"/>
        <v>#N/A</v>
      </c>
      <c r="AL108" s="22" t="e">
        <f t="shared" si="58"/>
        <v>#N/A</v>
      </c>
      <c r="AM108" s="62" t="e">
        <f t="shared" si="59"/>
        <v>#N/A</v>
      </c>
      <c r="AN108" s="62" t="e">
        <f ca="1">AVERAGE(OFFSET($AM$3,0,0,'Données projet'!$E$10+1,1))-AVERAGE(OFFSET($H$3,0,0,'Données projet'!$E$10+1,1))</f>
        <v>#N/A</v>
      </c>
      <c r="AO108" s="62" t="e">
        <f t="shared" si="90"/>
        <v>#N/A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 t="e">
        <f>EXP(-LN(2)/35)*AU107+(1-EXP(-LN(2)/35))/(LN(2)/35)*AQ108*AR108*VLOOKUP('Données projet'!$B$10,Paramètres!$A$1:$I$89,3,0)*0.475*44/12</f>
        <v>#N/A</v>
      </c>
      <c r="AV108" s="23" t="e">
        <f>EXP(-LN(2)/25)*AV107+(1-EXP(-LN(2)/25))/(LN(2)/25)*Calculateur!AQ108*Calculateur!AS108*VLOOKUP('Données projet'!$B$10,Paramètres!$A$1:$I$89,3,0)*0.475*44/12</f>
        <v>#N/A</v>
      </c>
      <c r="AW108" s="23" t="e">
        <f>EXP(-LN(2)/2)*AW107+(1-EXP(-LN(2)/2))/(LN(2)/2)*AQ108*AT108*VLOOKUP('Données projet'!$B$10,Paramètres!$A$1:$I$89,3,0)*0.475*44/12</f>
        <v>#N/A</v>
      </c>
      <c r="AX108" s="23" t="e">
        <f t="shared" si="60"/>
        <v>#N/A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70">
        <f t="shared" si="56"/>
        <v>256.66666666666669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-1.1368683772161603E-13</v>
      </c>
      <c r="O109" s="14">
        <f>N109*VLOOKUP('Données projet'!$B$9,Paramètres!$A$1:$I$89,3,0)*VLOOKUP('Données projet'!$B$9,Paramètres!$A$1:$I$89,5,0)</f>
        <v>-6.7984728957526396E-14</v>
      </c>
      <c r="P109" s="14" t="e">
        <f t="shared" si="8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348.62416478262719</v>
      </c>
      <c r="T109" s="62">
        <f t="shared" si="88"/>
        <v>371.70674704563288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3.154259244488951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8.3893848315841965E-11</v>
      </c>
      <c r="AC109" s="24">
        <f t="shared" si="57"/>
        <v>3.1542592445728448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 t="e">
        <f>AI109*VLOOKUP('Données projet'!$B$10,Paramètres!$A$1:$I$89,3,0)*VLOOKUP('Données projet'!$B$10,Paramètres!$A$1:$I$89,5,0)</f>
        <v>#N/A</v>
      </c>
      <c r="AK109" s="14" t="e">
        <f t="shared" si="89"/>
        <v>#N/A</v>
      </c>
      <c r="AL109" s="22" t="e">
        <f t="shared" si="58"/>
        <v>#N/A</v>
      </c>
      <c r="AM109" s="62" t="e">
        <f t="shared" si="59"/>
        <v>#N/A</v>
      </c>
      <c r="AN109" s="62" t="e">
        <f ca="1">AVERAGE(OFFSET($AM$3,0,0,'Données projet'!$E$10+1,1))-AVERAGE(OFFSET($H$3,0,0,'Données projet'!$E$10+1,1))</f>
        <v>#N/A</v>
      </c>
      <c r="AO109" s="62" t="e">
        <f t="shared" si="90"/>
        <v>#N/A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 t="e">
        <f>EXP(-LN(2)/35)*AU108+(1-EXP(-LN(2)/35))/(LN(2)/35)*AQ109*AR109*VLOOKUP('Données projet'!$B$10,Paramètres!$A$1:$I$89,3,0)*0.475*44/12</f>
        <v>#N/A</v>
      </c>
      <c r="AV109" s="23" t="e">
        <f>EXP(-LN(2)/25)*AV108+(1-EXP(-LN(2)/25))/(LN(2)/25)*Calculateur!AQ109*Calculateur!AS109*VLOOKUP('Données projet'!$B$10,Paramètres!$A$1:$I$89,3,0)*0.475*44/12</f>
        <v>#N/A</v>
      </c>
      <c r="AW109" s="23" t="e">
        <f>EXP(-LN(2)/2)*AW108+(1-EXP(-LN(2)/2))/(LN(2)/2)*AQ109*AT109*VLOOKUP('Données projet'!$B$10,Paramètres!$A$1:$I$89,3,0)*0.475*44/12</f>
        <v>#N/A</v>
      </c>
      <c r="AX109" s="23" t="e">
        <f t="shared" si="60"/>
        <v>#N/A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70">
        <f t="shared" si="56"/>
        <v>256.66666666666669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-1.1368683772161603E-13</v>
      </c>
      <c r="O110" s="14">
        <f>N110*VLOOKUP('Données projet'!$B$9,Paramètres!$A$1:$I$89,3,0)*VLOOKUP('Données projet'!$B$9,Paramètres!$A$1:$I$89,5,0)</f>
        <v>-6.7984728957526396E-14</v>
      </c>
      <c r="P110" s="14" t="e">
        <f t="shared" si="8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348.62416478262719</v>
      </c>
      <c r="T110" s="62">
        <f t="shared" si="88"/>
        <v>371.70674704563288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3.0924061446126916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5.9321909043967472E-11</v>
      </c>
      <c r="AC110" s="24">
        <f t="shared" si="57"/>
        <v>3.0924061446720135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 t="e">
        <f>AI110*VLOOKUP('Données projet'!$B$10,Paramètres!$A$1:$I$89,3,0)*VLOOKUP('Données projet'!$B$10,Paramètres!$A$1:$I$89,5,0)</f>
        <v>#N/A</v>
      </c>
      <c r="AK110" s="14" t="e">
        <f t="shared" si="89"/>
        <v>#N/A</v>
      </c>
      <c r="AL110" s="22" t="e">
        <f t="shared" si="58"/>
        <v>#N/A</v>
      </c>
      <c r="AM110" s="62" t="e">
        <f t="shared" si="59"/>
        <v>#N/A</v>
      </c>
      <c r="AN110" s="62" t="e">
        <f ca="1">AVERAGE(OFFSET($AM$3,0,0,'Données projet'!$E$10+1,1))-AVERAGE(OFFSET($H$3,0,0,'Données projet'!$E$10+1,1))</f>
        <v>#N/A</v>
      </c>
      <c r="AO110" s="62" t="e">
        <f t="shared" si="90"/>
        <v>#N/A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 t="e">
        <f>EXP(-LN(2)/35)*AU109+(1-EXP(-LN(2)/35))/(LN(2)/35)*AQ110*AR110*VLOOKUP('Données projet'!$B$10,Paramètres!$A$1:$I$89,3,0)*0.475*44/12</f>
        <v>#N/A</v>
      </c>
      <c r="AV110" s="23" t="e">
        <f>EXP(-LN(2)/25)*AV109+(1-EXP(-LN(2)/25))/(LN(2)/25)*Calculateur!AQ110*Calculateur!AS110*VLOOKUP('Données projet'!$B$10,Paramètres!$A$1:$I$89,3,0)*0.475*44/12</f>
        <v>#N/A</v>
      </c>
      <c r="AW110" s="23" t="e">
        <f>EXP(-LN(2)/2)*AW109+(1-EXP(-LN(2)/2))/(LN(2)/2)*AQ110*AT110*VLOOKUP('Données projet'!$B$10,Paramètres!$A$1:$I$89,3,0)*0.475*44/12</f>
        <v>#N/A</v>
      </c>
      <c r="AX110" s="23" t="e">
        <f t="shared" si="60"/>
        <v>#N/A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70">
        <f t="shared" si="56"/>
        <v>256.66666666666669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-1.1368683772161603E-13</v>
      </c>
      <c r="O111" s="14">
        <f>N111*VLOOKUP('Données projet'!$B$9,Paramètres!$A$1:$I$89,3,0)*VLOOKUP('Données projet'!$B$9,Paramètres!$A$1:$I$89,5,0)</f>
        <v>-6.7984728957526396E-14</v>
      </c>
      <c r="P111" s="14" t="e">
        <f t="shared" si="8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348.62416478262719</v>
      </c>
      <c r="T111" s="62">
        <f t="shared" si="88"/>
        <v>371.70674704563288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3.0317659462983402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4.1946924157920983E-11</v>
      </c>
      <c r="AC111" s="24">
        <f t="shared" si="57"/>
        <v>3.0317659463402871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 t="e">
        <f>AI111*VLOOKUP('Données projet'!$B$10,Paramètres!$A$1:$I$89,3,0)*VLOOKUP('Données projet'!$B$10,Paramètres!$A$1:$I$89,5,0)</f>
        <v>#N/A</v>
      </c>
      <c r="AK111" s="14" t="e">
        <f t="shared" si="89"/>
        <v>#N/A</v>
      </c>
      <c r="AL111" s="22" t="e">
        <f t="shared" si="58"/>
        <v>#N/A</v>
      </c>
      <c r="AM111" s="62" t="e">
        <f t="shared" si="59"/>
        <v>#N/A</v>
      </c>
      <c r="AN111" s="62" t="e">
        <f ca="1">AVERAGE(OFFSET($AM$3,0,0,'Données projet'!$E$10+1,1))-AVERAGE(OFFSET($H$3,0,0,'Données projet'!$E$10+1,1))</f>
        <v>#N/A</v>
      </c>
      <c r="AO111" s="62" t="e">
        <f t="shared" si="90"/>
        <v>#N/A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 t="e">
        <f>EXP(-LN(2)/35)*AU110+(1-EXP(-LN(2)/35))/(LN(2)/35)*AQ111*AR111*VLOOKUP('Données projet'!$B$10,Paramètres!$A$1:$I$89,3,0)*0.475*44/12</f>
        <v>#N/A</v>
      </c>
      <c r="AV111" s="23" t="e">
        <f>EXP(-LN(2)/25)*AV110+(1-EXP(-LN(2)/25))/(LN(2)/25)*Calculateur!AQ111*Calculateur!AS111*VLOOKUP('Données projet'!$B$10,Paramètres!$A$1:$I$89,3,0)*0.475*44/12</f>
        <v>#N/A</v>
      </c>
      <c r="AW111" s="23" t="e">
        <f>EXP(-LN(2)/2)*AW110+(1-EXP(-LN(2)/2))/(LN(2)/2)*AQ111*AT111*VLOOKUP('Données projet'!$B$10,Paramètres!$A$1:$I$89,3,0)*0.475*44/12</f>
        <v>#N/A</v>
      </c>
      <c r="AX111" s="23" t="e">
        <f t="shared" si="60"/>
        <v>#N/A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70">
        <f t="shared" si="56"/>
        <v>256.66666666666669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-1.1368683772161603E-13</v>
      </c>
      <c r="O112" s="14">
        <f>N112*VLOOKUP('Données projet'!$B$9,Paramètres!$A$1:$I$89,3,0)*VLOOKUP('Données projet'!$B$9,Paramètres!$A$1:$I$89,5,0)</f>
        <v>-6.7984728957526396E-14</v>
      </c>
      <c r="P112" s="14" t="e">
        <f t="shared" si="8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348.62416478262719</v>
      </c>
      <c r="T112" s="62">
        <f t="shared" si="88"/>
        <v>371.70674704563288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2.972314865286064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2.9660954521983736E-11</v>
      </c>
      <c r="AC112" s="24">
        <f t="shared" si="57"/>
        <v>2.9723148653157252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 t="e">
        <f>AI112*VLOOKUP('Données projet'!$B$10,Paramètres!$A$1:$I$89,3,0)*VLOOKUP('Données projet'!$B$10,Paramètres!$A$1:$I$89,5,0)</f>
        <v>#N/A</v>
      </c>
      <c r="AK112" s="14" t="e">
        <f t="shared" si="89"/>
        <v>#N/A</v>
      </c>
      <c r="AL112" s="22" t="e">
        <f t="shared" si="58"/>
        <v>#N/A</v>
      </c>
      <c r="AM112" s="62" t="e">
        <f t="shared" si="59"/>
        <v>#N/A</v>
      </c>
      <c r="AN112" s="62" t="e">
        <f ca="1">AVERAGE(OFFSET($AM$3,0,0,'Données projet'!$E$10+1,1))-AVERAGE(OFFSET($H$3,0,0,'Données projet'!$E$10+1,1))</f>
        <v>#N/A</v>
      </c>
      <c r="AO112" s="62" t="e">
        <f t="shared" si="90"/>
        <v>#N/A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 t="e">
        <f>EXP(-LN(2)/35)*AU111+(1-EXP(-LN(2)/35))/(LN(2)/35)*AQ112*AR112*VLOOKUP('Données projet'!$B$10,Paramètres!$A$1:$I$89,3,0)*0.475*44/12</f>
        <v>#N/A</v>
      </c>
      <c r="AV112" s="23" t="e">
        <f>EXP(-LN(2)/25)*AV111+(1-EXP(-LN(2)/25))/(LN(2)/25)*Calculateur!AQ112*Calculateur!AS112*VLOOKUP('Données projet'!$B$10,Paramètres!$A$1:$I$89,3,0)*0.475*44/12</f>
        <v>#N/A</v>
      </c>
      <c r="AW112" s="23" t="e">
        <f>EXP(-LN(2)/2)*AW111+(1-EXP(-LN(2)/2))/(LN(2)/2)*AQ112*AT112*VLOOKUP('Données projet'!$B$10,Paramètres!$A$1:$I$89,3,0)*0.475*44/12</f>
        <v>#N/A</v>
      </c>
      <c r="AX112" s="23" t="e">
        <f t="shared" si="60"/>
        <v>#N/A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70">
        <f t="shared" si="56"/>
        <v>256.66666666666669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-1.1368683772161603E-13</v>
      </c>
      <c r="O113" s="14">
        <f>N113*VLOOKUP('Données projet'!$B$9,Paramètres!$A$1:$I$89,3,0)*VLOOKUP('Données projet'!$B$9,Paramètres!$A$1:$I$89,5,0)</f>
        <v>-6.7984728957526396E-14</v>
      </c>
      <c r="P113" s="14" t="e">
        <f t="shared" si="8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348.62416478262719</v>
      </c>
      <c r="T113" s="62">
        <f t="shared" si="88"/>
        <v>371.70674704563288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2.9140295837108598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2.0973462078960491E-11</v>
      </c>
      <c r="AC113" s="24">
        <f t="shared" si="57"/>
        <v>2.9140295837318333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 t="e">
        <f>AI113*VLOOKUP('Données projet'!$B$10,Paramètres!$A$1:$I$89,3,0)*VLOOKUP('Données projet'!$B$10,Paramètres!$A$1:$I$89,5,0)</f>
        <v>#N/A</v>
      </c>
      <c r="AK113" s="14" t="e">
        <f t="shared" si="89"/>
        <v>#N/A</v>
      </c>
      <c r="AL113" s="22" t="e">
        <f t="shared" si="58"/>
        <v>#N/A</v>
      </c>
      <c r="AM113" s="62" t="e">
        <f t="shared" si="59"/>
        <v>#N/A</v>
      </c>
      <c r="AN113" s="62" t="e">
        <f ca="1">AVERAGE(OFFSET($AM$3,0,0,'Données projet'!$E$10+1,1))-AVERAGE(OFFSET($H$3,0,0,'Données projet'!$E$10+1,1))</f>
        <v>#N/A</v>
      </c>
      <c r="AO113" s="62" t="e">
        <f t="shared" si="90"/>
        <v>#N/A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 t="e">
        <f>EXP(-LN(2)/35)*AU112+(1-EXP(-LN(2)/35))/(LN(2)/35)*AQ113*AR113*VLOOKUP('Données projet'!$B$10,Paramètres!$A$1:$I$89,3,0)*0.475*44/12</f>
        <v>#N/A</v>
      </c>
      <c r="AV113" s="23" t="e">
        <f>EXP(-LN(2)/25)*AV112+(1-EXP(-LN(2)/25))/(LN(2)/25)*Calculateur!AQ113*Calculateur!AS113*VLOOKUP('Données projet'!$B$10,Paramètres!$A$1:$I$89,3,0)*0.475*44/12</f>
        <v>#N/A</v>
      </c>
      <c r="AW113" s="23" t="e">
        <f>EXP(-LN(2)/2)*AW112+(1-EXP(-LN(2)/2))/(LN(2)/2)*AQ113*AT113*VLOOKUP('Données projet'!$B$10,Paramètres!$A$1:$I$89,3,0)*0.475*44/12</f>
        <v>#N/A</v>
      </c>
      <c r="AX113" s="23" t="e">
        <f t="shared" si="60"/>
        <v>#N/A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70">
        <f t="shared" si="56"/>
        <v>256.66666666666669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-1.1368683772161603E-13</v>
      </c>
      <c r="O114" s="14">
        <f>N114*VLOOKUP('Données projet'!$B$9,Paramètres!$A$1:$I$89,3,0)*VLOOKUP('Données projet'!$B$9,Paramètres!$A$1:$I$89,5,0)</f>
        <v>-6.7984728957526396E-14</v>
      </c>
      <c r="P114" s="14" t="e">
        <f t="shared" si="8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348.62416478262719</v>
      </c>
      <c r="T114" s="62">
        <f t="shared" si="88"/>
        <v>371.70674704563288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2.856887240956834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1.4830477260991868E-11</v>
      </c>
      <c r="AC114" s="24">
        <f t="shared" si="57"/>
        <v>2.8568872409716644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 t="e">
        <f>AI114*VLOOKUP('Données projet'!$B$10,Paramètres!$A$1:$I$89,3,0)*VLOOKUP('Données projet'!$B$10,Paramètres!$A$1:$I$89,5,0)</f>
        <v>#N/A</v>
      </c>
      <c r="AK114" s="14" t="e">
        <f t="shared" si="89"/>
        <v>#N/A</v>
      </c>
      <c r="AL114" s="22" t="e">
        <f t="shared" si="58"/>
        <v>#N/A</v>
      </c>
      <c r="AM114" s="62" t="e">
        <f t="shared" si="59"/>
        <v>#N/A</v>
      </c>
      <c r="AN114" s="62" t="e">
        <f ca="1">AVERAGE(OFFSET($AM$3,0,0,'Données projet'!$E$10+1,1))-AVERAGE(OFFSET($H$3,0,0,'Données projet'!$E$10+1,1))</f>
        <v>#N/A</v>
      </c>
      <c r="AO114" s="62" t="e">
        <f t="shared" si="90"/>
        <v>#N/A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 t="e">
        <f>EXP(-LN(2)/35)*AU113+(1-EXP(-LN(2)/35))/(LN(2)/35)*AQ114*AR114*VLOOKUP('Données projet'!$B$10,Paramètres!$A$1:$I$89,3,0)*0.475*44/12</f>
        <v>#N/A</v>
      </c>
      <c r="AV114" s="23" t="e">
        <f>EXP(-LN(2)/25)*AV113+(1-EXP(-LN(2)/25))/(LN(2)/25)*Calculateur!AQ114*Calculateur!AS114*VLOOKUP('Données projet'!$B$10,Paramètres!$A$1:$I$89,3,0)*0.475*44/12</f>
        <v>#N/A</v>
      </c>
      <c r="AW114" s="23" t="e">
        <f>EXP(-LN(2)/2)*AW113+(1-EXP(-LN(2)/2))/(LN(2)/2)*AQ114*AT114*VLOOKUP('Données projet'!$B$10,Paramètres!$A$1:$I$89,3,0)*0.475*44/12</f>
        <v>#N/A</v>
      </c>
      <c r="AX114" s="23" t="e">
        <f t="shared" si="60"/>
        <v>#N/A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70">
        <f t="shared" si="56"/>
        <v>256.66666666666669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-1.1368683772161603E-13</v>
      </c>
      <c r="O115" s="14">
        <f>N115*VLOOKUP('Données projet'!$B$9,Paramètres!$A$1:$I$89,3,0)*VLOOKUP('Données projet'!$B$9,Paramètres!$A$1:$I$89,5,0)</f>
        <v>-6.7984728957526396E-14</v>
      </c>
      <c r="P115" s="14" t="e">
        <f t="shared" si="8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348.62416478262719</v>
      </c>
      <c r="T115" s="62">
        <f t="shared" si="88"/>
        <v>371.70674704563288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2.8008654246908269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1.0486731039480246E-11</v>
      </c>
      <c r="AC115" s="24">
        <f t="shared" si="57"/>
        <v>2.8008654247013136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 t="e">
        <f>AI115*VLOOKUP('Données projet'!$B$10,Paramètres!$A$1:$I$89,3,0)*VLOOKUP('Données projet'!$B$10,Paramètres!$A$1:$I$89,5,0)</f>
        <v>#N/A</v>
      </c>
      <c r="AK115" s="14" t="e">
        <f t="shared" si="89"/>
        <v>#N/A</v>
      </c>
      <c r="AL115" s="22" t="e">
        <f t="shared" si="58"/>
        <v>#N/A</v>
      </c>
      <c r="AM115" s="62" t="e">
        <f t="shared" si="59"/>
        <v>#N/A</v>
      </c>
      <c r="AN115" s="62" t="e">
        <f ca="1">AVERAGE(OFFSET($AM$3,0,0,'Données projet'!$E$10+1,1))-AVERAGE(OFFSET($H$3,0,0,'Données projet'!$E$10+1,1))</f>
        <v>#N/A</v>
      </c>
      <c r="AO115" s="62" t="e">
        <f t="shared" si="90"/>
        <v>#N/A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 t="e">
        <f>EXP(-LN(2)/35)*AU114+(1-EXP(-LN(2)/35))/(LN(2)/35)*AQ115*AR115*VLOOKUP('Données projet'!$B$10,Paramètres!$A$1:$I$89,3,0)*0.475*44/12</f>
        <v>#N/A</v>
      </c>
      <c r="AV115" s="23" t="e">
        <f>EXP(-LN(2)/25)*AV114+(1-EXP(-LN(2)/25))/(LN(2)/25)*Calculateur!AQ115*Calculateur!AS115*VLOOKUP('Données projet'!$B$10,Paramètres!$A$1:$I$89,3,0)*0.475*44/12</f>
        <v>#N/A</v>
      </c>
      <c r="AW115" s="23" t="e">
        <f>EXP(-LN(2)/2)*AW114+(1-EXP(-LN(2)/2))/(LN(2)/2)*AQ115*AT115*VLOOKUP('Données projet'!$B$10,Paramètres!$A$1:$I$89,3,0)*0.475*44/12</f>
        <v>#N/A</v>
      </c>
      <c r="AX115" s="23" t="e">
        <f t="shared" si="60"/>
        <v>#N/A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70">
        <f t="shared" si="56"/>
        <v>256.66666666666669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-1.1368683772161603E-13</v>
      </c>
      <c r="O116" s="14">
        <f>N116*VLOOKUP('Données projet'!$B$9,Paramètres!$A$1:$I$89,3,0)*VLOOKUP('Données projet'!$B$9,Paramètres!$A$1:$I$89,5,0)</f>
        <v>-6.7984728957526396E-14</v>
      </c>
      <c r="P116" s="14" t="e">
        <f t="shared" si="8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348.62416478262719</v>
      </c>
      <c r="T116" s="62">
        <f t="shared" si="88"/>
        <v>371.70674704563288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2.7459421620718625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7.415238630495934E-12</v>
      </c>
      <c r="AC116" s="24">
        <f t="shared" si="57"/>
        <v>2.7459421620792779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 t="e">
        <f>AI116*VLOOKUP('Données projet'!$B$10,Paramètres!$A$1:$I$89,3,0)*VLOOKUP('Données projet'!$B$10,Paramètres!$A$1:$I$89,5,0)</f>
        <v>#N/A</v>
      </c>
      <c r="AK116" s="14" t="e">
        <f t="shared" si="89"/>
        <v>#N/A</v>
      </c>
      <c r="AL116" s="22" t="e">
        <f t="shared" si="58"/>
        <v>#N/A</v>
      </c>
      <c r="AM116" s="62" t="e">
        <f t="shared" si="59"/>
        <v>#N/A</v>
      </c>
      <c r="AN116" s="62" t="e">
        <f ca="1">AVERAGE(OFFSET($AM$3,0,0,'Données projet'!$E$10+1,1))-AVERAGE(OFFSET($H$3,0,0,'Données projet'!$E$10+1,1))</f>
        <v>#N/A</v>
      </c>
      <c r="AO116" s="62" t="e">
        <f t="shared" si="90"/>
        <v>#N/A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 t="e">
        <f>EXP(-LN(2)/35)*AU115+(1-EXP(-LN(2)/35))/(LN(2)/35)*AQ116*AR116*VLOOKUP('Données projet'!$B$10,Paramètres!$A$1:$I$89,3,0)*0.475*44/12</f>
        <v>#N/A</v>
      </c>
      <c r="AV116" s="23" t="e">
        <f>EXP(-LN(2)/25)*AV115+(1-EXP(-LN(2)/25))/(LN(2)/25)*Calculateur!AQ116*Calculateur!AS116*VLOOKUP('Données projet'!$B$10,Paramètres!$A$1:$I$89,3,0)*0.475*44/12</f>
        <v>#N/A</v>
      </c>
      <c r="AW116" s="23" t="e">
        <f>EXP(-LN(2)/2)*AW115+(1-EXP(-LN(2)/2))/(LN(2)/2)*AQ116*AT116*VLOOKUP('Données projet'!$B$10,Paramètres!$A$1:$I$89,3,0)*0.475*44/12</f>
        <v>#N/A</v>
      </c>
      <c r="AX116" s="23" t="e">
        <f t="shared" si="60"/>
        <v>#N/A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70">
        <f t="shared" si="56"/>
        <v>256.66666666666669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-1.1368683772161603E-13</v>
      </c>
      <c r="O117" s="14">
        <f>N117*VLOOKUP('Données projet'!$B$9,Paramètres!$A$1:$I$89,3,0)*VLOOKUP('Données projet'!$B$9,Paramètres!$A$1:$I$89,5,0)</f>
        <v>-6.7984728957526396E-14</v>
      </c>
      <c r="P117" s="14" t="e">
        <f t="shared" si="8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348.62416478262719</v>
      </c>
      <c r="T117" s="62">
        <f t="shared" si="88"/>
        <v>371.70674704563288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2.6920959111329736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5.2433655197401228E-12</v>
      </c>
      <c r="AC117" s="24">
        <f t="shared" si="57"/>
        <v>2.692095911138217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 t="e">
        <f>AI117*VLOOKUP('Données projet'!$B$10,Paramètres!$A$1:$I$89,3,0)*VLOOKUP('Données projet'!$B$10,Paramètres!$A$1:$I$89,5,0)</f>
        <v>#N/A</v>
      </c>
      <c r="AK117" s="14" t="e">
        <f t="shared" si="89"/>
        <v>#N/A</v>
      </c>
      <c r="AL117" s="22" t="e">
        <f t="shared" si="58"/>
        <v>#N/A</v>
      </c>
      <c r="AM117" s="62" t="e">
        <f t="shared" si="59"/>
        <v>#N/A</v>
      </c>
      <c r="AN117" s="62" t="e">
        <f ca="1">AVERAGE(OFFSET($AM$3,0,0,'Données projet'!$E$10+1,1))-AVERAGE(OFFSET($H$3,0,0,'Données projet'!$E$10+1,1))</f>
        <v>#N/A</v>
      </c>
      <c r="AO117" s="62" t="e">
        <f t="shared" si="90"/>
        <v>#N/A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 t="e">
        <f>EXP(-LN(2)/35)*AU116+(1-EXP(-LN(2)/35))/(LN(2)/35)*AQ117*AR117*VLOOKUP('Données projet'!$B$10,Paramètres!$A$1:$I$89,3,0)*0.475*44/12</f>
        <v>#N/A</v>
      </c>
      <c r="AV117" s="23" t="e">
        <f>EXP(-LN(2)/25)*AV116+(1-EXP(-LN(2)/25))/(LN(2)/25)*Calculateur!AQ117*Calculateur!AS117*VLOOKUP('Données projet'!$B$10,Paramètres!$A$1:$I$89,3,0)*0.475*44/12</f>
        <v>#N/A</v>
      </c>
      <c r="AW117" s="23" t="e">
        <f>EXP(-LN(2)/2)*AW116+(1-EXP(-LN(2)/2))/(LN(2)/2)*AQ117*AT117*VLOOKUP('Données projet'!$B$10,Paramètres!$A$1:$I$89,3,0)*0.475*44/12</f>
        <v>#N/A</v>
      </c>
      <c r="AX117" s="23" t="e">
        <f t="shared" si="60"/>
        <v>#N/A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70">
        <f t="shared" si="56"/>
        <v>256.66666666666669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-1.1368683772161603E-13</v>
      </c>
      <c r="O118" s="14">
        <f>N118*VLOOKUP('Données projet'!$B$9,Paramètres!$A$1:$I$89,3,0)*VLOOKUP('Données projet'!$B$9,Paramètres!$A$1:$I$89,5,0)</f>
        <v>-6.7984728957526396E-14</v>
      </c>
      <c r="P118" s="14" t="e">
        <f t="shared" si="8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348.62416478262719</v>
      </c>
      <c r="T118" s="62">
        <f t="shared" si="88"/>
        <v>371.70674704563288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2.6393055523320261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3.707619315247967E-12</v>
      </c>
      <c r="AC118" s="24">
        <f t="shared" si="57"/>
        <v>2.6393055523357338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 t="e">
        <f>AI118*VLOOKUP('Données projet'!$B$10,Paramètres!$A$1:$I$89,3,0)*VLOOKUP('Données projet'!$B$10,Paramètres!$A$1:$I$89,5,0)</f>
        <v>#N/A</v>
      </c>
      <c r="AK118" s="14" t="e">
        <f t="shared" si="89"/>
        <v>#N/A</v>
      </c>
      <c r="AL118" s="22" t="e">
        <f t="shared" si="58"/>
        <v>#N/A</v>
      </c>
      <c r="AM118" s="62" t="e">
        <f t="shared" si="59"/>
        <v>#N/A</v>
      </c>
      <c r="AN118" s="62" t="e">
        <f ca="1">AVERAGE(OFFSET($AM$3,0,0,'Données projet'!$E$10+1,1))-AVERAGE(OFFSET($H$3,0,0,'Données projet'!$E$10+1,1))</f>
        <v>#N/A</v>
      </c>
      <c r="AO118" s="62" t="e">
        <f t="shared" si="90"/>
        <v>#N/A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 t="e">
        <f>EXP(-LN(2)/35)*AU117+(1-EXP(-LN(2)/35))/(LN(2)/35)*AQ118*AR118*VLOOKUP('Données projet'!$B$10,Paramètres!$A$1:$I$89,3,0)*0.475*44/12</f>
        <v>#N/A</v>
      </c>
      <c r="AV118" s="23" t="e">
        <f>EXP(-LN(2)/25)*AV117+(1-EXP(-LN(2)/25))/(LN(2)/25)*Calculateur!AQ118*Calculateur!AS118*VLOOKUP('Données projet'!$B$10,Paramètres!$A$1:$I$89,3,0)*0.475*44/12</f>
        <v>#N/A</v>
      </c>
      <c r="AW118" s="23" t="e">
        <f>EXP(-LN(2)/2)*AW117+(1-EXP(-LN(2)/2))/(LN(2)/2)*AQ118*AT118*VLOOKUP('Données projet'!$B$10,Paramètres!$A$1:$I$89,3,0)*0.475*44/12</f>
        <v>#N/A</v>
      </c>
      <c r="AX118" s="23" t="e">
        <f t="shared" si="60"/>
        <v>#N/A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70">
        <f t="shared" si="56"/>
        <v>256.66666666666669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-1.1368683772161603E-13</v>
      </c>
      <c r="O119" s="14">
        <f>N119*VLOOKUP('Données projet'!$B$9,Paramètres!$A$1:$I$89,3,0)*VLOOKUP('Données projet'!$B$9,Paramètres!$A$1:$I$89,5,0)</f>
        <v>-6.7984728957526396E-14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348.62416478262719</v>
      </c>
      <c r="T119" s="62">
        <f t="shared" si="88"/>
        <v>371.70674704563288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2.5875503802682256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2.6216827598700614E-12</v>
      </c>
      <c r="AC119" s="24">
        <f t="shared" si="57"/>
        <v>2.5875503802708475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 t="e">
        <f>AI119*VLOOKUP('Données projet'!$B$10,Paramètres!$A$1:$I$89,3,0)*VLOOKUP('Données projet'!$B$10,Paramètres!$A$1:$I$89,5,0)</f>
        <v>#N/A</v>
      </c>
      <c r="AK119" s="14" t="e">
        <f t="shared" si="89"/>
        <v>#N/A</v>
      </c>
      <c r="AL119" s="22" t="e">
        <f t="shared" si="58"/>
        <v>#N/A</v>
      </c>
      <c r="AM119" s="62" t="e">
        <f t="shared" si="59"/>
        <v>#N/A</v>
      </c>
      <c r="AN119" s="62" t="e">
        <f ca="1">AVERAGE(OFFSET($AM$3,0,0,'Données projet'!$E$10+1,1))-AVERAGE(OFFSET($H$3,0,0,'Données projet'!$E$10+1,1))</f>
        <v>#N/A</v>
      </c>
      <c r="AO119" s="62" t="e">
        <f t="shared" si="90"/>
        <v>#N/A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 t="e">
        <f>EXP(-LN(2)/35)*AU118+(1-EXP(-LN(2)/35))/(LN(2)/35)*AQ119*AR119*VLOOKUP('Données projet'!$B$10,Paramètres!$A$1:$I$89,3,0)*0.475*44/12</f>
        <v>#N/A</v>
      </c>
      <c r="AV119" s="23" t="e">
        <f>EXP(-LN(2)/25)*AV118+(1-EXP(-LN(2)/25))/(LN(2)/25)*Calculateur!AQ119*Calculateur!AS119*VLOOKUP('Données projet'!$B$10,Paramètres!$A$1:$I$89,3,0)*0.475*44/12</f>
        <v>#N/A</v>
      </c>
      <c r="AW119" s="23" t="e">
        <f>EXP(-LN(2)/2)*AW118+(1-EXP(-LN(2)/2))/(LN(2)/2)*AQ119*AT119*VLOOKUP('Données projet'!$B$10,Paramètres!$A$1:$I$89,3,0)*0.475*44/12</f>
        <v>#N/A</v>
      </c>
      <c r="AX119" s="23" t="e">
        <f t="shared" si="60"/>
        <v>#N/A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70">
        <f t="shared" si="56"/>
        <v>256.66666666666669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-1.1368683772161603E-13</v>
      </c>
      <c r="O120" s="14">
        <f>N120*VLOOKUP('Données projet'!$B$9,Paramètres!$A$1:$I$89,3,0)*VLOOKUP('Données projet'!$B$9,Paramètres!$A$1:$I$89,5,0)</f>
        <v>-6.7984728957526396E-14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348.62416478262719</v>
      </c>
      <c r="T120" s="62">
        <f t="shared" si="88"/>
        <v>371.70674704563288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2.5368100955610586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1.8538096576239835E-12</v>
      </c>
      <c r="AC120" s="24">
        <f t="shared" si="57"/>
        <v>2.5368100955629123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 t="e">
        <f>AI120*VLOOKUP('Données projet'!$B$10,Paramètres!$A$1:$I$89,3,0)*VLOOKUP('Données projet'!$B$10,Paramètres!$A$1:$I$89,5,0)</f>
        <v>#N/A</v>
      </c>
      <c r="AK120" s="14" t="e">
        <f t="shared" si="89"/>
        <v>#N/A</v>
      </c>
      <c r="AL120" s="22" t="e">
        <f t="shared" si="58"/>
        <v>#N/A</v>
      </c>
      <c r="AM120" s="62" t="e">
        <f t="shared" si="59"/>
        <v>#N/A</v>
      </c>
      <c r="AN120" s="62" t="e">
        <f ca="1">AVERAGE(OFFSET($AM$3,0,0,'Données projet'!$E$10+1,1))-AVERAGE(OFFSET($H$3,0,0,'Données projet'!$E$10+1,1))</f>
        <v>#N/A</v>
      </c>
      <c r="AO120" s="62" t="e">
        <f t="shared" si="90"/>
        <v>#N/A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 t="e">
        <f>EXP(-LN(2)/35)*AU119+(1-EXP(-LN(2)/35))/(LN(2)/35)*AQ120*AR120*VLOOKUP('Données projet'!$B$10,Paramètres!$A$1:$I$89,3,0)*0.475*44/12</f>
        <v>#N/A</v>
      </c>
      <c r="AV120" s="23" t="e">
        <f>EXP(-LN(2)/25)*AV119+(1-EXP(-LN(2)/25))/(LN(2)/25)*Calculateur!AQ120*Calculateur!AS120*VLOOKUP('Données projet'!$B$10,Paramètres!$A$1:$I$89,3,0)*0.475*44/12</f>
        <v>#N/A</v>
      </c>
      <c r="AW120" s="23" t="e">
        <f>EXP(-LN(2)/2)*AW119+(1-EXP(-LN(2)/2))/(LN(2)/2)*AQ120*AT120*VLOOKUP('Données projet'!$B$10,Paramètres!$A$1:$I$89,3,0)*0.475*44/12</f>
        <v>#N/A</v>
      </c>
      <c r="AX120" s="23" t="e">
        <f t="shared" si="60"/>
        <v>#N/A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70">
        <f t="shared" si="56"/>
        <v>256.66666666666669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-1.1368683772161603E-13</v>
      </c>
      <c r="O121" s="14">
        <f>N121*VLOOKUP('Données projet'!$B$9,Paramètres!$A$1:$I$89,3,0)*VLOOKUP('Données projet'!$B$9,Paramètres!$A$1:$I$89,5,0)</f>
        <v>-6.7984728957526396E-14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348.62416478262719</v>
      </c>
      <c r="T121" s="62">
        <f t="shared" si="88"/>
        <v>371.70674704563288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2.4870647968884811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1.3108413799350307E-12</v>
      </c>
      <c r="AC121" s="24">
        <f t="shared" si="57"/>
        <v>2.4870647968897921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 t="e">
        <f>AI121*VLOOKUP('Données projet'!$B$10,Paramètres!$A$1:$I$89,3,0)*VLOOKUP('Données projet'!$B$10,Paramètres!$A$1:$I$89,5,0)</f>
        <v>#N/A</v>
      </c>
      <c r="AK121" s="14" t="e">
        <f t="shared" si="89"/>
        <v>#N/A</v>
      </c>
      <c r="AL121" s="22" t="e">
        <f t="shared" si="58"/>
        <v>#N/A</v>
      </c>
      <c r="AM121" s="62" t="e">
        <f t="shared" si="59"/>
        <v>#N/A</v>
      </c>
      <c r="AN121" s="62" t="e">
        <f ca="1">AVERAGE(OFFSET($AM$3,0,0,'Données projet'!$E$10+1,1))-AVERAGE(OFFSET($H$3,0,0,'Données projet'!$E$10+1,1))</f>
        <v>#N/A</v>
      </c>
      <c r="AO121" s="62" t="e">
        <f t="shared" si="90"/>
        <v>#N/A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 t="e">
        <f>EXP(-LN(2)/35)*AU120+(1-EXP(-LN(2)/35))/(LN(2)/35)*AQ121*AR121*VLOOKUP('Données projet'!$B$10,Paramètres!$A$1:$I$89,3,0)*0.475*44/12</f>
        <v>#N/A</v>
      </c>
      <c r="AV121" s="23" t="e">
        <f>EXP(-LN(2)/25)*AV120+(1-EXP(-LN(2)/25))/(LN(2)/25)*Calculateur!AQ121*Calculateur!AS121*VLOOKUP('Données projet'!$B$10,Paramètres!$A$1:$I$89,3,0)*0.475*44/12</f>
        <v>#N/A</v>
      </c>
      <c r="AW121" s="23" t="e">
        <f>EXP(-LN(2)/2)*AW120+(1-EXP(-LN(2)/2))/(LN(2)/2)*AQ121*AT121*VLOOKUP('Données projet'!$B$10,Paramètres!$A$1:$I$89,3,0)*0.475*44/12</f>
        <v>#N/A</v>
      </c>
      <c r="AX121" s="23" t="e">
        <f t="shared" si="60"/>
        <v>#N/A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70">
        <f t="shared" si="56"/>
        <v>256.66666666666669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-1.1368683772161603E-13</v>
      </c>
      <c r="O122" s="14">
        <f>N122*VLOOKUP('Données projet'!$B$9,Paramètres!$A$1:$I$89,3,0)*VLOOKUP('Données projet'!$B$9,Paramètres!$A$1:$I$89,5,0)</f>
        <v>-6.7984728957526396E-14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348.62416478262719</v>
      </c>
      <c r="T122" s="62">
        <f t="shared" si="88"/>
        <v>371.70674704563288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2.4382949731812369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9.2690482881199175E-13</v>
      </c>
      <c r="AC122" s="24">
        <f t="shared" si="57"/>
        <v>2.4382949731821637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 t="e">
        <f>AI122*VLOOKUP('Données projet'!$B$10,Paramètres!$A$1:$I$89,3,0)*VLOOKUP('Données projet'!$B$10,Paramètres!$A$1:$I$89,5,0)</f>
        <v>#N/A</v>
      </c>
      <c r="AK122" s="14" t="e">
        <f t="shared" si="89"/>
        <v>#N/A</v>
      </c>
      <c r="AL122" s="22" t="e">
        <f t="shared" si="58"/>
        <v>#N/A</v>
      </c>
      <c r="AM122" s="62" t="e">
        <f t="shared" si="59"/>
        <v>#N/A</v>
      </c>
      <c r="AN122" s="62" t="e">
        <f ca="1">AVERAGE(OFFSET($AM$3,0,0,'Données projet'!$E$10+1,1))-AVERAGE(OFFSET($H$3,0,0,'Données projet'!$E$10+1,1))</f>
        <v>#N/A</v>
      </c>
      <c r="AO122" s="62" t="e">
        <f t="shared" si="90"/>
        <v>#N/A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 t="e">
        <f>EXP(-LN(2)/35)*AU121+(1-EXP(-LN(2)/35))/(LN(2)/35)*AQ122*AR122*VLOOKUP('Données projet'!$B$10,Paramètres!$A$1:$I$89,3,0)*0.475*44/12</f>
        <v>#N/A</v>
      </c>
      <c r="AV122" s="23" t="e">
        <f>EXP(-LN(2)/25)*AV121+(1-EXP(-LN(2)/25))/(LN(2)/25)*Calculateur!AQ122*Calculateur!AS122*VLOOKUP('Données projet'!$B$10,Paramètres!$A$1:$I$89,3,0)*0.475*44/12</f>
        <v>#N/A</v>
      </c>
      <c r="AW122" s="23" t="e">
        <f>EXP(-LN(2)/2)*AW121+(1-EXP(-LN(2)/2))/(LN(2)/2)*AQ122*AT122*VLOOKUP('Données projet'!$B$10,Paramètres!$A$1:$I$89,3,0)*0.475*44/12</f>
        <v>#N/A</v>
      </c>
      <c r="AX122" s="23" t="e">
        <f t="shared" si="60"/>
        <v>#N/A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70">
        <f t="shared" si="56"/>
        <v>256.66666666666669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-1.1368683772161603E-13</v>
      </c>
      <c r="O123" s="14">
        <f>N123*VLOOKUP('Données projet'!$B$9,Paramètres!$A$1:$I$89,3,0)*VLOOKUP('Données projet'!$B$9,Paramètres!$A$1:$I$89,5,0)</f>
        <v>-6.7984728957526396E-14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348.62416478262719</v>
      </c>
      <c r="T123" s="62">
        <f t="shared" si="88"/>
        <v>371.70674704563288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2.3904814959702363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6.5542068996751535E-13</v>
      </c>
      <c r="AC123" s="24">
        <f t="shared" si="57"/>
        <v>2.3904814959708918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 t="e">
        <f>AI123*VLOOKUP('Données projet'!$B$10,Paramètres!$A$1:$I$89,3,0)*VLOOKUP('Données projet'!$B$10,Paramètres!$A$1:$I$89,5,0)</f>
        <v>#N/A</v>
      </c>
      <c r="AK123" s="14" t="e">
        <f t="shared" si="89"/>
        <v>#N/A</v>
      </c>
      <c r="AL123" s="22" t="e">
        <f t="shared" si="58"/>
        <v>#N/A</v>
      </c>
      <c r="AM123" s="62" t="e">
        <f t="shared" si="59"/>
        <v>#N/A</v>
      </c>
      <c r="AN123" s="62" t="e">
        <f ca="1">AVERAGE(OFFSET($AM$3,0,0,'Données projet'!$E$10+1,1))-AVERAGE(OFFSET($H$3,0,0,'Données projet'!$E$10+1,1))</f>
        <v>#N/A</v>
      </c>
      <c r="AO123" s="62" t="e">
        <f t="shared" si="90"/>
        <v>#N/A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 t="e">
        <f>EXP(-LN(2)/35)*AU122+(1-EXP(-LN(2)/35))/(LN(2)/35)*AQ123*AR123*VLOOKUP('Données projet'!$B$10,Paramètres!$A$1:$I$89,3,0)*0.475*44/12</f>
        <v>#N/A</v>
      </c>
      <c r="AV123" s="23" t="e">
        <f>EXP(-LN(2)/25)*AV122+(1-EXP(-LN(2)/25))/(LN(2)/25)*Calculateur!AQ123*Calculateur!AS123*VLOOKUP('Données projet'!$B$10,Paramètres!$A$1:$I$89,3,0)*0.475*44/12</f>
        <v>#N/A</v>
      </c>
      <c r="AW123" s="23" t="e">
        <f>EXP(-LN(2)/2)*AW122+(1-EXP(-LN(2)/2))/(LN(2)/2)*AQ123*AT123*VLOOKUP('Données projet'!$B$10,Paramètres!$A$1:$I$89,3,0)*0.475*44/12</f>
        <v>#N/A</v>
      </c>
      <c r="AX123" s="23" t="e">
        <f t="shared" si="60"/>
        <v>#N/A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70">
        <f t="shared" si="56"/>
        <v>256.66666666666669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-1.1368683772161603E-13</v>
      </c>
      <c r="O124" s="14">
        <f>N124*VLOOKUP('Données projet'!$B$9,Paramètres!$A$1:$I$89,3,0)*VLOOKUP('Données projet'!$B$9,Paramètres!$A$1:$I$89,5,0)</f>
        <v>-6.7984728957526396E-14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348.62416478262719</v>
      </c>
      <c r="T124" s="62">
        <f t="shared" si="88"/>
        <v>371.70674704563288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2.3436056118840018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4.6345241440599588E-13</v>
      </c>
      <c r="AC124" s="24">
        <f t="shared" si="57"/>
        <v>2.3436056118844655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 t="e">
        <f>AI124*VLOOKUP('Données projet'!$B$10,Paramètres!$A$1:$I$89,3,0)*VLOOKUP('Données projet'!$B$10,Paramètres!$A$1:$I$89,5,0)</f>
        <v>#N/A</v>
      </c>
      <c r="AK124" s="14" t="e">
        <f t="shared" si="89"/>
        <v>#N/A</v>
      </c>
      <c r="AL124" s="22" t="e">
        <f t="shared" si="58"/>
        <v>#N/A</v>
      </c>
      <c r="AM124" s="62" t="e">
        <f t="shared" si="59"/>
        <v>#N/A</v>
      </c>
      <c r="AN124" s="62" t="e">
        <f ca="1">AVERAGE(OFFSET($AM$3,0,0,'Données projet'!$E$10+1,1))-AVERAGE(OFFSET($H$3,0,0,'Données projet'!$E$10+1,1))</f>
        <v>#N/A</v>
      </c>
      <c r="AO124" s="62" t="e">
        <f t="shared" si="90"/>
        <v>#N/A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 t="e">
        <f>EXP(-LN(2)/35)*AU123+(1-EXP(-LN(2)/35))/(LN(2)/35)*AQ124*AR124*VLOOKUP('Données projet'!$B$10,Paramètres!$A$1:$I$89,3,0)*0.475*44/12</f>
        <v>#N/A</v>
      </c>
      <c r="AV124" s="23" t="e">
        <f>EXP(-LN(2)/25)*AV123+(1-EXP(-LN(2)/25))/(LN(2)/25)*Calculateur!AQ124*Calculateur!AS124*VLOOKUP('Données projet'!$B$10,Paramètres!$A$1:$I$89,3,0)*0.475*44/12</f>
        <v>#N/A</v>
      </c>
      <c r="AW124" s="23" t="e">
        <f>EXP(-LN(2)/2)*AW123+(1-EXP(-LN(2)/2))/(LN(2)/2)*AQ124*AT124*VLOOKUP('Données projet'!$B$10,Paramètres!$A$1:$I$89,3,0)*0.475*44/12</f>
        <v>#N/A</v>
      </c>
      <c r="AX124" s="23" t="e">
        <f t="shared" si="60"/>
        <v>#N/A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70">
        <f t="shared" si="56"/>
        <v>256.66666666666669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-1.1368683772161603E-13</v>
      </c>
      <c r="O125" s="14">
        <f>N125*VLOOKUP('Données projet'!$B$9,Paramètres!$A$1:$I$89,3,0)*VLOOKUP('Données projet'!$B$9,Paramètres!$A$1:$I$89,5,0)</f>
        <v>-6.7984728957526396E-14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348.62416478262719</v>
      </c>
      <c r="T125" s="62">
        <f t="shared" si="88"/>
        <v>371.70674704563288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2.2976489352932323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3.2771034498375768E-13</v>
      </c>
      <c r="AC125" s="24">
        <f t="shared" si="57"/>
        <v>2.2976489352935601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 t="e">
        <f>AI125*VLOOKUP('Données projet'!$B$10,Paramètres!$A$1:$I$89,3,0)*VLOOKUP('Données projet'!$B$10,Paramètres!$A$1:$I$89,5,0)</f>
        <v>#N/A</v>
      </c>
      <c r="AK125" s="14" t="e">
        <f t="shared" si="89"/>
        <v>#N/A</v>
      </c>
      <c r="AL125" s="22" t="e">
        <f t="shared" si="58"/>
        <v>#N/A</v>
      </c>
      <c r="AM125" s="62" t="e">
        <f t="shared" si="59"/>
        <v>#N/A</v>
      </c>
      <c r="AN125" s="62" t="e">
        <f ca="1">AVERAGE(OFFSET($AM$3,0,0,'Données projet'!$E$10+1,1))-AVERAGE(OFFSET($H$3,0,0,'Données projet'!$E$10+1,1))</f>
        <v>#N/A</v>
      </c>
      <c r="AO125" s="62" t="e">
        <f t="shared" si="90"/>
        <v>#N/A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 t="e">
        <f>EXP(-LN(2)/35)*AU124+(1-EXP(-LN(2)/35))/(LN(2)/35)*AQ125*AR125*VLOOKUP('Données projet'!$B$10,Paramètres!$A$1:$I$89,3,0)*0.475*44/12</f>
        <v>#N/A</v>
      </c>
      <c r="AV125" s="23" t="e">
        <f>EXP(-LN(2)/25)*AV124+(1-EXP(-LN(2)/25))/(LN(2)/25)*Calculateur!AQ125*Calculateur!AS125*VLOOKUP('Données projet'!$B$10,Paramètres!$A$1:$I$89,3,0)*0.475*44/12</f>
        <v>#N/A</v>
      </c>
      <c r="AW125" s="23" t="e">
        <f>EXP(-LN(2)/2)*AW124+(1-EXP(-LN(2)/2))/(LN(2)/2)*AQ125*AT125*VLOOKUP('Données projet'!$B$10,Paramètres!$A$1:$I$89,3,0)*0.475*44/12</f>
        <v>#N/A</v>
      </c>
      <c r="AX125" s="23" t="e">
        <f t="shared" si="60"/>
        <v>#N/A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70">
        <f t="shared" si="56"/>
        <v>256.66666666666669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-1.1368683772161603E-13</v>
      </c>
      <c r="O126" s="14">
        <f>N126*VLOOKUP('Données projet'!$B$9,Paramètres!$A$1:$I$89,3,0)*VLOOKUP('Données projet'!$B$9,Paramètres!$A$1:$I$89,5,0)</f>
        <v>-6.7984728957526396E-14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348.62416478262719</v>
      </c>
      <c r="T126" s="62">
        <f t="shared" si="88"/>
        <v>371.70674704563288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2.2525934410996031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2.3172620720299794E-13</v>
      </c>
      <c r="AC126" s="24">
        <f t="shared" si="57"/>
        <v>2.2525934410998349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 t="e">
        <f>AI126*VLOOKUP('Données projet'!$B$10,Paramètres!$A$1:$I$89,3,0)*VLOOKUP('Données projet'!$B$10,Paramètres!$A$1:$I$89,5,0)</f>
        <v>#N/A</v>
      </c>
      <c r="AK126" s="14" t="e">
        <f t="shared" si="89"/>
        <v>#N/A</v>
      </c>
      <c r="AL126" s="22" t="e">
        <f t="shared" si="58"/>
        <v>#N/A</v>
      </c>
      <c r="AM126" s="62" t="e">
        <f t="shared" si="59"/>
        <v>#N/A</v>
      </c>
      <c r="AN126" s="62" t="e">
        <f ca="1">AVERAGE(OFFSET($AM$3,0,0,'Données projet'!$E$10+1,1))-AVERAGE(OFFSET($H$3,0,0,'Données projet'!$E$10+1,1))</f>
        <v>#N/A</v>
      </c>
      <c r="AO126" s="62" t="e">
        <f t="shared" si="90"/>
        <v>#N/A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 t="e">
        <f>EXP(-LN(2)/35)*AU125+(1-EXP(-LN(2)/35))/(LN(2)/35)*AQ126*AR126*VLOOKUP('Données projet'!$B$10,Paramètres!$A$1:$I$89,3,0)*0.475*44/12</f>
        <v>#N/A</v>
      </c>
      <c r="AV126" s="23" t="e">
        <f>EXP(-LN(2)/25)*AV125+(1-EXP(-LN(2)/25))/(LN(2)/25)*Calculateur!AQ126*Calculateur!AS126*VLOOKUP('Données projet'!$B$10,Paramètres!$A$1:$I$89,3,0)*0.475*44/12</f>
        <v>#N/A</v>
      </c>
      <c r="AW126" s="23" t="e">
        <f>EXP(-LN(2)/2)*AW125+(1-EXP(-LN(2)/2))/(LN(2)/2)*AQ126*AT126*VLOOKUP('Données projet'!$B$10,Paramètres!$A$1:$I$89,3,0)*0.475*44/12</f>
        <v>#N/A</v>
      </c>
      <c r="AX126" s="23" t="e">
        <f t="shared" si="60"/>
        <v>#N/A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70">
        <f t="shared" si="56"/>
        <v>256.66666666666669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-1.1368683772161603E-13</v>
      </c>
      <c r="O127" s="14">
        <f>N127*VLOOKUP('Données projet'!$B$9,Paramètres!$A$1:$I$89,3,0)*VLOOKUP('Données projet'!$B$9,Paramètres!$A$1:$I$89,5,0)</f>
        <v>-6.7984728957526396E-14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348.62416478262719</v>
      </c>
      <c r="T127" s="62">
        <f t="shared" si="88"/>
        <v>371.70674704563288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2.2084214576659731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1.6385517249187884E-13</v>
      </c>
      <c r="AC127" s="24">
        <f t="shared" si="57"/>
        <v>2.208421457666137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 t="e">
        <f>AI127*VLOOKUP('Données projet'!$B$10,Paramètres!$A$1:$I$89,3,0)*VLOOKUP('Données projet'!$B$10,Paramètres!$A$1:$I$89,5,0)</f>
        <v>#N/A</v>
      </c>
      <c r="AK127" s="14" t="e">
        <f t="shared" si="89"/>
        <v>#N/A</v>
      </c>
      <c r="AL127" s="22" t="e">
        <f t="shared" si="58"/>
        <v>#N/A</v>
      </c>
      <c r="AM127" s="62" t="e">
        <f t="shared" si="59"/>
        <v>#N/A</v>
      </c>
      <c r="AN127" s="62" t="e">
        <f ca="1">AVERAGE(OFFSET($AM$3,0,0,'Données projet'!$E$10+1,1))-AVERAGE(OFFSET($H$3,0,0,'Données projet'!$E$10+1,1))</f>
        <v>#N/A</v>
      </c>
      <c r="AO127" s="62" t="e">
        <f t="shared" si="90"/>
        <v>#N/A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 t="e">
        <f>EXP(-LN(2)/35)*AU126+(1-EXP(-LN(2)/35))/(LN(2)/35)*AQ127*AR127*VLOOKUP('Données projet'!$B$10,Paramètres!$A$1:$I$89,3,0)*0.475*44/12</f>
        <v>#N/A</v>
      </c>
      <c r="AV127" s="23" t="e">
        <f>EXP(-LN(2)/25)*AV126+(1-EXP(-LN(2)/25))/(LN(2)/25)*Calculateur!AQ127*Calculateur!AS127*VLOOKUP('Données projet'!$B$10,Paramètres!$A$1:$I$89,3,0)*0.475*44/12</f>
        <v>#N/A</v>
      </c>
      <c r="AW127" s="23" t="e">
        <f>EXP(-LN(2)/2)*AW126+(1-EXP(-LN(2)/2))/(LN(2)/2)*AQ127*AT127*VLOOKUP('Données projet'!$B$10,Paramètres!$A$1:$I$89,3,0)*0.475*44/12</f>
        <v>#N/A</v>
      </c>
      <c r="AX127" s="23" t="e">
        <f t="shared" si="60"/>
        <v>#N/A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70">
        <f t="shared" si="56"/>
        <v>256.66666666666669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-1.1368683772161603E-13</v>
      </c>
      <c r="O128" s="14">
        <f>N128*VLOOKUP('Données projet'!$B$9,Paramètres!$A$1:$I$89,3,0)*VLOOKUP('Données projet'!$B$9,Paramètres!$A$1:$I$89,5,0)</f>
        <v>-6.7984728957526396E-14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348.62416478262719</v>
      </c>
      <c r="T128" s="62">
        <f t="shared" si="88"/>
        <v>371.70674704563288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2.165115659885227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1.1586310360149897E-13</v>
      </c>
      <c r="AC128" s="24">
        <f t="shared" si="57"/>
        <v>2.1651156598853429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 t="e">
        <f>AI128*VLOOKUP('Données projet'!$B$10,Paramètres!$A$1:$I$89,3,0)*VLOOKUP('Données projet'!$B$10,Paramètres!$A$1:$I$89,5,0)</f>
        <v>#N/A</v>
      </c>
      <c r="AK128" s="14" t="e">
        <f t="shared" si="89"/>
        <v>#N/A</v>
      </c>
      <c r="AL128" s="22" t="e">
        <f t="shared" si="58"/>
        <v>#N/A</v>
      </c>
      <c r="AM128" s="62" t="e">
        <f t="shared" si="59"/>
        <v>#N/A</v>
      </c>
      <c r="AN128" s="62" t="e">
        <f ca="1">AVERAGE(OFFSET($AM$3,0,0,'Données projet'!$E$10+1,1))-AVERAGE(OFFSET($H$3,0,0,'Données projet'!$E$10+1,1))</f>
        <v>#N/A</v>
      </c>
      <c r="AO128" s="62" t="e">
        <f t="shared" si="90"/>
        <v>#N/A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 t="e">
        <f>EXP(-LN(2)/35)*AU127+(1-EXP(-LN(2)/35))/(LN(2)/35)*AQ128*AR128*VLOOKUP('Données projet'!$B$10,Paramètres!$A$1:$I$89,3,0)*0.475*44/12</f>
        <v>#N/A</v>
      </c>
      <c r="AV128" s="23" t="e">
        <f>EXP(-LN(2)/25)*AV127+(1-EXP(-LN(2)/25))/(LN(2)/25)*Calculateur!AQ128*Calculateur!AS128*VLOOKUP('Données projet'!$B$10,Paramètres!$A$1:$I$89,3,0)*0.475*44/12</f>
        <v>#N/A</v>
      </c>
      <c r="AW128" s="23" t="e">
        <f>EXP(-LN(2)/2)*AW127+(1-EXP(-LN(2)/2))/(LN(2)/2)*AQ128*AT128*VLOOKUP('Données projet'!$B$10,Paramètres!$A$1:$I$89,3,0)*0.475*44/12</f>
        <v>#N/A</v>
      </c>
      <c r="AX128" s="23" t="e">
        <f t="shared" si="60"/>
        <v>#N/A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70">
        <f t="shared" si="56"/>
        <v>256.66666666666669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-1.1368683772161603E-13</v>
      </c>
      <c r="O129" s="14">
        <f>N129*VLOOKUP('Données projet'!$B$9,Paramètres!$A$1:$I$89,3,0)*VLOOKUP('Données projet'!$B$9,Paramètres!$A$1:$I$89,5,0)</f>
        <v>-6.7984728957526396E-14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348.62416478262719</v>
      </c>
      <c r="T129" s="62">
        <f t="shared" si="88"/>
        <v>371.70674704563288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2.1226590623850328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8.1927586245939419E-14</v>
      </c>
      <c r="AC129" s="24">
        <f t="shared" si="57"/>
        <v>2.1226590623851145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 t="e">
        <f>AI129*VLOOKUP('Données projet'!$B$10,Paramètres!$A$1:$I$89,3,0)*VLOOKUP('Données projet'!$B$10,Paramètres!$A$1:$I$89,5,0)</f>
        <v>#N/A</v>
      </c>
      <c r="AK129" s="14" t="e">
        <f t="shared" si="89"/>
        <v>#N/A</v>
      </c>
      <c r="AL129" s="22" t="e">
        <f t="shared" si="58"/>
        <v>#N/A</v>
      </c>
      <c r="AM129" s="62" t="e">
        <f t="shared" si="59"/>
        <v>#N/A</v>
      </c>
      <c r="AN129" s="62" t="e">
        <f ca="1">AVERAGE(OFFSET($AM$3,0,0,'Données projet'!$E$10+1,1))-AVERAGE(OFFSET($H$3,0,0,'Données projet'!$E$10+1,1))</f>
        <v>#N/A</v>
      </c>
      <c r="AO129" s="62" t="e">
        <f t="shared" si="90"/>
        <v>#N/A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 t="e">
        <f>EXP(-LN(2)/35)*AU128+(1-EXP(-LN(2)/35))/(LN(2)/35)*AQ129*AR129*VLOOKUP('Données projet'!$B$10,Paramètres!$A$1:$I$89,3,0)*0.475*44/12</f>
        <v>#N/A</v>
      </c>
      <c r="AV129" s="23" t="e">
        <f>EXP(-LN(2)/25)*AV128+(1-EXP(-LN(2)/25))/(LN(2)/25)*Calculateur!AQ129*Calculateur!AS129*VLOOKUP('Données projet'!$B$10,Paramètres!$A$1:$I$89,3,0)*0.475*44/12</f>
        <v>#N/A</v>
      </c>
      <c r="AW129" s="23" t="e">
        <f>EXP(-LN(2)/2)*AW128+(1-EXP(-LN(2)/2))/(LN(2)/2)*AQ129*AT129*VLOOKUP('Données projet'!$B$10,Paramètres!$A$1:$I$89,3,0)*0.475*44/12</f>
        <v>#N/A</v>
      </c>
      <c r="AX129" s="23" t="e">
        <f t="shared" si="60"/>
        <v>#N/A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70">
        <f t="shared" si="56"/>
        <v>256.66666666666669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-1.1368683772161603E-13</v>
      </c>
      <c r="O130" s="14">
        <f>N130*VLOOKUP('Données projet'!$B$9,Paramètres!$A$1:$I$89,3,0)*VLOOKUP('Données projet'!$B$9,Paramètres!$A$1:$I$89,5,0)</f>
        <v>-6.7984728957526396E-14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348.62416478262719</v>
      </c>
      <c r="T130" s="62">
        <f t="shared" si="88"/>
        <v>371.70674704563288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2.0810350128658497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5.7931551800749485E-14</v>
      </c>
      <c r="AC130" s="24">
        <f t="shared" si="57"/>
        <v>2.0810350128659074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 t="e">
        <f>AI130*VLOOKUP('Données projet'!$B$10,Paramètres!$A$1:$I$89,3,0)*VLOOKUP('Données projet'!$B$10,Paramètres!$A$1:$I$89,5,0)</f>
        <v>#N/A</v>
      </c>
      <c r="AK130" s="14" t="e">
        <f t="shared" si="89"/>
        <v>#N/A</v>
      </c>
      <c r="AL130" s="22" t="e">
        <f t="shared" si="58"/>
        <v>#N/A</v>
      </c>
      <c r="AM130" s="62" t="e">
        <f t="shared" si="59"/>
        <v>#N/A</v>
      </c>
      <c r="AN130" s="62" t="e">
        <f ca="1">AVERAGE(OFFSET($AM$3,0,0,'Données projet'!$E$10+1,1))-AVERAGE(OFFSET($H$3,0,0,'Données projet'!$E$10+1,1))</f>
        <v>#N/A</v>
      </c>
      <c r="AO130" s="62" t="e">
        <f t="shared" si="90"/>
        <v>#N/A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 t="e">
        <f>EXP(-LN(2)/35)*AU129+(1-EXP(-LN(2)/35))/(LN(2)/35)*AQ130*AR130*VLOOKUP('Données projet'!$B$10,Paramètres!$A$1:$I$89,3,0)*0.475*44/12</f>
        <v>#N/A</v>
      </c>
      <c r="AV130" s="23" t="e">
        <f>EXP(-LN(2)/25)*AV129+(1-EXP(-LN(2)/25))/(LN(2)/25)*Calculateur!AQ130*Calculateur!AS130*VLOOKUP('Données projet'!$B$10,Paramètres!$A$1:$I$89,3,0)*0.475*44/12</f>
        <v>#N/A</v>
      </c>
      <c r="AW130" s="23" t="e">
        <f>EXP(-LN(2)/2)*AW129+(1-EXP(-LN(2)/2))/(LN(2)/2)*AQ130*AT130*VLOOKUP('Données projet'!$B$10,Paramètres!$A$1:$I$89,3,0)*0.475*44/12</f>
        <v>#N/A</v>
      </c>
      <c r="AX130" s="23" t="e">
        <f t="shared" si="60"/>
        <v>#N/A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70">
        <f t="shared" si="56"/>
        <v>256.66666666666669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-1.1368683772161603E-13</v>
      </c>
      <c r="O131" s="14">
        <f>N131*VLOOKUP('Données projet'!$B$9,Paramètres!$A$1:$I$89,3,0)*VLOOKUP('Données projet'!$B$9,Paramètres!$A$1:$I$89,5,0)</f>
        <v>-6.7984728957526396E-14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348.62416478262719</v>
      </c>
      <c r="T131" s="62">
        <f t="shared" si="88"/>
        <v>371.70674704563288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2.0402271855695746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4.0963793122969709E-14</v>
      </c>
      <c r="AC131" s="24">
        <f t="shared" si="57"/>
        <v>2.0402271855696155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 t="e">
        <f>AI131*VLOOKUP('Données projet'!$B$10,Paramètres!$A$1:$I$89,3,0)*VLOOKUP('Données projet'!$B$10,Paramètres!$A$1:$I$89,5,0)</f>
        <v>#N/A</v>
      </c>
      <c r="AK131" s="14" t="e">
        <f t="shared" si="89"/>
        <v>#N/A</v>
      </c>
      <c r="AL131" s="22" t="e">
        <f t="shared" si="58"/>
        <v>#N/A</v>
      </c>
      <c r="AM131" s="62" t="e">
        <f t="shared" si="59"/>
        <v>#N/A</v>
      </c>
      <c r="AN131" s="62" t="e">
        <f ca="1">AVERAGE(OFFSET($AM$3,0,0,'Données projet'!$E$10+1,1))-AVERAGE(OFFSET($H$3,0,0,'Données projet'!$E$10+1,1))</f>
        <v>#N/A</v>
      </c>
      <c r="AO131" s="62" t="e">
        <f t="shared" si="90"/>
        <v>#N/A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 t="e">
        <f>EXP(-LN(2)/35)*AU130+(1-EXP(-LN(2)/35))/(LN(2)/35)*AQ131*AR131*VLOOKUP('Données projet'!$B$10,Paramètres!$A$1:$I$89,3,0)*0.475*44/12</f>
        <v>#N/A</v>
      </c>
      <c r="AV131" s="23" t="e">
        <f>EXP(-LN(2)/25)*AV130+(1-EXP(-LN(2)/25))/(LN(2)/25)*Calculateur!AQ131*Calculateur!AS131*VLOOKUP('Données projet'!$B$10,Paramètres!$A$1:$I$89,3,0)*0.475*44/12</f>
        <v>#N/A</v>
      </c>
      <c r="AW131" s="23" t="e">
        <f>EXP(-LN(2)/2)*AW130+(1-EXP(-LN(2)/2))/(LN(2)/2)*AQ131*AT131*VLOOKUP('Données projet'!$B$10,Paramètres!$A$1:$I$89,3,0)*0.475*44/12</f>
        <v>#N/A</v>
      </c>
      <c r="AX131" s="23" t="e">
        <f t="shared" si="60"/>
        <v>#N/A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70">
        <f t="shared" ref="H132:H195" si="110">(B132+E132+F132)*44/12+(C132+D132)*0.475*44/12</f>
        <v>256.66666666666669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-1.1368683772161603E-13</v>
      </c>
      <c r="O132" s="14">
        <f>N132*VLOOKUP('Données projet'!$B$9,Paramètres!$A$1:$I$89,3,0)*VLOOKUP('Données projet'!$B$9,Paramètres!$A$1:$I$89,5,0)</f>
        <v>-6.7984728957526396E-14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348.62416478262719</v>
      </c>
      <c r="T132" s="62">
        <f t="shared" si="88"/>
        <v>371.70674704563288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2.0002195748762626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2.8965775900374742E-14</v>
      </c>
      <c r="AC132" s="24">
        <f t="shared" ref="AC132:AC153" si="111">SUM(Z132:AB132)</f>
        <v>2.0002195748762914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 t="e">
        <f>AI132*VLOOKUP('Données projet'!$B$10,Paramètres!$A$1:$I$89,3,0)*VLOOKUP('Données projet'!$B$10,Paramètres!$A$1:$I$89,5,0)</f>
        <v>#N/A</v>
      </c>
      <c r="AK132" s="14" t="e">
        <f t="shared" si="89"/>
        <v>#N/A</v>
      </c>
      <c r="AL132" s="22" t="e">
        <f t="shared" ref="AL132:AL153" si="112">(AJ132+AK132)*0.475*44/12</f>
        <v>#N/A</v>
      </c>
      <c r="AM132" s="62" t="e">
        <f t="shared" ref="AM132:AM195" si="113">AL132+(AD132+AE132)*44/12</f>
        <v>#N/A</v>
      </c>
      <c r="AN132" s="62" t="e">
        <f ca="1">AVERAGE(OFFSET($AM$3,0,0,'Données projet'!$E$10+1,1))-AVERAGE(OFFSET($H$3,0,0,'Données projet'!$E$10+1,1))</f>
        <v>#N/A</v>
      </c>
      <c r="AO132" s="62" t="e">
        <f t="shared" si="90"/>
        <v>#N/A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 t="e">
        <f>EXP(-LN(2)/35)*AU131+(1-EXP(-LN(2)/35))/(LN(2)/35)*AQ132*AR132*VLOOKUP('Données projet'!$B$10,Paramètres!$A$1:$I$89,3,0)*0.475*44/12</f>
        <v>#N/A</v>
      </c>
      <c r="AV132" s="23" t="e">
        <f>EXP(-LN(2)/25)*AV131+(1-EXP(-LN(2)/25))/(LN(2)/25)*Calculateur!AQ132*Calculateur!AS132*VLOOKUP('Données projet'!$B$10,Paramètres!$A$1:$I$89,3,0)*0.475*44/12</f>
        <v>#N/A</v>
      </c>
      <c r="AW132" s="23" t="e">
        <f>EXP(-LN(2)/2)*AW131+(1-EXP(-LN(2)/2))/(LN(2)/2)*AQ132*AT132*VLOOKUP('Données projet'!$B$10,Paramètres!$A$1:$I$89,3,0)*0.475*44/12</f>
        <v>#N/A</v>
      </c>
      <c r="AX132" s="23" t="e">
        <f t="shared" ref="AX132:AX153" si="114">SUM(AU132:AW132)</f>
        <v>#N/A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70">
        <f t="shared" si="110"/>
        <v>256.66666666666669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-1.1368683772161603E-13</v>
      </c>
      <c r="O133" s="14">
        <f>N133*VLOOKUP('Données projet'!$B$9,Paramètres!$A$1:$I$89,3,0)*VLOOKUP('Données projet'!$B$9,Paramètres!$A$1:$I$89,5,0)</f>
        <v>-6.7984728957526396E-14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348.62416478262719</v>
      </c>
      <c r="T133" s="62">
        <f t="shared" ref="T133:T196" si="142">$T$3</f>
        <v>371.70674704563288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1.9609964890264133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2.0481896561484855E-14</v>
      </c>
      <c r="AC133" s="24">
        <f t="shared" si="111"/>
        <v>1.9609964890264338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 t="e">
        <f>AI133*VLOOKUP('Données projet'!$B$10,Paramètres!$A$1:$I$89,3,0)*VLOOKUP('Données projet'!$B$10,Paramètres!$A$1:$I$89,5,0)</f>
        <v>#N/A</v>
      </c>
      <c r="AK133" s="14" t="e">
        <f t="shared" ref="AK133:AK153" si="143">EXP(-1.0587+0.8836*LN(AJ133)+0.284)</f>
        <v>#N/A</v>
      </c>
      <c r="AL133" s="22" t="e">
        <f t="shared" si="112"/>
        <v>#N/A</v>
      </c>
      <c r="AM133" s="62" t="e">
        <f t="shared" si="113"/>
        <v>#N/A</v>
      </c>
      <c r="AN133" s="62" t="e">
        <f ca="1">AVERAGE(OFFSET($AM$3,0,0,'Données projet'!$E$10+1,1))-AVERAGE(OFFSET($H$3,0,0,'Données projet'!$E$10+1,1))</f>
        <v>#N/A</v>
      </c>
      <c r="AO133" s="62" t="e">
        <f t="shared" ref="AO133:AO196" si="144">$AO$3</f>
        <v>#N/A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 t="e">
        <f>EXP(-LN(2)/35)*AU132+(1-EXP(-LN(2)/35))/(LN(2)/35)*AQ133*AR133*VLOOKUP('Données projet'!$B$10,Paramètres!$A$1:$I$89,3,0)*0.475*44/12</f>
        <v>#N/A</v>
      </c>
      <c r="AV133" s="23" t="e">
        <f>EXP(-LN(2)/25)*AV132+(1-EXP(-LN(2)/25))/(LN(2)/25)*Calculateur!AQ133*Calculateur!AS133*VLOOKUP('Données projet'!$B$10,Paramètres!$A$1:$I$89,3,0)*0.475*44/12</f>
        <v>#N/A</v>
      </c>
      <c r="AW133" s="23" t="e">
        <f>EXP(-LN(2)/2)*AW132+(1-EXP(-LN(2)/2))/(LN(2)/2)*AQ133*AT133*VLOOKUP('Données projet'!$B$10,Paramètres!$A$1:$I$89,3,0)*0.475*44/12</f>
        <v>#N/A</v>
      </c>
      <c r="AX133" s="23" t="e">
        <f t="shared" si="114"/>
        <v>#N/A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70">
        <f t="shared" si="110"/>
        <v>256.66666666666669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-1.1368683772161603E-13</v>
      </c>
      <c r="O134" s="14">
        <f>N134*VLOOKUP('Données projet'!$B$9,Paramètres!$A$1:$I$89,3,0)*VLOOKUP('Données projet'!$B$9,Paramètres!$A$1:$I$89,5,0)</f>
        <v>-6.7984728957526396E-14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348.62416478262719</v>
      </c>
      <c r="T134" s="62">
        <f t="shared" si="142"/>
        <v>371.70674704563288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1.9225425439663597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1.4482887950187371E-14</v>
      </c>
      <c r="AC134" s="24">
        <f t="shared" si="111"/>
        <v>1.9225425439663741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 t="e">
        <f>AI134*VLOOKUP('Données projet'!$B$10,Paramètres!$A$1:$I$89,3,0)*VLOOKUP('Données projet'!$B$10,Paramètres!$A$1:$I$89,5,0)</f>
        <v>#N/A</v>
      </c>
      <c r="AK134" s="14" t="e">
        <f t="shared" si="143"/>
        <v>#N/A</v>
      </c>
      <c r="AL134" s="22" t="e">
        <f t="shared" si="112"/>
        <v>#N/A</v>
      </c>
      <c r="AM134" s="62" t="e">
        <f t="shared" si="113"/>
        <v>#N/A</v>
      </c>
      <c r="AN134" s="62" t="e">
        <f ca="1">AVERAGE(OFFSET($AM$3,0,0,'Données projet'!$E$10+1,1))-AVERAGE(OFFSET($H$3,0,0,'Données projet'!$E$10+1,1))</f>
        <v>#N/A</v>
      </c>
      <c r="AO134" s="62" t="e">
        <f t="shared" si="144"/>
        <v>#N/A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 t="e">
        <f>EXP(-LN(2)/35)*AU133+(1-EXP(-LN(2)/35))/(LN(2)/35)*AQ134*AR134*VLOOKUP('Données projet'!$B$10,Paramètres!$A$1:$I$89,3,0)*0.475*44/12</f>
        <v>#N/A</v>
      </c>
      <c r="AV134" s="23" t="e">
        <f>EXP(-LN(2)/25)*AV133+(1-EXP(-LN(2)/25))/(LN(2)/25)*Calculateur!AQ134*Calculateur!AS134*VLOOKUP('Données projet'!$B$10,Paramètres!$A$1:$I$89,3,0)*0.475*44/12</f>
        <v>#N/A</v>
      </c>
      <c r="AW134" s="23" t="e">
        <f>EXP(-LN(2)/2)*AW133+(1-EXP(-LN(2)/2))/(LN(2)/2)*AQ134*AT134*VLOOKUP('Données projet'!$B$10,Paramètres!$A$1:$I$89,3,0)*0.475*44/12</f>
        <v>#N/A</v>
      </c>
      <c r="AX134" s="23" t="e">
        <f t="shared" si="114"/>
        <v>#N/A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70">
        <f t="shared" si="110"/>
        <v>256.66666666666669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-1.1368683772161603E-13</v>
      </c>
      <c r="O135" s="14">
        <f>N135*VLOOKUP('Données projet'!$B$9,Paramètres!$A$1:$I$89,3,0)*VLOOKUP('Données projet'!$B$9,Paramètres!$A$1:$I$89,5,0)</f>
        <v>-6.7984728957526396E-14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348.62416478262719</v>
      </c>
      <c r="T135" s="62">
        <f t="shared" si="142"/>
        <v>371.70674704563288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1.8848426573143431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1.0240948280742427E-14</v>
      </c>
      <c r="AC135" s="24">
        <f t="shared" si="111"/>
        <v>1.8848426573143533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 t="e">
        <f>AI135*VLOOKUP('Données projet'!$B$10,Paramètres!$A$1:$I$89,3,0)*VLOOKUP('Données projet'!$B$10,Paramètres!$A$1:$I$89,5,0)</f>
        <v>#N/A</v>
      </c>
      <c r="AK135" s="14" t="e">
        <f t="shared" si="143"/>
        <v>#N/A</v>
      </c>
      <c r="AL135" s="22" t="e">
        <f t="shared" si="112"/>
        <v>#N/A</v>
      </c>
      <c r="AM135" s="62" t="e">
        <f t="shared" si="113"/>
        <v>#N/A</v>
      </c>
      <c r="AN135" s="62" t="e">
        <f ca="1">AVERAGE(OFFSET($AM$3,0,0,'Données projet'!$E$10+1,1))-AVERAGE(OFFSET($H$3,0,0,'Données projet'!$E$10+1,1))</f>
        <v>#N/A</v>
      </c>
      <c r="AO135" s="62" t="e">
        <f t="shared" si="144"/>
        <v>#N/A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 t="e">
        <f>EXP(-LN(2)/35)*AU134+(1-EXP(-LN(2)/35))/(LN(2)/35)*AQ135*AR135*VLOOKUP('Données projet'!$B$10,Paramètres!$A$1:$I$89,3,0)*0.475*44/12</f>
        <v>#N/A</v>
      </c>
      <c r="AV135" s="23" t="e">
        <f>EXP(-LN(2)/25)*AV134+(1-EXP(-LN(2)/25))/(LN(2)/25)*Calculateur!AQ135*Calculateur!AS135*VLOOKUP('Données projet'!$B$10,Paramètres!$A$1:$I$89,3,0)*0.475*44/12</f>
        <v>#N/A</v>
      </c>
      <c r="AW135" s="23" t="e">
        <f>EXP(-LN(2)/2)*AW134+(1-EXP(-LN(2)/2))/(LN(2)/2)*AQ135*AT135*VLOOKUP('Données projet'!$B$10,Paramètres!$A$1:$I$89,3,0)*0.475*44/12</f>
        <v>#N/A</v>
      </c>
      <c r="AX135" s="23" t="e">
        <f t="shared" si="114"/>
        <v>#N/A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70">
        <f t="shared" si="110"/>
        <v>256.66666666666669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-1.1368683772161603E-13</v>
      </c>
      <c r="O136" s="14">
        <f>N136*VLOOKUP('Données projet'!$B$9,Paramètres!$A$1:$I$89,3,0)*VLOOKUP('Données projet'!$B$9,Paramètres!$A$1:$I$89,5,0)</f>
        <v>-6.7984728957526396E-14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348.62416478262719</v>
      </c>
      <c r="T136" s="62">
        <f t="shared" si="142"/>
        <v>371.70674704563288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1.8478820424449123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7.2414439750936856E-15</v>
      </c>
      <c r="AC136" s="24">
        <f t="shared" si="111"/>
        <v>1.8478820424449196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 t="e">
        <f>AI136*VLOOKUP('Données projet'!$B$10,Paramètres!$A$1:$I$89,3,0)*VLOOKUP('Données projet'!$B$10,Paramètres!$A$1:$I$89,5,0)</f>
        <v>#N/A</v>
      </c>
      <c r="AK136" s="14" t="e">
        <f t="shared" si="143"/>
        <v>#N/A</v>
      </c>
      <c r="AL136" s="22" t="e">
        <f t="shared" si="112"/>
        <v>#N/A</v>
      </c>
      <c r="AM136" s="62" t="e">
        <f t="shared" si="113"/>
        <v>#N/A</v>
      </c>
      <c r="AN136" s="62" t="e">
        <f ca="1">AVERAGE(OFFSET($AM$3,0,0,'Données projet'!$E$10+1,1))-AVERAGE(OFFSET($H$3,0,0,'Données projet'!$E$10+1,1))</f>
        <v>#N/A</v>
      </c>
      <c r="AO136" s="62" t="e">
        <f t="shared" si="144"/>
        <v>#N/A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 t="e">
        <f>EXP(-LN(2)/35)*AU135+(1-EXP(-LN(2)/35))/(LN(2)/35)*AQ136*AR136*VLOOKUP('Données projet'!$B$10,Paramètres!$A$1:$I$89,3,0)*0.475*44/12</f>
        <v>#N/A</v>
      </c>
      <c r="AV136" s="23" t="e">
        <f>EXP(-LN(2)/25)*AV135+(1-EXP(-LN(2)/25))/(LN(2)/25)*Calculateur!AQ136*Calculateur!AS136*VLOOKUP('Données projet'!$B$10,Paramètres!$A$1:$I$89,3,0)*0.475*44/12</f>
        <v>#N/A</v>
      </c>
      <c r="AW136" s="23" t="e">
        <f>EXP(-LN(2)/2)*AW135+(1-EXP(-LN(2)/2))/(LN(2)/2)*AQ136*AT136*VLOOKUP('Données projet'!$B$10,Paramètres!$A$1:$I$89,3,0)*0.475*44/12</f>
        <v>#N/A</v>
      </c>
      <c r="AX136" s="23" t="e">
        <f t="shared" si="114"/>
        <v>#N/A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70">
        <f t="shared" si="110"/>
        <v>256.66666666666669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-1.1368683772161603E-13</v>
      </c>
      <c r="O137" s="14">
        <f>N137*VLOOKUP('Données projet'!$B$9,Paramètres!$A$1:$I$89,3,0)*VLOOKUP('Données projet'!$B$9,Paramètres!$A$1:$I$89,5,0)</f>
        <v>-6.7984728957526396E-14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348.62416478262719</v>
      </c>
      <c r="T137" s="62">
        <f t="shared" si="142"/>
        <v>371.70674704563288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1.8116462026893219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5.1204741403712137E-15</v>
      </c>
      <c r="AC137" s="24">
        <f t="shared" si="111"/>
        <v>1.811646202689327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 t="e">
        <f>AI137*VLOOKUP('Données projet'!$B$10,Paramètres!$A$1:$I$89,3,0)*VLOOKUP('Données projet'!$B$10,Paramètres!$A$1:$I$89,5,0)</f>
        <v>#N/A</v>
      </c>
      <c r="AK137" s="14" t="e">
        <f t="shared" si="143"/>
        <v>#N/A</v>
      </c>
      <c r="AL137" s="22" t="e">
        <f t="shared" si="112"/>
        <v>#N/A</v>
      </c>
      <c r="AM137" s="62" t="e">
        <f t="shared" si="113"/>
        <v>#N/A</v>
      </c>
      <c r="AN137" s="62" t="e">
        <f ca="1">AVERAGE(OFFSET($AM$3,0,0,'Données projet'!$E$10+1,1))-AVERAGE(OFFSET($H$3,0,0,'Données projet'!$E$10+1,1))</f>
        <v>#N/A</v>
      </c>
      <c r="AO137" s="62" t="e">
        <f t="shared" si="144"/>
        <v>#N/A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 t="e">
        <f>EXP(-LN(2)/35)*AU136+(1-EXP(-LN(2)/35))/(LN(2)/35)*AQ137*AR137*VLOOKUP('Données projet'!$B$10,Paramètres!$A$1:$I$89,3,0)*0.475*44/12</f>
        <v>#N/A</v>
      </c>
      <c r="AV137" s="23" t="e">
        <f>EXP(-LN(2)/25)*AV136+(1-EXP(-LN(2)/25))/(LN(2)/25)*Calculateur!AQ137*Calculateur!AS137*VLOOKUP('Données projet'!$B$10,Paramètres!$A$1:$I$89,3,0)*0.475*44/12</f>
        <v>#N/A</v>
      </c>
      <c r="AW137" s="23" t="e">
        <f>EXP(-LN(2)/2)*AW136+(1-EXP(-LN(2)/2))/(LN(2)/2)*AQ137*AT137*VLOOKUP('Données projet'!$B$10,Paramètres!$A$1:$I$89,3,0)*0.475*44/12</f>
        <v>#N/A</v>
      </c>
      <c r="AX137" s="23" t="e">
        <f t="shared" si="114"/>
        <v>#N/A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70">
        <f t="shared" si="110"/>
        <v>256.66666666666669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-1.1368683772161603E-13</v>
      </c>
      <c r="O138" s="14">
        <f>N138*VLOOKUP('Données projet'!$B$9,Paramètres!$A$1:$I$89,3,0)*VLOOKUP('Données projet'!$B$9,Paramètres!$A$1:$I$89,5,0)</f>
        <v>-6.7984728957526396E-14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348.62416478262719</v>
      </c>
      <c r="T138" s="62">
        <f t="shared" si="142"/>
        <v>371.70674704563288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1.7761209256496586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3.6207219875468428E-15</v>
      </c>
      <c r="AC138" s="24">
        <f t="shared" si="111"/>
        <v>1.7761209256496622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 t="e">
        <f>AI138*VLOOKUP('Données projet'!$B$10,Paramètres!$A$1:$I$89,3,0)*VLOOKUP('Données projet'!$B$10,Paramètres!$A$1:$I$89,5,0)</f>
        <v>#N/A</v>
      </c>
      <c r="AK138" s="14" t="e">
        <f t="shared" si="143"/>
        <v>#N/A</v>
      </c>
      <c r="AL138" s="22" t="e">
        <f t="shared" si="112"/>
        <v>#N/A</v>
      </c>
      <c r="AM138" s="62" t="e">
        <f t="shared" si="113"/>
        <v>#N/A</v>
      </c>
      <c r="AN138" s="62" t="e">
        <f ca="1">AVERAGE(OFFSET($AM$3,0,0,'Données projet'!$E$10+1,1))-AVERAGE(OFFSET($H$3,0,0,'Données projet'!$E$10+1,1))</f>
        <v>#N/A</v>
      </c>
      <c r="AO138" s="62" t="e">
        <f t="shared" si="144"/>
        <v>#N/A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 t="e">
        <f>EXP(-LN(2)/35)*AU137+(1-EXP(-LN(2)/35))/(LN(2)/35)*AQ138*AR138*VLOOKUP('Données projet'!$B$10,Paramètres!$A$1:$I$89,3,0)*0.475*44/12</f>
        <v>#N/A</v>
      </c>
      <c r="AV138" s="23" t="e">
        <f>EXP(-LN(2)/25)*AV137+(1-EXP(-LN(2)/25))/(LN(2)/25)*Calculateur!AQ138*Calculateur!AS138*VLOOKUP('Données projet'!$B$10,Paramètres!$A$1:$I$89,3,0)*0.475*44/12</f>
        <v>#N/A</v>
      </c>
      <c r="AW138" s="23" t="e">
        <f>EXP(-LN(2)/2)*AW137+(1-EXP(-LN(2)/2))/(LN(2)/2)*AQ138*AT138*VLOOKUP('Données projet'!$B$10,Paramètres!$A$1:$I$89,3,0)*0.475*44/12</f>
        <v>#N/A</v>
      </c>
      <c r="AX138" s="23" t="e">
        <f t="shared" si="114"/>
        <v>#N/A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70">
        <f t="shared" si="110"/>
        <v>256.66666666666669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-1.1368683772161603E-13</v>
      </c>
      <c r="O139" s="14">
        <f>N139*VLOOKUP('Données projet'!$B$9,Paramètres!$A$1:$I$89,3,0)*VLOOKUP('Données projet'!$B$9,Paramètres!$A$1:$I$89,5,0)</f>
        <v>-6.7984728957526396E-14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348.62416478262719</v>
      </c>
      <c r="T139" s="62">
        <f t="shared" si="142"/>
        <v>371.70674704563288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1.7412922776244639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2.5602370701856068E-15</v>
      </c>
      <c r="AC139" s="24">
        <f t="shared" si="111"/>
        <v>1.7412922776244666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 t="e">
        <f>AI139*VLOOKUP('Données projet'!$B$10,Paramètres!$A$1:$I$89,3,0)*VLOOKUP('Données projet'!$B$10,Paramètres!$A$1:$I$89,5,0)</f>
        <v>#N/A</v>
      </c>
      <c r="AK139" s="14" t="e">
        <f t="shared" si="143"/>
        <v>#N/A</v>
      </c>
      <c r="AL139" s="22" t="e">
        <f t="shared" si="112"/>
        <v>#N/A</v>
      </c>
      <c r="AM139" s="62" t="e">
        <f t="shared" si="113"/>
        <v>#N/A</v>
      </c>
      <c r="AN139" s="62" t="e">
        <f ca="1">AVERAGE(OFFSET($AM$3,0,0,'Données projet'!$E$10+1,1))-AVERAGE(OFFSET($H$3,0,0,'Données projet'!$E$10+1,1))</f>
        <v>#N/A</v>
      </c>
      <c r="AO139" s="62" t="e">
        <f t="shared" si="144"/>
        <v>#N/A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 t="e">
        <f>EXP(-LN(2)/35)*AU138+(1-EXP(-LN(2)/35))/(LN(2)/35)*AQ139*AR139*VLOOKUP('Données projet'!$B$10,Paramètres!$A$1:$I$89,3,0)*0.475*44/12</f>
        <v>#N/A</v>
      </c>
      <c r="AV139" s="23" t="e">
        <f>EXP(-LN(2)/25)*AV138+(1-EXP(-LN(2)/25))/(LN(2)/25)*Calculateur!AQ139*Calculateur!AS139*VLOOKUP('Données projet'!$B$10,Paramètres!$A$1:$I$89,3,0)*0.475*44/12</f>
        <v>#N/A</v>
      </c>
      <c r="AW139" s="23" t="e">
        <f>EXP(-LN(2)/2)*AW138+(1-EXP(-LN(2)/2))/(LN(2)/2)*AQ139*AT139*VLOOKUP('Données projet'!$B$10,Paramètres!$A$1:$I$89,3,0)*0.475*44/12</f>
        <v>#N/A</v>
      </c>
      <c r="AX139" s="23" t="e">
        <f t="shared" si="114"/>
        <v>#N/A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70">
        <f t="shared" si="110"/>
        <v>256.66666666666669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-1.1368683772161603E-13</v>
      </c>
      <c r="O140" s="14">
        <f>N140*VLOOKUP('Données projet'!$B$9,Paramètres!$A$1:$I$89,3,0)*VLOOKUP('Données projet'!$B$9,Paramètres!$A$1:$I$89,5,0)</f>
        <v>-6.7984728957526396E-14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348.62416478262719</v>
      </c>
      <c r="T140" s="62">
        <f t="shared" si="142"/>
        <v>371.70674704563288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1.7071465981436655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1.8103609937734214E-15</v>
      </c>
      <c r="AC140" s="24">
        <f t="shared" si="111"/>
        <v>1.7071465981436673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 t="e">
        <f>AI140*VLOOKUP('Données projet'!$B$10,Paramètres!$A$1:$I$89,3,0)*VLOOKUP('Données projet'!$B$10,Paramètres!$A$1:$I$89,5,0)</f>
        <v>#N/A</v>
      </c>
      <c r="AK140" s="14" t="e">
        <f t="shared" si="143"/>
        <v>#N/A</v>
      </c>
      <c r="AL140" s="22" t="e">
        <f t="shared" si="112"/>
        <v>#N/A</v>
      </c>
      <c r="AM140" s="62" t="e">
        <f t="shared" si="113"/>
        <v>#N/A</v>
      </c>
      <c r="AN140" s="62" t="e">
        <f ca="1">AVERAGE(OFFSET($AM$3,0,0,'Données projet'!$E$10+1,1))-AVERAGE(OFFSET($H$3,0,0,'Données projet'!$E$10+1,1))</f>
        <v>#N/A</v>
      </c>
      <c r="AO140" s="62" t="e">
        <f t="shared" si="144"/>
        <v>#N/A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 t="e">
        <f>EXP(-LN(2)/35)*AU139+(1-EXP(-LN(2)/35))/(LN(2)/35)*AQ140*AR140*VLOOKUP('Données projet'!$B$10,Paramètres!$A$1:$I$89,3,0)*0.475*44/12</f>
        <v>#N/A</v>
      </c>
      <c r="AV140" s="23" t="e">
        <f>EXP(-LN(2)/25)*AV139+(1-EXP(-LN(2)/25))/(LN(2)/25)*Calculateur!AQ140*Calculateur!AS140*VLOOKUP('Données projet'!$B$10,Paramètres!$A$1:$I$89,3,0)*0.475*44/12</f>
        <v>#N/A</v>
      </c>
      <c r="AW140" s="23" t="e">
        <f>EXP(-LN(2)/2)*AW139+(1-EXP(-LN(2)/2))/(LN(2)/2)*AQ140*AT140*VLOOKUP('Données projet'!$B$10,Paramètres!$A$1:$I$89,3,0)*0.475*44/12</f>
        <v>#N/A</v>
      </c>
      <c r="AX140" s="23" t="e">
        <f t="shared" si="114"/>
        <v>#N/A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70">
        <f t="shared" si="110"/>
        <v>256.66666666666669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-1.1368683772161603E-13</v>
      </c>
      <c r="O141" s="14">
        <f>N141*VLOOKUP('Données projet'!$B$9,Paramètres!$A$1:$I$89,3,0)*VLOOKUP('Données projet'!$B$9,Paramètres!$A$1:$I$89,5,0)</f>
        <v>-6.7984728957526396E-14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348.62416478262719</v>
      </c>
      <c r="T141" s="62">
        <f t="shared" si="142"/>
        <v>371.70674704563288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1.6736704946106775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1.2801185350928034E-15</v>
      </c>
      <c r="AC141" s="24">
        <f t="shared" si="111"/>
        <v>1.6736704946106788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 t="e">
        <f>AI141*VLOOKUP('Données projet'!$B$10,Paramètres!$A$1:$I$89,3,0)*VLOOKUP('Données projet'!$B$10,Paramètres!$A$1:$I$89,5,0)</f>
        <v>#N/A</v>
      </c>
      <c r="AK141" s="14" t="e">
        <f t="shared" si="143"/>
        <v>#N/A</v>
      </c>
      <c r="AL141" s="22" t="e">
        <f t="shared" si="112"/>
        <v>#N/A</v>
      </c>
      <c r="AM141" s="62" t="e">
        <f t="shared" si="113"/>
        <v>#N/A</v>
      </c>
      <c r="AN141" s="62" t="e">
        <f ca="1">AVERAGE(OFFSET($AM$3,0,0,'Données projet'!$E$10+1,1))-AVERAGE(OFFSET($H$3,0,0,'Données projet'!$E$10+1,1))</f>
        <v>#N/A</v>
      </c>
      <c r="AO141" s="62" t="e">
        <f t="shared" si="144"/>
        <v>#N/A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 t="e">
        <f>EXP(-LN(2)/35)*AU140+(1-EXP(-LN(2)/35))/(LN(2)/35)*AQ141*AR141*VLOOKUP('Données projet'!$B$10,Paramètres!$A$1:$I$89,3,0)*0.475*44/12</f>
        <v>#N/A</v>
      </c>
      <c r="AV141" s="23" t="e">
        <f>EXP(-LN(2)/25)*AV140+(1-EXP(-LN(2)/25))/(LN(2)/25)*Calculateur!AQ141*Calculateur!AS141*VLOOKUP('Données projet'!$B$10,Paramètres!$A$1:$I$89,3,0)*0.475*44/12</f>
        <v>#N/A</v>
      </c>
      <c r="AW141" s="23" t="e">
        <f>EXP(-LN(2)/2)*AW140+(1-EXP(-LN(2)/2))/(LN(2)/2)*AQ141*AT141*VLOOKUP('Données projet'!$B$10,Paramètres!$A$1:$I$89,3,0)*0.475*44/12</f>
        <v>#N/A</v>
      </c>
      <c r="AX141" s="23" t="e">
        <f t="shared" si="114"/>
        <v>#N/A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70">
        <f t="shared" si="110"/>
        <v>256.66666666666669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-1.1368683772161603E-13</v>
      </c>
      <c r="O142" s="14">
        <f>N142*VLOOKUP('Données projet'!$B$9,Paramètres!$A$1:$I$89,3,0)*VLOOKUP('Données projet'!$B$9,Paramètres!$A$1:$I$89,5,0)</f>
        <v>-6.7984728957526396E-14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348.62416478262719</v>
      </c>
      <c r="T142" s="62">
        <f t="shared" si="142"/>
        <v>371.70674704563288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1.6408508370495645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9.051804968867107E-16</v>
      </c>
      <c r="AC142" s="24">
        <f t="shared" si="111"/>
        <v>1.6408508370495654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 t="e">
        <f>AI142*VLOOKUP('Données projet'!$B$10,Paramètres!$A$1:$I$89,3,0)*VLOOKUP('Données projet'!$B$10,Paramètres!$A$1:$I$89,5,0)</f>
        <v>#N/A</v>
      </c>
      <c r="AK142" s="14" t="e">
        <f t="shared" si="143"/>
        <v>#N/A</v>
      </c>
      <c r="AL142" s="22" t="e">
        <f t="shared" si="112"/>
        <v>#N/A</v>
      </c>
      <c r="AM142" s="62" t="e">
        <f t="shared" si="113"/>
        <v>#N/A</v>
      </c>
      <c r="AN142" s="62" t="e">
        <f ca="1">AVERAGE(OFFSET($AM$3,0,0,'Données projet'!$E$10+1,1))-AVERAGE(OFFSET($H$3,0,0,'Données projet'!$E$10+1,1))</f>
        <v>#N/A</v>
      </c>
      <c r="AO142" s="62" t="e">
        <f t="shared" si="144"/>
        <v>#N/A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 t="e">
        <f>EXP(-LN(2)/35)*AU141+(1-EXP(-LN(2)/35))/(LN(2)/35)*AQ142*AR142*VLOOKUP('Données projet'!$B$10,Paramètres!$A$1:$I$89,3,0)*0.475*44/12</f>
        <v>#N/A</v>
      </c>
      <c r="AV142" s="23" t="e">
        <f>EXP(-LN(2)/25)*AV141+(1-EXP(-LN(2)/25))/(LN(2)/25)*Calculateur!AQ142*Calculateur!AS142*VLOOKUP('Données projet'!$B$10,Paramètres!$A$1:$I$89,3,0)*0.475*44/12</f>
        <v>#N/A</v>
      </c>
      <c r="AW142" s="23" t="e">
        <f>EXP(-LN(2)/2)*AW141+(1-EXP(-LN(2)/2))/(LN(2)/2)*AQ142*AT142*VLOOKUP('Données projet'!$B$10,Paramètres!$A$1:$I$89,3,0)*0.475*44/12</f>
        <v>#N/A</v>
      </c>
      <c r="AX142" s="23" t="e">
        <f t="shared" si="114"/>
        <v>#N/A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70">
        <f t="shared" si="110"/>
        <v>256.66666666666669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-1.1368683772161603E-13</v>
      </c>
      <c r="O143" s="14">
        <f>N143*VLOOKUP('Données projet'!$B$9,Paramètres!$A$1:$I$89,3,0)*VLOOKUP('Données projet'!$B$9,Paramètres!$A$1:$I$89,5,0)</f>
        <v>-6.7984728957526396E-14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348.62416478262719</v>
      </c>
      <c r="T143" s="62">
        <f t="shared" si="142"/>
        <v>371.70674704563288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1.6086747529552103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6.4005926754640171E-16</v>
      </c>
      <c r="AC143" s="24">
        <f t="shared" si="111"/>
        <v>1.608674752955211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 t="e">
        <f>AI143*VLOOKUP('Données projet'!$B$10,Paramètres!$A$1:$I$89,3,0)*VLOOKUP('Données projet'!$B$10,Paramètres!$A$1:$I$89,5,0)</f>
        <v>#N/A</v>
      </c>
      <c r="AK143" s="14" t="e">
        <f t="shared" si="143"/>
        <v>#N/A</v>
      </c>
      <c r="AL143" s="22" t="e">
        <f t="shared" si="112"/>
        <v>#N/A</v>
      </c>
      <c r="AM143" s="62" t="e">
        <f t="shared" si="113"/>
        <v>#N/A</v>
      </c>
      <c r="AN143" s="62" t="e">
        <f ca="1">AVERAGE(OFFSET($AM$3,0,0,'Données projet'!$E$10+1,1))-AVERAGE(OFFSET($H$3,0,0,'Données projet'!$E$10+1,1))</f>
        <v>#N/A</v>
      </c>
      <c r="AO143" s="62" t="e">
        <f t="shared" si="144"/>
        <v>#N/A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 t="e">
        <f>EXP(-LN(2)/35)*AU142+(1-EXP(-LN(2)/35))/(LN(2)/35)*AQ143*AR143*VLOOKUP('Données projet'!$B$10,Paramètres!$A$1:$I$89,3,0)*0.475*44/12</f>
        <v>#N/A</v>
      </c>
      <c r="AV143" s="23" t="e">
        <f>EXP(-LN(2)/25)*AV142+(1-EXP(-LN(2)/25))/(LN(2)/25)*Calculateur!AQ143*Calculateur!AS143*VLOOKUP('Données projet'!$B$10,Paramètres!$A$1:$I$89,3,0)*0.475*44/12</f>
        <v>#N/A</v>
      </c>
      <c r="AW143" s="23" t="e">
        <f>EXP(-LN(2)/2)*AW142+(1-EXP(-LN(2)/2))/(LN(2)/2)*AQ143*AT143*VLOOKUP('Données projet'!$B$10,Paramètres!$A$1:$I$89,3,0)*0.475*44/12</f>
        <v>#N/A</v>
      </c>
      <c r="AX143" s="23" t="e">
        <f t="shared" si="114"/>
        <v>#N/A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70">
        <f t="shared" si="110"/>
        <v>256.66666666666669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-1.1368683772161603E-13</v>
      </c>
      <c r="O144" s="14">
        <f>N144*VLOOKUP('Données projet'!$B$9,Paramètres!$A$1:$I$89,3,0)*VLOOKUP('Données projet'!$B$9,Paramètres!$A$1:$I$89,5,0)</f>
        <v>-6.7984728957526396E-14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348.62416478262719</v>
      </c>
      <c r="T144" s="62">
        <f t="shared" si="142"/>
        <v>371.70674704563288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1.5771296222444731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4.5259024844335535E-16</v>
      </c>
      <c r="AC144" s="24">
        <f t="shared" si="111"/>
        <v>1.5771296222444735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 t="e">
        <f>AI144*VLOOKUP('Données projet'!$B$10,Paramètres!$A$1:$I$89,3,0)*VLOOKUP('Données projet'!$B$10,Paramètres!$A$1:$I$89,5,0)</f>
        <v>#N/A</v>
      </c>
      <c r="AK144" s="14" t="e">
        <f t="shared" si="143"/>
        <v>#N/A</v>
      </c>
      <c r="AL144" s="22" t="e">
        <f t="shared" si="112"/>
        <v>#N/A</v>
      </c>
      <c r="AM144" s="62" t="e">
        <f t="shared" si="113"/>
        <v>#N/A</v>
      </c>
      <c r="AN144" s="62" t="e">
        <f ca="1">AVERAGE(OFFSET($AM$3,0,0,'Données projet'!$E$10+1,1))-AVERAGE(OFFSET($H$3,0,0,'Données projet'!$E$10+1,1))</f>
        <v>#N/A</v>
      </c>
      <c r="AO144" s="62" t="e">
        <f t="shared" si="144"/>
        <v>#N/A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 t="e">
        <f>EXP(-LN(2)/35)*AU143+(1-EXP(-LN(2)/35))/(LN(2)/35)*AQ144*AR144*VLOOKUP('Données projet'!$B$10,Paramètres!$A$1:$I$89,3,0)*0.475*44/12</f>
        <v>#N/A</v>
      </c>
      <c r="AV144" s="23" t="e">
        <f>EXP(-LN(2)/25)*AV143+(1-EXP(-LN(2)/25))/(LN(2)/25)*Calculateur!AQ144*Calculateur!AS144*VLOOKUP('Données projet'!$B$10,Paramètres!$A$1:$I$89,3,0)*0.475*44/12</f>
        <v>#N/A</v>
      </c>
      <c r="AW144" s="23" t="e">
        <f>EXP(-LN(2)/2)*AW143+(1-EXP(-LN(2)/2))/(LN(2)/2)*AQ144*AT144*VLOOKUP('Données projet'!$B$10,Paramètres!$A$1:$I$89,3,0)*0.475*44/12</f>
        <v>#N/A</v>
      </c>
      <c r="AX144" s="23" t="e">
        <f t="shared" si="114"/>
        <v>#N/A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70">
        <f t="shared" si="110"/>
        <v>256.66666666666669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-1.1368683772161603E-13</v>
      </c>
      <c r="O145" s="14">
        <f>N145*VLOOKUP('Données projet'!$B$9,Paramètres!$A$1:$I$89,3,0)*VLOOKUP('Données projet'!$B$9,Paramètres!$A$1:$I$89,5,0)</f>
        <v>-6.7984728957526396E-14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348.62416478262719</v>
      </c>
      <c r="T145" s="62">
        <f t="shared" si="142"/>
        <v>371.70674704563288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1.5462030723063434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3.2002963377320086E-16</v>
      </c>
      <c r="AC145" s="24">
        <f t="shared" si="111"/>
        <v>1.5462030723063436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 t="e">
        <f>AI145*VLOOKUP('Données projet'!$B$10,Paramètres!$A$1:$I$89,3,0)*VLOOKUP('Données projet'!$B$10,Paramètres!$A$1:$I$89,5,0)</f>
        <v>#N/A</v>
      </c>
      <c r="AK145" s="14" t="e">
        <f t="shared" si="143"/>
        <v>#N/A</v>
      </c>
      <c r="AL145" s="22" t="e">
        <f t="shared" si="112"/>
        <v>#N/A</v>
      </c>
      <c r="AM145" s="62" t="e">
        <f t="shared" si="113"/>
        <v>#N/A</v>
      </c>
      <c r="AN145" s="62" t="e">
        <f ca="1">AVERAGE(OFFSET($AM$3,0,0,'Données projet'!$E$10+1,1))-AVERAGE(OFFSET($H$3,0,0,'Données projet'!$E$10+1,1))</f>
        <v>#N/A</v>
      </c>
      <c r="AO145" s="62" t="e">
        <f t="shared" si="144"/>
        <v>#N/A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 t="e">
        <f>EXP(-LN(2)/35)*AU144+(1-EXP(-LN(2)/35))/(LN(2)/35)*AQ145*AR145*VLOOKUP('Données projet'!$B$10,Paramètres!$A$1:$I$89,3,0)*0.475*44/12</f>
        <v>#N/A</v>
      </c>
      <c r="AV145" s="23" t="e">
        <f>EXP(-LN(2)/25)*AV144+(1-EXP(-LN(2)/25))/(LN(2)/25)*Calculateur!AQ145*Calculateur!AS145*VLOOKUP('Données projet'!$B$10,Paramètres!$A$1:$I$89,3,0)*0.475*44/12</f>
        <v>#N/A</v>
      </c>
      <c r="AW145" s="23" t="e">
        <f>EXP(-LN(2)/2)*AW144+(1-EXP(-LN(2)/2))/(LN(2)/2)*AQ145*AT145*VLOOKUP('Données projet'!$B$10,Paramètres!$A$1:$I$89,3,0)*0.475*44/12</f>
        <v>#N/A</v>
      </c>
      <c r="AX145" s="23" t="e">
        <f t="shared" si="114"/>
        <v>#N/A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70">
        <f t="shared" si="110"/>
        <v>256.66666666666669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-1.1368683772161603E-13</v>
      </c>
      <c r="O146" s="14">
        <f>N146*VLOOKUP('Données projet'!$B$9,Paramètres!$A$1:$I$89,3,0)*VLOOKUP('Données projet'!$B$9,Paramètres!$A$1:$I$89,5,0)</f>
        <v>-6.7984728957526396E-14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348.62416478262719</v>
      </c>
      <c r="T146" s="62">
        <f t="shared" si="142"/>
        <v>371.70674704563288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1.5158829731491676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2.2629512422167767E-16</v>
      </c>
      <c r="AC146" s="24">
        <f t="shared" si="111"/>
        <v>1.5158829731491679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 t="e">
        <f>AI146*VLOOKUP('Données projet'!$B$10,Paramètres!$A$1:$I$89,3,0)*VLOOKUP('Données projet'!$B$10,Paramètres!$A$1:$I$89,5,0)</f>
        <v>#N/A</v>
      </c>
      <c r="AK146" s="14" t="e">
        <f t="shared" si="143"/>
        <v>#N/A</v>
      </c>
      <c r="AL146" s="22" t="e">
        <f t="shared" si="112"/>
        <v>#N/A</v>
      </c>
      <c r="AM146" s="62" t="e">
        <f t="shared" si="113"/>
        <v>#N/A</v>
      </c>
      <c r="AN146" s="62" t="e">
        <f ca="1">AVERAGE(OFFSET($AM$3,0,0,'Données projet'!$E$10+1,1))-AVERAGE(OFFSET($H$3,0,0,'Données projet'!$E$10+1,1))</f>
        <v>#N/A</v>
      </c>
      <c r="AO146" s="62" t="e">
        <f t="shared" si="144"/>
        <v>#N/A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 t="e">
        <f>EXP(-LN(2)/35)*AU145+(1-EXP(-LN(2)/35))/(LN(2)/35)*AQ146*AR146*VLOOKUP('Données projet'!$B$10,Paramètres!$A$1:$I$89,3,0)*0.475*44/12</f>
        <v>#N/A</v>
      </c>
      <c r="AV146" s="23" t="e">
        <f>EXP(-LN(2)/25)*AV145+(1-EXP(-LN(2)/25))/(LN(2)/25)*Calculateur!AQ146*Calculateur!AS146*VLOOKUP('Données projet'!$B$10,Paramètres!$A$1:$I$89,3,0)*0.475*44/12</f>
        <v>#N/A</v>
      </c>
      <c r="AW146" s="23" t="e">
        <f>EXP(-LN(2)/2)*AW145+(1-EXP(-LN(2)/2))/(LN(2)/2)*AQ146*AT146*VLOOKUP('Données projet'!$B$10,Paramètres!$A$1:$I$89,3,0)*0.475*44/12</f>
        <v>#N/A</v>
      </c>
      <c r="AX146" s="23" t="e">
        <f t="shared" si="114"/>
        <v>#N/A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70">
        <f t="shared" si="110"/>
        <v>256.66666666666669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-1.1368683772161603E-13</v>
      </c>
      <c r="O147" s="14">
        <f>N147*VLOOKUP('Données projet'!$B$9,Paramètres!$A$1:$I$89,3,0)*VLOOKUP('Données projet'!$B$9,Paramètres!$A$1:$I$89,5,0)</f>
        <v>-6.7984728957526396E-14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348.62416478262719</v>
      </c>
      <c r="T147" s="62">
        <f t="shared" si="142"/>
        <v>371.70674704563288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1.4861574326430298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1.6001481688660043E-16</v>
      </c>
      <c r="AC147" s="24">
        <f t="shared" si="111"/>
        <v>1.48615743264303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 t="e">
        <f>AI147*VLOOKUP('Données projet'!$B$10,Paramètres!$A$1:$I$89,3,0)*VLOOKUP('Données projet'!$B$10,Paramètres!$A$1:$I$89,5,0)</f>
        <v>#N/A</v>
      </c>
      <c r="AK147" s="14" t="e">
        <f t="shared" si="143"/>
        <v>#N/A</v>
      </c>
      <c r="AL147" s="22" t="e">
        <f t="shared" si="112"/>
        <v>#N/A</v>
      </c>
      <c r="AM147" s="62" t="e">
        <f t="shared" si="113"/>
        <v>#N/A</v>
      </c>
      <c r="AN147" s="62" t="e">
        <f ca="1">AVERAGE(OFFSET($AM$3,0,0,'Données projet'!$E$10+1,1))-AVERAGE(OFFSET($H$3,0,0,'Données projet'!$E$10+1,1))</f>
        <v>#N/A</v>
      </c>
      <c r="AO147" s="62" t="e">
        <f t="shared" si="144"/>
        <v>#N/A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 t="e">
        <f>EXP(-LN(2)/35)*AU146+(1-EXP(-LN(2)/35))/(LN(2)/35)*AQ147*AR147*VLOOKUP('Données projet'!$B$10,Paramètres!$A$1:$I$89,3,0)*0.475*44/12</f>
        <v>#N/A</v>
      </c>
      <c r="AV147" s="23" t="e">
        <f>EXP(-LN(2)/25)*AV146+(1-EXP(-LN(2)/25))/(LN(2)/25)*Calculateur!AQ147*Calculateur!AS147*VLOOKUP('Données projet'!$B$10,Paramètres!$A$1:$I$89,3,0)*0.475*44/12</f>
        <v>#N/A</v>
      </c>
      <c r="AW147" s="23" t="e">
        <f>EXP(-LN(2)/2)*AW146+(1-EXP(-LN(2)/2))/(LN(2)/2)*AQ147*AT147*VLOOKUP('Données projet'!$B$10,Paramètres!$A$1:$I$89,3,0)*0.475*44/12</f>
        <v>#N/A</v>
      </c>
      <c r="AX147" s="23" t="e">
        <f t="shared" si="114"/>
        <v>#N/A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70">
        <f t="shared" si="110"/>
        <v>256.66666666666669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-1.1368683772161603E-13</v>
      </c>
      <c r="O148" s="14">
        <f>N148*VLOOKUP('Données projet'!$B$9,Paramètres!$A$1:$I$89,3,0)*VLOOKUP('Données projet'!$B$9,Paramètres!$A$1:$I$89,5,0)</f>
        <v>-6.7984728957526396E-14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348.62416478262719</v>
      </c>
      <c r="T148" s="62">
        <f t="shared" si="142"/>
        <v>371.70674704563288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1.4570147918554277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1.1314756211083884E-16</v>
      </c>
      <c r="AC148" s="24">
        <f t="shared" si="111"/>
        <v>1.4570147918554279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 t="e">
        <f>AI148*VLOOKUP('Données projet'!$B$10,Paramètres!$A$1:$I$89,3,0)*VLOOKUP('Données projet'!$B$10,Paramètres!$A$1:$I$89,5,0)</f>
        <v>#N/A</v>
      </c>
      <c r="AK148" s="14" t="e">
        <f t="shared" si="143"/>
        <v>#N/A</v>
      </c>
      <c r="AL148" s="22" t="e">
        <f t="shared" si="112"/>
        <v>#N/A</v>
      </c>
      <c r="AM148" s="62" t="e">
        <f t="shared" si="113"/>
        <v>#N/A</v>
      </c>
      <c r="AN148" s="62" t="e">
        <f ca="1">AVERAGE(OFFSET($AM$3,0,0,'Données projet'!$E$10+1,1))-AVERAGE(OFFSET($H$3,0,0,'Données projet'!$E$10+1,1))</f>
        <v>#N/A</v>
      </c>
      <c r="AO148" s="62" t="e">
        <f t="shared" si="144"/>
        <v>#N/A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 t="e">
        <f>EXP(-LN(2)/35)*AU147+(1-EXP(-LN(2)/35))/(LN(2)/35)*AQ148*AR148*VLOOKUP('Données projet'!$B$10,Paramètres!$A$1:$I$89,3,0)*0.475*44/12</f>
        <v>#N/A</v>
      </c>
      <c r="AV148" s="23" t="e">
        <f>EXP(-LN(2)/25)*AV147+(1-EXP(-LN(2)/25))/(LN(2)/25)*Calculateur!AQ148*Calculateur!AS148*VLOOKUP('Données projet'!$B$10,Paramètres!$A$1:$I$89,3,0)*0.475*44/12</f>
        <v>#N/A</v>
      </c>
      <c r="AW148" s="23" t="e">
        <f>EXP(-LN(2)/2)*AW147+(1-EXP(-LN(2)/2))/(LN(2)/2)*AQ148*AT148*VLOOKUP('Données projet'!$B$10,Paramètres!$A$1:$I$89,3,0)*0.475*44/12</f>
        <v>#N/A</v>
      </c>
      <c r="AX148" s="23" t="e">
        <f t="shared" si="114"/>
        <v>#N/A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70">
        <f t="shared" si="110"/>
        <v>256.66666666666669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-1.1368683772161603E-13</v>
      </c>
      <c r="O149" s="14">
        <f>N149*VLOOKUP('Données projet'!$B$9,Paramètres!$A$1:$I$89,3,0)*VLOOKUP('Données projet'!$B$9,Paramètres!$A$1:$I$89,5,0)</f>
        <v>-6.7984728957526396E-14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348.62416478262719</v>
      </c>
      <c r="T149" s="62">
        <f t="shared" si="142"/>
        <v>371.70674704563288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1.4284436204784148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8.0007408443300214E-17</v>
      </c>
      <c r="AC149" s="24">
        <f t="shared" si="111"/>
        <v>1.4284436204784148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 t="e">
        <f>AI149*VLOOKUP('Données projet'!$B$10,Paramètres!$A$1:$I$89,3,0)*VLOOKUP('Données projet'!$B$10,Paramètres!$A$1:$I$89,5,0)</f>
        <v>#N/A</v>
      </c>
      <c r="AK149" s="14" t="e">
        <f t="shared" si="143"/>
        <v>#N/A</v>
      </c>
      <c r="AL149" s="22" t="e">
        <f t="shared" si="112"/>
        <v>#N/A</v>
      </c>
      <c r="AM149" s="62" t="e">
        <f t="shared" si="113"/>
        <v>#N/A</v>
      </c>
      <c r="AN149" s="62" t="e">
        <f ca="1">AVERAGE(OFFSET($AM$3,0,0,'Données projet'!$E$10+1,1))-AVERAGE(OFFSET($H$3,0,0,'Données projet'!$E$10+1,1))</f>
        <v>#N/A</v>
      </c>
      <c r="AO149" s="62" t="e">
        <f t="shared" si="144"/>
        <v>#N/A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 t="e">
        <f>EXP(-LN(2)/35)*AU148+(1-EXP(-LN(2)/35))/(LN(2)/35)*AQ149*AR149*VLOOKUP('Données projet'!$B$10,Paramètres!$A$1:$I$89,3,0)*0.475*44/12</f>
        <v>#N/A</v>
      </c>
      <c r="AV149" s="23" t="e">
        <f>EXP(-LN(2)/25)*AV148+(1-EXP(-LN(2)/25))/(LN(2)/25)*Calculateur!AQ149*Calculateur!AS149*VLOOKUP('Données projet'!$B$10,Paramètres!$A$1:$I$89,3,0)*0.475*44/12</f>
        <v>#N/A</v>
      </c>
      <c r="AW149" s="23" t="e">
        <f>EXP(-LN(2)/2)*AW148+(1-EXP(-LN(2)/2))/(LN(2)/2)*AQ149*AT149*VLOOKUP('Données projet'!$B$10,Paramètres!$A$1:$I$89,3,0)*0.475*44/12</f>
        <v>#N/A</v>
      </c>
      <c r="AX149" s="23" t="e">
        <f t="shared" si="114"/>
        <v>#N/A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70">
        <f t="shared" si="110"/>
        <v>256.66666666666669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-1.1368683772161603E-13</v>
      </c>
      <c r="O150" s="14">
        <f>N150*VLOOKUP('Données projet'!$B$9,Paramètres!$A$1:$I$89,3,0)*VLOOKUP('Données projet'!$B$9,Paramètres!$A$1:$I$89,5,0)</f>
        <v>-6.7984728957526396E-14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348.62416478262719</v>
      </c>
      <c r="T150" s="62">
        <f t="shared" si="142"/>
        <v>371.70674704563288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1.4004327123454112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5.6573781055419419E-17</v>
      </c>
      <c r="AC150" s="24">
        <f t="shared" si="111"/>
        <v>1.4004327123454112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 t="e">
        <f>AI150*VLOOKUP('Données projet'!$B$10,Paramètres!$A$1:$I$89,3,0)*VLOOKUP('Données projet'!$B$10,Paramètres!$A$1:$I$89,5,0)</f>
        <v>#N/A</v>
      </c>
      <c r="AK150" s="14" t="e">
        <f t="shared" si="143"/>
        <v>#N/A</v>
      </c>
      <c r="AL150" s="22" t="e">
        <f t="shared" si="112"/>
        <v>#N/A</v>
      </c>
      <c r="AM150" s="62" t="e">
        <f t="shared" si="113"/>
        <v>#N/A</v>
      </c>
      <c r="AN150" s="62" t="e">
        <f ca="1">AVERAGE(OFFSET($AM$3,0,0,'Données projet'!$E$10+1,1))-AVERAGE(OFFSET($H$3,0,0,'Données projet'!$E$10+1,1))</f>
        <v>#N/A</v>
      </c>
      <c r="AO150" s="62" t="e">
        <f t="shared" si="144"/>
        <v>#N/A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 t="e">
        <f>EXP(-LN(2)/35)*AU149+(1-EXP(-LN(2)/35))/(LN(2)/35)*AQ150*AR150*VLOOKUP('Données projet'!$B$10,Paramètres!$A$1:$I$89,3,0)*0.475*44/12</f>
        <v>#N/A</v>
      </c>
      <c r="AV150" s="23" t="e">
        <f>EXP(-LN(2)/25)*AV149+(1-EXP(-LN(2)/25))/(LN(2)/25)*Calculateur!AQ150*Calculateur!AS150*VLOOKUP('Données projet'!$B$10,Paramètres!$A$1:$I$89,3,0)*0.475*44/12</f>
        <v>#N/A</v>
      </c>
      <c r="AW150" s="23" t="e">
        <f>EXP(-LN(2)/2)*AW149+(1-EXP(-LN(2)/2))/(LN(2)/2)*AQ150*AT150*VLOOKUP('Données projet'!$B$10,Paramètres!$A$1:$I$89,3,0)*0.475*44/12</f>
        <v>#N/A</v>
      </c>
      <c r="AX150" s="23" t="e">
        <f t="shared" si="114"/>
        <v>#N/A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70">
        <f t="shared" si="110"/>
        <v>256.66666666666669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-1.1368683772161603E-13</v>
      </c>
      <c r="O151" s="14">
        <f>N151*VLOOKUP('Données projet'!$B$9,Paramètres!$A$1:$I$89,3,0)*VLOOKUP('Données projet'!$B$9,Paramètres!$A$1:$I$89,5,0)</f>
        <v>-6.7984728957526396E-14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348.62416478262719</v>
      </c>
      <c r="T151" s="62">
        <f t="shared" si="142"/>
        <v>371.70674704563288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1.372971081035929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4.0003704221650107E-17</v>
      </c>
      <c r="AC151" s="24">
        <f t="shared" si="111"/>
        <v>1.372971081035929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 t="e">
        <f>AI151*VLOOKUP('Données projet'!$B$10,Paramètres!$A$1:$I$89,3,0)*VLOOKUP('Données projet'!$B$10,Paramètres!$A$1:$I$89,5,0)</f>
        <v>#N/A</v>
      </c>
      <c r="AK151" s="14" t="e">
        <f t="shared" si="143"/>
        <v>#N/A</v>
      </c>
      <c r="AL151" s="22" t="e">
        <f t="shared" si="112"/>
        <v>#N/A</v>
      </c>
      <c r="AM151" s="62" t="e">
        <f t="shared" si="113"/>
        <v>#N/A</v>
      </c>
      <c r="AN151" s="62" t="e">
        <f ca="1">AVERAGE(OFFSET($AM$3,0,0,'Données projet'!$E$10+1,1))-AVERAGE(OFFSET($H$3,0,0,'Données projet'!$E$10+1,1))</f>
        <v>#N/A</v>
      </c>
      <c r="AO151" s="62" t="e">
        <f t="shared" si="144"/>
        <v>#N/A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 t="e">
        <f>EXP(-LN(2)/35)*AU150+(1-EXP(-LN(2)/35))/(LN(2)/35)*AQ151*AR151*VLOOKUP('Données projet'!$B$10,Paramètres!$A$1:$I$89,3,0)*0.475*44/12</f>
        <v>#N/A</v>
      </c>
      <c r="AV151" s="23" t="e">
        <f>EXP(-LN(2)/25)*AV150+(1-EXP(-LN(2)/25))/(LN(2)/25)*Calculateur!AQ151*Calculateur!AS151*VLOOKUP('Données projet'!$B$10,Paramètres!$A$1:$I$89,3,0)*0.475*44/12</f>
        <v>#N/A</v>
      </c>
      <c r="AW151" s="23" t="e">
        <f>EXP(-LN(2)/2)*AW150+(1-EXP(-LN(2)/2))/(LN(2)/2)*AQ151*AT151*VLOOKUP('Données projet'!$B$10,Paramètres!$A$1:$I$89,3,0)*0.475*44/12</f>
        <v>#N/A</v>
      </c>
      <c r="AX151" s="23" t="e">
        <f t="shared" si="114"/>
        <v>#N/A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70">
        <f t="shared" si="110"/>
        <v>256.66666666666669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-1.1368683772161603E-13</v>
      </c>
      <c r="O152" s="14">
        <f>N152*VLOOKUP('Données projet'!$B$9,Paramètres!$A$1:$I$89,3,0)*VLOOKUP('Données projet'!$B$9,Paramètres!$A$1:$I$89,5,0)</f>
        <v>-6.7984728957526396E-14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348.62416478262719</v>
      </c>
      <c r="T152" s="62">
        <f t="shared" si="142"/>
        <v>371.70674704563288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1.3460479555664846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2.8286890527709709E-17</v>
      </c>
      <c r="AC152" s="24">
        <f t="shared" si="111"/>
        <v>1.3460479555664846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 t="e">
        <f>AI152*VLOOKUP('Données projet'!$B$10,Paramètres!$A$1:$I$89,3,0)*VLOOKUP('Données projet'!$B$10,Paramètres!$A$1:$I$89,5,0)</f>
        <v>#N/A</v>
      </c>
      <c r="AK152" s="14" t="e">
        <f t="shared" si="143"/>
        <v>#N/A</v>
      </c>
      <c r="AL152" s="22" t="e">
        <f t="shared" si="112"/>
        <v>#N/A</v>
      </c>
      <c r="AM152" s="62" t="e">
        <f t="shared" si="113"/>
        <v>#N/A</v>
      </c>
      <c r="AN152" s="62" t="e">
        <f ca="1">AVERAGE(OFFSET($AM$3,0,0,'Données projet'!$E$10+1,1))-AVERAGE(OFFSET($H$3,0,0,'Données projet'!$E$10+1,1))</f>
        <v>#N/A</v>
      </c>
      <c r="AO152" s="62" t="e">
        <f t="shared" si="144"/>
        <v>#N/A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 t="e">
        <f>EXP(-LN(2)/35)*AU151+(1-EXP(-LN(2)/35))/(LN(2)/35)*AQ152*AR152*VLOOKUP('Données projet'!$B$10,Paramètres!$A$1:$I$89,3,0)*0.475*44/12</f>
        <v>#N/A</v>
      </c>
      <c r="AV152" s="23" t="e">
        <f>EXP(-LN(2)/25)*AV151+(1-EXP(-LN(2)/25))/(LN(2)/25)*Calculateur!AQ152*Calculateur!AS152*VLOOKUP('Données projet'!$B$10,Paramètres!$A$1:$I$89,3,0)*0.475*44/12</f>
        <v>#N/A</v>
      </c>
      <c r="AW152" s="23" t="e">
        <f>EXP(-LN(2)/2)*AW151+(1-EXP(-LN(2)/2))/(LN(2)/2)*AQ152*AT152*VLOOKUP('Données projet'!$B$10,Paramètres!$A$1:$I$89,3,0)*0.475*44/12</f>
        <v>#N/A</v>
      </c>
      <c r="AX152" s="23" t="e">
        <f t="shared" si="114"/>
        <v>#N/A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70">
        <f t="shared" si="110"/>
        <v>256.66666666666669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-1.1368683772161603E-13</v>
      </c>
      <c r="O153" s="14">
        <f>N153*VLOOKUP('Données projet'!$B$9,Paramètres!$A$1:$I$89,3,0)*VLOOKUP('Données projet'!$B$9,Paramètres!$A$1:$I$89,5,0)</f>
        <v>-6.7984728957526396E-14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348.62416478262719</v>
      </c>
      <c r="T153" s="62">
        <f t="shared" si="142"/>
        <v>371.70674704563288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1.3196527761660108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2.0001852110825053E-17</v>
      </c>
      <c r="AC153" s="24">
        <f t="shared" si="111"/>
        <v>1.3196527761660108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 t="e">
        <f>AI153*VLOOKUP('Données projet'!$B$10,Paramètres!$A$1:$I$89,3,0)*VLOOKUP('Données projet'!$B$10,Paramètres!$A$1:$I$89,5,0)</f>
        <v>#N/A</v>
      </c>
      <c r="AK153" s="14" t="e">
        <f t="shared" si="143"/>
        <v>#N/A</v>
      </c>
      <c r="AL153" s="22" t="e">
        <f t="shared" si="112"/>
        <v>#N/A</v>
      </c>
      <c r="AM153" s="62" t="e">
        <f t="shared" si="113"/>
        <v>#N/A</v>
      </c>
      <c r="AN153" s="62" t="e">
        <f ca="1">AVERAGE(OFFSET($AM$3,0,0,'Données projet'!$E$10+1,1))-AVERAGE(OFFSET($H$3,0,0,'Données projet'!$E$10+1,1))</f>
        <v>#N/A</v>
      </c>
      <c r="AO153" s="62" t="e">
        <f t="shared" si="144"/>
        <v>#N/A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 t="e">
        <f>EXP(-LN(2)/35)*AU152+(1-EXP(-LN(2)/35))/(LN(2)/35)*AQ153*AR153*VLOOKUP('Données projet'!$B$10,Paramètres!$A$1:$I$89,3,0)*0.475*44/12</f>
        <v>#N/A</v>
      </c>
      <c r="AV153" s="23" t="e">
        <f>EXP(-LN(2)/25)*AV152+(1-EXP(-LN(2)/25))/(LN(2)/25)*Calculateur!AQ153*Calculateur!AS153*VLOOKUP('Données projet'!$B$10,Paramètres!$A$1:$I$89,3,0)*0.475*44/12</f>
        <v>#N/A</v>
      </c>
      <c r="AW153" s="23" t="e">
        <f>EXP(-LN(2)/2)*AW152+(1-EXP(-LN(2)/2))/(LN(2)/2)*AQ153*AT153*VLOOKUP('Données projet'!$B$10,Paramètres!$A$1:$I$89,3,0)*0.475*44/12</f>
        <v>#N/A</v>
      </c>
      <c r="AX153" s="23" t="e">
        <f t="shared" si="114"/>
        <v>#N/A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70">
        <f t="shared" si="110"/>
        <v>256.66666666666669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-1.1368683772161603E-13</v>
      </c>
      <c r="O154" s="14">
        <f>N154*VLOOKUP('Données projet'!$B$9,Paramètres!$A$1:$I$89,3,0)*VLOOKUP('Données projet'!$B$9,Paramètres!$A$1:$I$89,5,0)</f>
        <v>-6.7984728957526396E-14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348.62416478262719</v>
      </c>
      <c r="T154" s="62">
        <f t="shared" si="142"/>
        <v>371.70674704563288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1.2937751901341108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1.4143445263854855E-17</v>
      </c>
      <c r="AC154" s="24">
        <f t="shared" ref="AC154:AC203" si="163">SUM(Z154:AB154)</f>
        <v>1.2937751901341108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 t="e">
        <f>AI154*VLOOKUP('Données projet'!$B$10,Paramètres!$A$1:$I$89,3,0)*VLOOKUP('Données projet'!$B$10,Paramètres!$A$1:$I$89,5,0)</f>
        <v>#N/A</v>
      </c>
      <c r="AK154" s="14" t="e">
        <f t="shared" ref="AK154:AK203" si="164">EXP(-1.0587+0.8836*LN(AJ154)+0.284)</f>
        <v>#N/A</v>
      </c>
      <c r="AL154" s="22" t="e">
        <f t="shared" ref="AL154:AL203" si="165">(AJ154+AK154)*0.475*44/12</f>
        <v>#N/A</v>
      </c>
      <c r="AM154" s="62" t="e">
        <f t="shared" si="113"/>
        <v>#N/A</v>
      </c>
      <c r="AN154" s="62" t="e">
        <f ca="1">AVERAGE(OFFSET($AM$3,0,0,'Données projet'!$E$10+1,1))-AVERAGE(OFFSET($H$3,0,0,'Données projet'!$E$10+1,1))</f>
        <v>#N/A</v>
      </c>
      <c r="AO154" s="62" t="e">
        <f t="shared" si="144"/>
        <v>#N/A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 t="e">
        <f>EXP(-LN(2)/35)*AU153+(1-EXP(-LN(2)/35))/(LN(2)/35)*AQ154*AR154*VLOOKUP('Données projet'!$B$10,Paramètres!$A$1:$I$89,3,0)*0.475*44/12</f>
        <v>#N/A</v>
      </c>
      <c r="AV154" s="23" t="e">
        <f>EXP(-LN(2)/25)*AV153+(1-EXP(-LN(2)/25))/(LN(2)/25)*Calculateur!AQ154*Calculateur!AS154*VLOOKUP('Données projet'!$B$10,Paramètres!$A$1:$I$89,3,0)*0.475*44/12</f>
        <v>#N/A</v>
      </c>
      <c r="AW154" s="23" t="e">
        <f>EXP(-LN(2)/2)*AW153+(1-EXP(-LN(2)/2))/(LN(2)/2)*AQ154*AT154*VLOOKUP('Données projet'!$B$10,Paramètres!$A$1:$I$89,3,0)*0.475*44/12</f>
        <v>#N/A</v>
      </c>
      <c r="AX154" s="23" t="e">
        <f t="shared" ref="AX154:AX203" si="166">SUM(AU154:AW154)</f>
        <v>#N/A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70">
        <f t="shared" si="110"/>
        <v>256.66666666666669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-1.1368683772161603E-13</v>
      </c>
      <c r="O155" s="14">
        <f>N155*VLOOKUP('Données projet'!$B$9,Paramètres!$A$1:$I$89,3,0)*VLOOKUP('Données projet'!$B$9,Paramètres!$A$1:$I$89,5,0)</f>
        <v>-6.7984728957526396E-14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348.62416478262719</v>
      </c>
      <c r="T155" s="62">
        <f t="shared" si="142"/>
        <v>371.70674704563288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1.2684050477805273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1.0000926055412527E-17</v>
      </c>
      <c r="AC155" s="24">
        <f t="shared" si="163"/>
        <v>1.2684050477805273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 t="e">
        <f>AI155*VLOOKUP('Données projet'!$B$10,Paramètres!$A$1:$I$89,3,0)*VLOOKUP('Données projet'!$B$10,Paramètres!$A$1:$I$89,5,0)</f>
        <v>#N/A</v>
      </c>
      <c r="AK155" s="14" t="e">
        <f t="shared" si="164"/>
        <v>#N/A</v>
      </c>
      <c r="AL155" s="22" t="e">
        <f t="shared" si="165"/>
        <v>#N/A</v>
      </c>
      <c r="AM155" s="62" t="e">
        <f t="shared" si="113"/>
        <v>#N/A</v>
      </c>
      <c r="AN155" s="62" t="e">
        <f ca="1">AVERAGE(OFFSET($AM$3,0,0,'Données projet'!$E$10+1,1))-AVERAGE(OFFSET($H$3,0,0,'Données projet'!$E$10+1,1))</f>
        <v>#N/A</v>
      </c>
      <c r="AO155" s="62" t="e">
        <f t="shared" si="144"/>
        <v>#N/A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 t="e">
        <f>EXP(-LN(2)/35)*AU154+(1-EXP(-LN(2)/35))/(LN(2)/35)*AQ155*AR155*VLOOKUP('Données projet'!$B$10,Paramètres!$A$1:$I$89,3,0)*0.475*44/12</f>
        <v>#N/A</v>
      </c>
      <c r="AV155" s="23" t="e">
        <f>EXP(-LN(2)/25)*AV154+(1-EXP(-LN(2)/25))/(LN(2)/25)*Calculateur!AQ155*Calculateur!AS155*VLOOKUP('Données projet'!$B$10,Paramètres!$A$1:$I$89,3,0)*0.475*44/12</f>
        <v>#N/A</v>
      </c>
      <c r="AW155" s="23" t="e">
        <f>EXP(-LN(2)/2)*AW154+(1-EXP(-LN(2)/2))/(LN(2)/2)*AQ155*AT155*VLOOKUP('Données projet'!$B$10,Paramètres!$A$1:$I$89,3,0)*0.475*44/12</f>
        <v>#N/A</v>
      </c>
      <c r="AX155" s="23" t="e">
        <f t="shared" si="166"/>
        <v>#N/A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70">
        <f t="shared" si="110"/>
        <v>256.66666666666669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-1.1368683772161603E-13</v>
      </c>
      <c r="O156" s="14">
        <f>N156*VLOOKUP('Données projet'!$B$9,Paramètres!$A$1:$I$89,3,0)*VLOOKUP('Données projet'!$B$9,Paramètres!$A$1:$I$89,5,0)</f>
        <v>-6.7984728957526396E-14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348.62416478262719</v>
      </c>
      <c r="T156" s="62">
        <f t="shared" si="142"/>
        <v>371.70674704563288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1.2435323984442386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7.0717226319274273E-18</v>
      </c>
      <c r="AC156" s="24">
        <f t="shared" si="163"/>
        <v>1.2435323984442386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 t="e">
        <f>AI156*VLOOKUP('Données projet'!$B$10,Paramètres!$A$1:$I$89,3,0)*VLOOKUP('Données projet'!$B$10,Paramètres!$A$1:$I$89,5,0)</f>
        <v>#N/A</v>
      </c>
      <c r="AK156" s="14" t="e">
        <f t="shared" si="164"/>
        <v>#N/A</v>
      </c>
      <c r="AL156" s="22" t="e">
        <f t="shared" si="165"/>
        <v>#N/A</v>
      </c>
      <c r="AM156" s="62" t="e">
        <f t="shared" si="113"/>
        <v>#N/A</v>
      </c>
      <c r="AN156" s="62" t="e">
        <f ca="1">AVERAGE(OFFSET($AM$3,0,0,'Données projet'!$E$10+1,1))-AVERAGE(OFFSET($H$3,0,0,'Données projet'!$E$10+1,1))</f>
        <v>#N/A</v>
      </c>
      <c r="AO156" s="62" t="e">
        <f t="shared" si="144"/>
        <v>#N/A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 t="e">
        <f>EXP(-LN(2)/35)*AU155+(1-EXP(-LN(2)/35))/(LN(2)/35)*AQ156*AR156*VLOOKUP('Données projet'!$B$10,Paramètres!$A$1:$I$89,3,0)*0.475*44/12</f>
        <v>#N/A</v>
      </c>
      <c r="AV156" s="23" t="e">
        <f>EXP(-LN(2)/25)*AV155+(1-EXP(-LN(2)/25))/(LN(2)/25)*Calculateur!AQ156*Calculateur!AS156*VLOOKUP('Données projet'!$B$10,Paramètres!$A$1:$I$89,3,0)*0.475*44/12</f>
        <v>#N/A</v>
      </c>
      <c r="AW156" s="23" t="e">
        <f>EXP(-LN(2)/2)*AW155+(1-EXP(-LN(2)/2))/(LN(2)/2)*AQ156*AT156*VLOOKUP('Données projet'!$B$10,Paramètres!$A$1:$I$89,3,0)*0.475*44/12</f>
        <v>#N/A</v>
      </c>
      <c r="AX156" s="23" t="e">
        <f t="shared" si="166"/>
        <v>#N/A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70">
        <f t="shared" si="110"/>
        <v>256.66666666666669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-1.1368683772161603E-13</v>
      </c>
      <c r="O157" s="14">
        <f>N157*VLOOKUP('Données projet'!$B$9,Paramètres!$A$1:$I$89,3,0)*VLOOKUP('Données projet'!$B$9,Paramètres!$A$1:$I$89,5,0)</f>
        <v>-6.7984728957526396E-14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348.62416478262719</v>
      </c>
      <c r="T157" s="62">
        <f t="shared" si="142"/>
        <v>371.70674704563288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1.2191474865906164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5.0004630277062634E-18</v>
      </c>
      <c r="AC157" s="24">
        <f t="shared" si="163"/>
        <v>1.2191474865906164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 t="e">
        <f>AI157*VLOOKUP('Données projet'!$B$10,Paramètres!$A$1:$I$89,3,0)*VLOOKUP('Données projet'!$B$10,Paramètres!$A$1:$I$89,5,0)</f>
        <v>#N/A</v>
      </c>
      <c r="AK157" s="14" t="e">
        <f t="shared" si="164"/>
        <v>#N/A</v>
      </c>
      <c r="AL157" s="22" t="e">
        <f t="shared" si="165"/>
        <v>#N/A</v>
      </c>
      <c r="AM157" s="62" t="e">
        <f t="shared" si="113"/>
        <v>#N/A</v>
      </c>
      <c r="AN157" s="62" t="e">
        <f ca="1">AVERAGE(OFFSET($AM$3,0,0,'Données projet'!$E$10+1,1))-AVERAGE(OFFSET($H$3,0,0,'Données projet'!$E$10+1,1))</f>
        <v>#N/A</v>
      </c>
      <c r="AO157" s="62" t="e">
        <f t="shared" si="144"/>
        <v>#N/A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 t="e">
        <f>EXP(-LN(2)/35)*AU156+(1-EXP(-LN(2)/35))/(LN(2)/35)*AQ157*AR157*VLOOKUP('Données projet'!$B$10,Paramètres!$A$1:$I$89,3,0)*0.475*44/12</f>
        <v>#N/A</v>
      </c>
      <c r="AV157" s="23" t="e">
        <f>EXP(-LN(2)/25)*AV156+(1-EXP(-LN(2)/25))/(LN(2)/25)*Calculateur!AQ157*Calculateur!AS157*VLOOKUP('Données projet'!$B$10,Paramètres!$A$1:$I$89,3,0)*0.475*44/12</f>
        <v>#N/A</v>
      </c>
      <c r="AW157" s="23" t="e">
        <f>EXP(-LN(2)/2)*AW156+(1-EXP(-LN(2)/2))/(LN(2)/2)*AQ157*AT157*VLOOKUP('Données projet'!$B$10,Paramètres!$A$1:$I$89,3,0)*0.475*44/12</f>
        <v>#N/A</v>
      </c>
      <c r="AX157" s="23" t="e">
        <f t="shared" si="166"/>
        <v>#N/A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70">
        <f t="shared" si="110"/>
        <v>256.66666666666669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-1.1368683772161603E-13</v>
      </c>
      <c r="O158" s="14">
        <f>N158*VLOOKUP('Données projet'!$B$9,Paramètres!$A$1:$I$89,3,0)*VLOOKUP('Données projet'!$B$9,Paramètres!$A$1:$I$89,5,0)</f>
        <v>-6.7984728957526396E-14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348.62416478262719</v>
      </c>
      <c r="T158" s="62">
        <f t="shared" si="142"/>
        <v>371.70674704563288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1.1952407479851161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3.5358613159637137E-18</v>
      </c>
      <c r="AC158" s="24">
        <f t="shared" si="163"/>
        <v>1.1952407479851161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 t="e">
        <f>AI158*VLOOKUP('Données projet'!$B$10,Paramètres!$A$1:$I$89,3,0)*VLOOKUP('Données projet'!$B$10,Paramètres!$A$1:$I$89,5,0)</f>
        <v>#N/A</v>
      </c>
      <c r="AK158" s="14" t="e">
        <f t="shared" si="164"/>
        <v>#N/A</v>
      </c>
      <c r="AL158" s="22" t="e">
        <f t="shared" si="165"/>
        <v>#N/A</v>
      </c>
      <c r="AM158" s="62" t="e">
        <f t="shared" si="113"/>
        <v>#N/A</v>
      </c>
      <c r="AN158" s="62" t="e">
        <f ca="1">AVERAGE(OFFSET($AM$3,0,0,'Données projet'!$E$10+1,1))-AVERAGE(OFFSET($H$3,0,0,'Données projet'!$E$10+1,1))</f>
        <v>#N/A</v>
      </c>
      <c r="AO158" s="62" t="e">
        <f t="shared" si="144"/>
        <v>#N/A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 t="e">
        <f>EXP(-LN(2)/35)*AU157+(1-EXP(-LN(2)/35))/(LN(2)/35)*AQ158*AR158*VLOOKUP('Données projet'!$B$10,Paramètres!$A$1:$I$89,3,0)*0.475*44/12</f>
        <v>#N/A</v>
      </c>
      <c r="AV158" s="23" t="e">
        <f>EXP(-LN(2)/25)*AV157+(1-EXP(-LN(2)/25))/(LN(2)/25)*Calculateur!AQ158*Calculateur!AS158*VLOOKUP('Données projet'!$B$10,Paramètres!$A$1:$I$89,3,0)*0.475*44/12</f>
        <v>#N/A</v>
      </c>
      <c r="AW158" s="23" t="e">
        <f>EXP(-LN(2)/2)*AW157+(1-EXP(-LN(2)/2))/(LN(2)/2)*AQ158*AT158*VLOOKUP('Données projet'!$B$10,Paramètres!$A$1:$I$89,3,0)*0.475*44/12</f>
        <v>#N/A</v>
      </c>
      <c r="AX158" s="23" t="e">
        <f t="shared" si="166"/>
        <v>#N/A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70">
        <f t="shared" si="110"/>
        <v>256.66666666666669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-1.1368683772161603E-13</v>
      </c>
      <c r="O159" s="14">
        <f>N159*VLOOKUP('Données projet'!$B$9,Paramètres!$A$1:$I$89,3,0)*VLOOKUP('Données projet'!$B$9,Paramètres!$A$1:$I$89,5,0)</f>
        <v>-6.7984728957526396E-14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348.62416478262719</v>
      </c>
      <c r="T159" s="62">
        <f t="shared" si="142"/>
        <v>371.70674704563288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1.1718028059419991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2.5002315138531317E-18</v>
      </c>
      <c r="AC159" s="24">
        <f t="shared" si="163"/>
        <v>1.1718028059419991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 t="e">
        <f>AI159*VLOOKUP('Données projet'!$B$10,Paramètres!$A$1:$I$89,3,0)*VLOOKUP('Données projet'!$B$10,Paramètres!$A$1:$I$89,5,0)</f>
        <v>#N/A</v>
      </c>
      <c r="AK159" s="14" t="e">
        <f t="shared" si="164"/>
        <v>#N/A</v>
      </c>
      <c r="AL159" s="22" t="e">
        <f t="shared" si="165"/>
        <v>#N/A</v>
      </c>
      <c r="AM159" s="62" t="e">
        <f t="shared" si="113"/>
        <v>#N/A</v>
      </c>
      <c r="AN159" s="62" t="e">
        <f ca="1">AVERAGE(OFFSET($AM$3,0,0,'Données projet'!$E$10+1,1))-AVERAGE(OFFSET($H$3,0,0,'Données projet'!$E$10+1,1))</f>
        <v>#N/A</v>
      </c>
      <c r="AO159" s="62" t="e">
        <f t="shared" si="144"/>
        <v>#N/A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 t="e">
        <f>EXP(-LN(2)/35)*AU158+(1-EXP(-LN(2)/35))/(LN(2)/35)*AQ159*AR159*VLOOKUP('Données projet'!$B$10,Paramètres!$A$1:$I$89,3,0)*0.475*44/12</f>
        <v>#N/A</v>
      </c>
      <c r="AV159" s="23" t="e">
        <f>EXP(-LN(2)/25)*AV158+(1-EXP(-LN(2)/25))/(LN(2)/25)*Calculateur!AQ159*Calculateur!AS159*VLOOKUP('Données projet'!$B$10,Paramètres!$A$1:$I$89,3,0)*0.475*44/12</f>
        <v>#N/A</v>
      </c>
      <c r="AW159" s="23" t="e">
        <f>EXP(-LN(2)/2)*AW158+(1-EXP(-LN(2)/2))/(LN(2)/2)*AQ159*AT159*VLOOKUP('Données projet'!$B$10,Paramètres!$A$1:$I$89,3,0)*0.475*44/12</f>
        <v>#N/A</v>
      </c>
      <c r="AX159" s="23" t="e">
        <f t="shared" si="166"/>
        <v>#N/A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70">
        <f t="shared" si="110"/>
        <v>256.66666666666669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-1.1368683772161603E-13</v>
      </c>
      <c r="O160" s="14">
        <f>N160*VLOOKUP('Données projet'!$B$9,Paramètres!$A$1:$I$89,3,0)*VLOOKUP('Données projet'!$B$9,Paramètres!$A$1:$I$89,5,0)</f>
        <v>-6.7984728957526396E-14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348.62416478262719</v>
      </c>
      <c r="T160" s="62">
        <f t="shared" si="142"/>
        <v>371.70674704563288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1.1488244676466146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1.7679306579818568E-18</v>
      </c>
      <c r="AC160" s="24">
        <f t="shared" si="163"/>
        <v>1.1488244676466146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 t="e">
        <f>AI160*VLOOKUP('Données projet'!$B$10,Paramètres!$A$1:$I$89,3,0)*VLOOKUP('Données projet'!$B$10,Paramètres!$A$1:$I$89,5,0)</f>
        <v>#N/A</v>
      </c>
      <c r="AK160" s="14" t="e">
        <f t="shared" si="164"/>
        <v>#N/A</v>
      </c>
      <c r="AL160" s="22" t="e">
        <f t="shared" si="165"/>
        <v>#N/A</v>
      </c>
      <c r="AM160" s="62" t="e">
        <f t="shared" si="113"/>
        <v>#N/A</v>
      </c>
      <c r="AN160" s="62" t="e">
        <f ca="1">AVERAGE(OFFSET($AM$3,0,0,'Données projet'!$E$10+1,1))-AVERAGE(OFFSET($H$3,0,0,'Données projet'!$E$10+1,1))</f>
        <v>#N/A</v>
      </c>
      <c r="AO160" s="62" t="e">
        <f t="shared" si="144"/>
        <v>#N/A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 t="e">
        <f>EXP(-LN(2)/35)*AU159+(1-EXP(-LN(2)/35))/(LN(2)/35)*AQ160*AR160*VLOOKUP('Données projet'!$B$10,Paramètres!$A$1:$I$89,3,0)*0.475*44/12</f>
        <v>#N/A</v>
      </c>
      <c r="AV160" s="23" t="e">
        <f>EXP(-LN(2)/25)*AV159+(1-EXP(-LN(2)/25))/(LN(2)/25)*Calculateur!AQ160*Calculateur!AS160*VLOOKUP('Données projet'!$B$10,Paramètres!$A$1:$I$89,3,0)*0.475*44/12</f>
        <v>#N/A</v>
      </c>
      <c r="AW160" s="23" t="e">
        <f>EXP(-LN(2)/2)*AW159+(1-EXP(-LN(2)/2))/(LN(2)/2)*AQ160*AT160*VLOOKUP('Données projet'!$B$10,Paramètres!$A$1:$I$89,3,0)*0.475*44/12</f>
        <v>#N/A</v>
      </c>
      <c r="AX160" s="23" t="e">
        <f t="shared" si="166"/>
        <v>#N/A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70">
        <f t="shared" si="110"/>
        <v>256.66666666666669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-1.1368683772161603E-13</v>
      </c>
      <c r="O161" s="14">
        <f>N161*VLOOKUP('Données projet'!$B$9,Paramètres!$A$1:$I$89,3,0)*VLOOKUP('Données projet'!$B$9,Paramètres!$A$1:$I$89,5,0)</f>
        <v>-6.7984728957526396E-14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348.62416478262719</v>
      </c>
      <c r="T161" s="62">
        <f t="shared" si="142"/>
        <v>371.70674704563288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1.1262967205498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1.2501157569265658E-18</v>
      </c>
      <c r="AC161" s="24">
        <f t="shared" si="163"/>
        <v>1.1262967205498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 t="e">
        <f>AI161*VLOOKUP('Données projet'!$B$10,Paramètres!$A$1:$I$89,3,0)*VLOOKUP('Données projet'!$B$10,Paramètres!$A$1:$I$89,5,0)</f>
        <v>#N/A</v>
      </c>
      <c r="AK161" s="14" t="e">
        <f t="shared" si="164"/>
        <v>#N/A</v>
      </c>
      <c r="AL161" s="22" t="e">
        <f t="shared" si="165"/>
        <v>#N/A</v>
      </c>
      <c r="AM161" s="62" t="e">
        <f t="shared" si="113"/>
        <v>#N/A</v>
      </c>
      <c r="AN161" s="62" t="e">
        <f ca="1">AVERAGE(OFFSET($AM$3,0,0,'Données projet'!$E$10+1,1))-AVERAGE(OFFSET($H$3,0,0,'Données projet'!$E$10+1,1))</f>
        <v>#N/A</v>
      </c>
      <c r="AO161" s="62" t="e">
        <f t="shared" si="144"/>
        <v>#N/A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 t="e">
        <f>EXP(-LN(2)/35)*AU160+(1-EXP(-LN(2)/35))/(LN(2)/35)*AQ161*AR161*VLOOKUP('Données projet'!$B$10,Paramètres!$A$1:$I$89,3,0)*0.475*44/12</f>
        <v>#N/A</v>
      </c>
      <c r="AV161" s="23" t="e">
        <f>EXP(-LN(2)/25)*AV160+(1-EXP(-LN(2)/25))/(LN(2)/25)*Calculateur!AQ161*Calculateur!AS161*VLOOKUP('Données projet'!$B$10,Paramètres!$A$1:$I$89,3,0)*0.475*44/12</f>
        <v>#N/A</v>
      </c>
      <c r="AW161" s="23" t="e">
        <f>EXP(-LN(2)/2)*AW160+(1-EXP(-LN(2)/2))/(LN(2)/2)*AQ161*AT161*VLOOKUP('Données projet'!$B$10,Paramètres!$A$1:$I$89,3,0)*0.475*44/12</f>
        <v>#N/A</v>
      </c>
      <c r="AX161" s="23" t="e">
        <f t="shared" si="166"/>
        <v>#N/A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70">
        <f t="shared" si="110"/>
        <v>256.66666666666669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-1.1368683772161603E-13</v>
      </c>
      <c r="O162" s="14">
        <f>N162*VLOOKUP('Données projet'!$B$9,Paramètres!$A$1:$I$89,3,0)*VLOOKUP('Données projet'!$B$9,Paramètres!$A$1:$I$89,5,0)</f>
        <v>-6.7984728957526396E-14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348.62416478262719</v>
      </c>
      <c r="T162" s="62">
        <f t="shared" si="142"/>
        <v>371.70674704563288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1.104210728832985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8.8396532899092841E-19</v>
      </c>
      <c r="AC162" s="24">
        <f t="shared" si="163"/>
        <v>1.104210728832985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 t="e">
        <f>AI162*VLOOKUP('Données projet'!$B$10,Paramètres!$A$1:$I$89,3,0)*VLOOKUP('Données projet'!$B$10,Paramètres!$A$1:$I$89,5,0)</f>
        <v>#N/A</v>
      </c>
      <c r="AK162" s="14" t="e">
        <f t="shared" si="164"/>
        <v>#N/A</v>
      </c>
      <c r="AL162" s="22" t="e">
        <f t="shared" si="165"/>
        <v>#N/A</v>
      </c>
      <c r="AM162" s="62" t="e">
        <f t="shared" si="113"/>
        <v>#N/A</v>
      </c>
      <c r="AN162" s="62" t="e">
        <f ca="1">AVERAGE(OFFSET($AM$3,0,0,'Données projet'!$E$10+1,1))-AVERAGE(OFFSET($H$3,0,0,'Données projet'!$E$10+1,1))</f>
        <v>#N/A</v>
      </c>
      <c r="AO162" s="62" t="e">
        <f t="shared" si="144"/>
        <v>#N/A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 t="e">
        <f>EXP(-LN(2)/35)*AU161+(1-EXP(-LN(2)/35))/(LN(2)/35)*AQ162*AR162*VLOOKUP('Données projet'!$B$10,Paramètres!$A$1:$I$89,3,0)*0.475*44/12</f>
        <v>#N/A</v>
      </c>
      <c r="AV162" s="23" t="e">
        <f>EXP(-LN(2)/25)*AV161+(1-EXP(-LN(2)/25))/(LN(2)/25)*Calculateur!AQ162*Calculateur!AS162*VLOOKUP('Données projet'!$B$10,Paramètres!$A$1:$I$89,3,0)*0.475*44/12</f>
        <v>#N/A</v>
      </c>
      <c r="AW162" s="23" t="e">
        <f>EXP(-LN(2)/2)*AW161+(1-EXP(-LN(2)/2))/(LN(2)/2)*AQ162*AT162*VLOOKUP('Données projet'!$B$10,Paramètres!$A$1:$I$89,3,0)*0.475*44/12</f>
        <v>#N/A</v>
      </c>
      <c r="AX162" s="23" t="e">
        <f t="shared" si="166"/>
        <v>#N/A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70">
        <f t="shared" si="110"/>
        <v>256.66666666666669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-1.1368683772161603E-13</v>
      </c>
      <c r="O163" s="14">
        <f>N163*VLOOKUP('Données projet'!$B$9,Paramètres!$A$1:$I$89,3,0)*VLOOKUP('Données projet'!$B$9,Paramètres!$A$1:$I$89,5,0)</f>
        <v>-6.7984728957526396E-14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348.62416478262719</v>
      </c>
      <c r="T163" s="62">
        <f t="shared" si="142"/>
        <v>371.70674704563288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1.082557829942612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6.2505787846328292E-19</v>
      </c>
      <c r="AC163" s="24">
        <f t="shared" si="163"/>
        <v>1.082557829942612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 t="e">
        <f>AI163*VLOOKUP('Données projet'!$B$10,Paramètres!$A$1:$I$89,3,0)*VLOOKUP('Données projet'!$B$10,Paramètres!$A$1:$I$89,5,0)</f>
        <v>#N/A</v>
      </c>
      <c r="AK163" s="14" t="e">
        <f t="shared" si="164"/>
        <v>#N/A</v>
      </c>
      <c r="AL163" s="22" t="e">
        <f t="shared" si="165"/>
        <v>#N/A</v>
      </c>
      <c r="AM163" s="62" t="e">
        <f t="shared" si="113"/>
        <v>#N/A</v>
      </c>
      <c r="AN163" s="62" t="e">
        <f ca="1">AVERAGE(OFFSET($AM$3,0,0,'Données projet'!$E$10+1,1))-AVERAGE(OFFSET($H$3,0,0,'Données projet'!$E$10+1,1))</f>
        <v>#N/A</v>
      </c>
      <c r="AO163" s="62" t="e">
        <f t="shared" si="144"/>
        <v>#N/A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 t="e">
        <f>EXP(-LN(2)/35)*AU162+(1-EXP(-LN(2)/35))/(LN(2)/35)*AQ163*AR163*VLOOKUP('Données projet'!$B$10,Paramètres!$A$1:$I$89,3,0)*0.475*44/12</f>
        <v>#N/A</v>
      </c>
      <c r="AV163" s="23" t="e">
        <f>EXP(-LN(2)/25)*AV162+(1-EXP(-LN(2)/25))/(LN(2)/25)*Calculateur!AQ163*Calculateur!AS163*VLOOKUP('Données projet'!$B$10,Paramètres!$A$1:$I$89,3,0)*0.475*44/12</f>
        <v>#N/A</v>
      </c>
      <c r="AW163" s="23" t="e">
        <f>EXP(-LN(2)/2)*AW162+(1-EXP(-LN(2)/2))/(LN(2)/2)*AQ163*AT163*VLOOKUP('Données projet'!$B$10,Paramètres!$A$1:$I$89,3,0)*0.475*44/12</f>
        <v>#N/A</v>
      </c>
      <c r="AX163" s="23" t="e">
        <f t="shared" si="166"/>
        <v>#N/A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70">
        <f t="shared" si="110"/>
        <v>256.66666666666669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-1.1368683772161603E-13</v>
      </c>
      <c r="O164" s="14">
        <f>N164*VLOOKUP('Données projet'!$B$9,Paramètres!$A$1:$I$89,3,0)*VLOOKUP('Données projet'!$B$9,Paramètres!$A$1:$I$89,5,0)</f>
        <v>-6.7984728957526396E-14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348.62416478262719</v>
      </c>
      <c r="T164" s="62">
        <f t="shared" si="142"/>
        <v>371.70674704563288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1.0613295311925148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4.4198266449546421E-19</v>
      </c>
      <c r="AC164" s="24">
        <f t="shared" si="163"/>
        <v>1.0613295311925148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 t="e">
        <f>AI164*VLOOKUP('Données projet'!$B$10,Paramètres!$A$1:$I$89,3,0)*VLOOKUP('Données projet'!$B$10,Paramètres!$A$1:$I$89,5,0)</f>
        <v>#N/A</v>
      </c>
      <c r="AK164" s="14" t="e">
        <f t="shared" si="164"/>
        <v>#N/A</v>
      </c>
      <c r="AL164" s="22" t="e">
        <f t="shared" si="165"/>
        <v>#N/A</v>
      </c>
      <c r="AM164" s="62" t="e">
        <f t="shared" si="113"/>
        <v>#N/A</v>
      </c>
      <c r="AN164" s="62" t="e">
        <f ca="1">AVERAGE(OFFSET($AM$3,0,0,'Données projet'!$E$10+1,1))-AVERAGE(OFFSET($H$3,0,0,'Données projet'!$E$10+1,1))</f>
        <v>#N/A</v>
      </c>
      <c r="AO164" s="62" t="e">
        <f t="shared" si="144"/>
        <v>#N/A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 t="e">
        <f>EXP(-LN(2)/35)*AU163+(1-EXP(-LN(2)/35))/(LN(2)/35)*AQ164*AR164*VLOOKUP('Données projet'!$B$10,Paramètres!$A$1:$I$89,3,0)*0.475*44/12</f>
        <v>#N/A</v>
      </c>
      <c r="AV164" s="23" t="e">
        <f>EXP(-LN(2)/25)*AV163+(1-EXP(-LN(2)/25))/(LN(2)/25)*Calculateur!AQ164*Calculateur!AS164*VLOOKUP('Données projet'!$B$10,Paramètres!$A$1:$I$89,3,0)*0.475*44/12</f>
        <v>#N/A</v>
      </c>
      <c r="AW164" s="23" t="e">
        <f>EXP(-LN(2)/2)*AW163+(1-EXP(-LN(2)/2))/(LN(2)/2)*AQ164*AT164*VLOOKUP('Données projet'!$B$10,Paramètres!$A$1:$I$89,3,0)*0.475*44/12</f>
        <v>#N/A</v>
      </c>
      <c r="AX164" s="23" t="e">
        <f t="shared" si="166"/>
        <v>#N/A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70">
        <f t="shared" si="110"/>
        <v>256.66666666666669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-1.1368683772161603E-13</v>
      </c>
      <c r="O165" s="14">
        <f>N165*VLOOKUP('Données projet'!$B$9,Paramètres!$A$1:$I$89,3,0)*VLOOKUP('Données projet'!$B$9,Paramètres!$A$1:$I$89,5,0)</f>
        <v>-6.7984728957526396E-14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348.62416478262719</v>
      </c>
      <c r="T165" s="62">
        <f t="shared" si="142"/>
        <v>371.70674704563288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1.0405175064329235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3.1252893923164146E-19</v>
      </c>
      <c r="AC165" s="24">
        <f t="shared" si="163"/>
        <v>1.0405175064329235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 t="e">
        <f>AI165*VLOOKUP('Données projet'!$B$10,Paramètres!$A$1:$I$89,3,0)*VLOOKUP('Données projet'!$B$10,Paramètres!$A$1:$I$89,5,0)</f>
        <v>#N/A</v>
      </c>
      <c r="AK165" s="14" t="e">
        <f t="shared" si="164"/>
        <v>#N/A</v>
      </c>
      <c r="AL165" s="22" t="e">
        <f t="shared" si="165"/>
        <v>#N/A</v>
      </c>
      <c r="AM165" s="62" t="e">
        <f t="shared" si="113"/>
        <v>#N/A</v>
      </c>
      <c r="AN165" s="62" t="e">
        <f ca="1">AVERAGE(OFFSET($AM$3,0,0,'Données projet'!$E$10+1,1))-AVERAGE(OFFSET($H$3,0,0,'Données projet'!$E$10+1,1))</f>
        <v>#N/A</v>
      </c>
      <c r="AO165" s="62" t="e">
        <f t="shared" si="144"/>
        <v>#N/A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 t="e">
        <f>EXP(-LN(2)/35)*AU164+(1-EXP(-LN(2)/35))/(LN(2)/35)*AQ165*AR165*VLOOKUP('Données projet'!$B$10,Paramètres!$A$1:$I$89,3,0)*0.475*44/12</f>
        <v>#N/A</v>
      </c>
      <c r="AV165" s="23" t="e">
        <f>EXP(-LN(2)/25)*AV164+(1-EXP(-LN(2)/25))/(LN(2)/25)*Calculateur!AQ165*Calculateur!AS165*VLOOKUP('Données projet'!$B$10,Paramètres!$A$1:$I$89,3,0)*0.475*44/12</f>
        <v>#N/A</v>
      </c>
      <c r="AW165" s="23" t="e">
        <f>EXP(-LN(2)/2)*AW164+(1-EXP(-LN(2)/2))/(LN(2)/2)*AQ165*AT165*VLOOKUP('Données projet'!$B$10,Paramètres!$A$1:$I$89,3,0)*0.475*44/12</f>
        <v>#N/A</v>
      </c>
      <c r="AX165" s="23" t="e">
        <f t="shared" si="166"/>
        <v>#N/A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70">
        <f t="shared" si="110"/>
        <v>256.66666666666669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-1.1368683772161603E-13</v>
      </c>
      <c r="O166" s="14">
        <f>N166*VLOOKUP('Données projet'!$B$9,Paramètres!$A$1:$I$89,3,0)*VLOOKUP('Données projet'!$B$9,Paramètres!$A$1:$I$89,5,0)</f>
        <v>-6.7984728957526396E-14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348.62416478262719</v>
      </c>
      <c r="T166" s="62">
        <f t="shared" si="142"/>
        <v>371.70674704563288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1.020113592784786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2.209913322477321E-19</v>
      </c>
      <c r="AC166" s="24">
        <f t="shared" si="163"/>
        <v>1.020113592784786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 t="e">
        <f>AI166*VLOOKUP('Données projet'!$B$10,Paramètres!$A$1:$I$89,3,0)*VLOOKUP('Données projet'!$B$10,Paramètres!$A$1:$I$89,5,0)</f>
        <v>#N/A</v>
      </c>
      <c r="AK166" s="14" t="e">
        <f t="shared" si="164"/>
        <v>#N/A</v>
      </c>
      <c r="AL166" s="22" t="e">
        <f t="shared" si="165"/>
        <v>#N/A</v>
      </c>
      <c r="AM166" s="62" t="e">
        <f t="shared" si="113"/>
        <v>#N/A</v>
      </c>
      <c r="AN166" s="62" t="e">
        <f ca="1">AVERAGE(OFFSET($AM$3,0,0,'Données projet'!$E$10+1,1))-AVERAGE(OFFSET($H$3,0,0,'Données projet'!$E$10+1,1))</f>
        <v>#N/A</v>
      </c>
      <c r="AO166" s="62" t="e">
        <f t="shared" si="144"/>
        <v>#N/A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 t="e">
        <f>EXP(-LN(2)/35)*AU165+(1-EXP(-LN(2)/35))/(LN(2)/35)*AQ166*AR166*VLOOKUP('Données projet'!$B$10,Paramètres!$A$1:$I$89,3,0)*0.475*44/12</f>
        <v>#N/A</v>
      </c>
      <c r="AV166" s="23" t="e">
        <f>EXP(-LN(2)/25)*AV165+(1-EXP(-LN(2)/25))/(LN(2)/25)*Calculateur!AQ166*Calculateur!AS166*VLOOKUP('Données projet'!$B$10,Paramètres!$A$1:$I$89,3,0)*0.475*44/12</f>
        <v>#N/A</v>
      </c>
      <c r="AW166" s="23" t="e">
        <f>EXP(-LN(2)/2)*AW165+(1-EXP(-LN(2)/2))/(LN(2)/2)*AQ166*AT166*VLOOKUP('Données projet'!$B$10,Paramètres!$A$1:$I$89,3,0)*0.475*44/12</f>
        <v>#N/A</v>
      </c>
      <c r="AX166" s="23" t="e">
        <f t="shared" si="166"/>
        <v>#N/A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70">
        <f t="shared" si="110"/>
        <v>256.66666666666669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-1.1368683772161603E-13</v>
      </c>
      <c r="O167" s="14">
        <f>N167*VLOOKUP('Données projet'!$B$9,Paramètres!$A$1:$I$89,3,0)*VLOOKUP('Données projet'!$B$9,Paramètres!$A$1:$I$89,5,0)</f>
        <v>-6.7984728957526396E-14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348.62416478262719</v>
      </c>
      <c r="T167" s="62">
        <f t="shared" si="142"/>
        <v>371.70674704563288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1.0001097874381299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1.5626446961582073E-19</v>
      </c>
      <c r="AC167" s="24">
        <f t="shared" si="163"/>
        <v>1.0001097874381299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 t="e">
        <f>AI167*VLOOKUP('Données projet'!$B$10,Paramètres!$A$1:$I$89,3,0)*VLOOKUP('Données projet'!$B$10,Paramètres!$A$1:$I$89,5,0)</f>
        <v>#N/A</v>
      </c>
      <c r="AK167" s="14" t="e">
        <f t="shared" si="164"/>
        <v>#N/A</v>
      </c>
      <c r="AL167" s="22" t="e">
        <f t="shared" si="165"/>
        <v>#N/A</v>
      </c>
      <c r="AM167" s="62" t="e">
        <f t="shared" si="113"/>
        <v>#N/A</v>
      </c>
      <c r="AN167" s="62" t="e">
        <f ca="1">AVERAGE(OFFSET($AM$3,0,0,'Données projet'!$E$10+1,1))-AVERAGE(OFFSET($H$3,0,0,'Données projet'!$E$10+1,1))</f>
        <v>#N/A</v>
      </c>
      <c r="AO167" s="62" t="e">
        <f t="shared" si="144"/>
        <v>#N/A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 t="e">
        <f>EXP(-LN(2)/35)*AU166+(1-EXP(-LN(2)/35))/(LN(2)/35)*AQ167*AR167*VLOOKUP('Données projet'!$B$10,Paramètres!$A$1:$I$89,3,0)*0.475*44/12</f>
        <v>#N/A</v>
      </c>
      <c r="AV167" s="23" t="e">
        <f>EXP(-LN(2)/25)*AV166+(1-EXP(-LN(2)/25))/(LN(2)/25)*Calculateur!AQ167*Calculateur!AS167*VLOOKUP('Données projet'!$B$10,Paramètres!$A$1:$I$89,3,0)*0.475*44/12</f>
        <v>#N/A</v>
      </c>
      <c r="AW167" s="23" t="e">
        <f>EXP(-LN(2)/2)*AW166+(1-EXP(-LN(2)/2))/(LN(2)/2)*AQ167*AT167*VLOOKUP('Données projet'!$B$10,Paramètres!$A$1:$I$89,3,0)*0.475*44/12</f>
        <v>#N/A</v>
      </c>
      <c r="AX167" s="23" t="e">
        <f t="shared" si="166"/>
        <v>#N/A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70">
        <f t="shared" si="110"/>
        <v>256.66666666666669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-1.1368683772161603E-13</v>
      </c>
      <c r="O168" s="14">
        <f>N168*VLOOKUP('Données projet'!$B$9,Paramètres!$A$1:$I$89,3,0)*VLOOKUP('Données projet'!$B$9,Paramètres!$A$1:$I$89,5,0)</f>
        <v>-6.7984728957526396E-14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348.62416478262719</v>
      </c>
      <c r="T168" s="62">
        <f t="shared" si="142"/>
        <v>371.70674704563288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0.98049824451320544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1.1049566612386605E-19</v>
      </c>
      <c r="AC168" s="24">
        <f t="shared" si="163"/>
        <v>0.98049824451320544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 t="e">
        <f>AI168*VLOOKUP('Données projet'!$B$10,Paramètres!$A$1:$I$89,3,0)*VLOOKUP('Données projet'!$B$10,Paramètres!$A$1:$I$89,5,0)</f>
        <v>#N/A</v>
      </c>
      <c r="AK168" s="14" t="e">
        <f t="shared" si="164"/>
        <v>#N/A</v>
      </c>
      <c r="AL168" s="22" t="e">
        <f t="shared" si="165"/>
        <v>#N/A</v>
      </c>
      <c r="AM168" s="62" t="e">
        <f t="shared" si="113"/>
        <v>#N/A</v>
      </c>
      <c r="AN168" s="62" t="e">
        <f ca="1">AVERAGE(OFFSET($AM$3,0,0,'Données projet'!$E$10+1,1))-AVERAGE(OFFSET($H$3,0,0,'Données projet'!$E$10+1,1))</f>
        <v>#N/A</v>
      </c>
      <c r="AO168" s="62" t="e">
        <f t="shared" si="144"/>
        <v>#N/A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 t="e">
        <f>EXP(-LN(2)/35)*AU167+(1-EXP(-LN(2)/35))/(LN(2)/35)*AQ168*AR168*VLOOKUP('Données projet'!$B$10,Paramètres!$A$1:$I$89,3,0)*0.475*44/12</f>
        <v>#N/A</v>
      </c>
      <c r="AV168" s="23" t="e">
        <f>EXP(-LN(2)/25)*AV167+(1-EXP(-LN(2)/25))/(LN(2)/25)*Calculateur!AQ168*Calculateur!AS168*VLOOKUP('Données projet'!$B$10,Paramètres!$A$1:$I$89,3,0)*0.475*44/12</f>
        <v>#N/A</v>
      </c>
      <c r="AW168" s="23" t="e">
        <f>EXP(-LN(2)/2)*AW167+(1-EXP(-LN(2)/2))/(LN(2)/2)*AQ168*AT168*VLOOKUP('Données projet'!$B$10,Paramètres!$A$1:$I$89,3,0)*0.475*44/12</f>
        <v>#N/A</v>
      </c>
      <c r="AX168" s="23" t="e">
        <f t="shared" si="166"/>
        <v>#N/A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70">
        <f t="shared" si="110"/>
        <v>256.66666666666669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-1.1368683772161603E-13</v>
      </c>
      <c r="O169" s="14">
        <f>N169*VLOOKUP('Données projet'!$B$9,Paramètres!$A$1:$I$89,3,0)*VLOOKUP('Données projet'!$B$9,Paramètres!$A$1:$I$89,5,0)</f>
        <v>-6.7984728957526396E-14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348.62416478262719</v>
      </c>
      <c r="T169" s="62">
        <f t="shared" si="142"/>
        <v>371.70674704563288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0.96127127198317863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7.8132234807910365E-20</v>
      </c>
      <c r="AC169" s="24">
        <f t="shared" si="163"/>
        <v>0.96127127198317863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 t="e">
        <f>AI169*VLOOKUP('Données projet'!$B$10,Paramètres!$A$1:$I$89,3,0)*VLOOKUP('Données projet'!$B$10,Paramètres!$A$1:$I$89,5,0)</f>
        <v>#N/A</v>
      </c>
      <c r="AK169" s="14" t="e">
        <f t="shared" si="164"/>
        <v>#N/A</v>
      </c>
      <c r="AL169" s="22" t="e">
        <f t="shared" si="165"/>
        <v>#N/A</v>
      </c>
      <c r="AM169" s="62" t="e">
        <f t="shared" si="113"/>
        <v>#N/A</v>
      </c>
      <c r="AN169" s="62" t="e">
        <f ca="1">AVERAGE(OFFSET($AM$3,0,0,'Données projet'!$E$10+1,1))-AVERAGE(OFFSET($H$3,0,0,'Données projet'!$E$10+1,1))</f>
        <v>#N/A</v>
      </c>
      <c r="AO169" s="62" t="e">
        <f t="shared" si="144"/>
        <v>#N/A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 t="e">
        <f>EXP(-LN(2)/35)*AU168+(1-EXP(-LN(2)/35))/(LN(2)/35)*AQ169*AR169*VLOOKUP('Données projet'!$B$10,Paramètres!$A$1:$I$89,3,0)*0.475*44/12</f>
        <v>#N/A</v>
      </c>
      <c r="AV169" s="23" t="e">
        <f>EXP(-LN(2)/25)*AV168+(1-EXP(-LN(2)/25))/(LN(2)/25)*Calculateur!AQ169*Calculateur!AS169*VLOOKUP('Données projet'!$B$10,Paramètres!$A$1:$I$89,3,0)*0.475*44/12</f>
        <v>#N/A</v>
      </c>
      <c r="AW169" s="23" t="e">
        <f>EXP(-LN(2)/2)*AW168+(1-EXP(-LN(2)/2))/(LN(2)/2)*AQ169*AT169*VLOOKUP('Données projet'!$B$10,Paramètres!$A$1:$I$89,3,0)*0.475*44/12</f>
        <v>#N/A</v>
      </c>
      <c r="AX169" s="23" t="e">
        <f t="shared" si="166"/>
        <v>#N/A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70">
        <f t="shared" si="110"/>
        <v>256.66666666666669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-1.1368683772161603E-13</v>
      </c>
      <c r="O170" s="14">
        <f>N170*VLOOKUP('Données projet'!$B$9,Paramètres!$A$1:$I$89,3,0)*VLOOKUP('Données projet'!$B$9,Paramètres!$A$1:$I$89,5,0)</f>
        <v>-6.7984728957526396E-14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348.62416478262719</v>
      </c>
      <c r="T170" s="62">
        <f t="shared" si="142"/>
        <v>371.70674704563288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0.94242132865717032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5.5247833061933026E-20</v>
      </c>
      <c r="AC170" s="24">
        <f t="shared" si="163"/>
        <v>0.94242132865717032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 t="e">
        <f>AI170*VLOOKUP('Données projet'!$B$10,Paramètres!$A$1:$I$89,3,0)*VLOOKUP('Données projet'!$B$10,Paramètres!$A$1:$I$89,5,0)</f>
        <v>#N/A</v>
      </c>
      <c r="AK170" s="14" t="e">
        <f t="shared" si="164"/>
        <v>#N/A</v>
      </c>
      <c r="AL170" s="22" t="e">
        <f t="shared" si="165"/>
        <v>#N/A</v>
      </c>
      <c r="AM170" s="62" t="e">
        <f t="shared" si="113"/>
        <v>#N/A</v>
      </c>
      <c r="AN170" s="62" t="e">
        <f ca="1">AVERAGE(OFFSET($AM$3,0,0,'Données projet'!$E$10+1,1))-AVERAGE(OFFSET($H$3,0,0,'Données projet'!$E$10+1,1))</f>
        <v>#N/A</v>
      </c>
      <c r="AO170" s="62" t="e">
        <f t="shared" si="144"/>
        <v>#N/A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 t="e">
        <f>EXP(-LN(2)/35)*AU169+(1-EXP(-LN(2)/35))/(LN(2)/35)*AQ170*AR170*VLOOKUP('Données projet'!$B$10,Paramètres!$A$1:$I$89,3,0)*0.475*44/12</f>
        <v>#N/A</v>
      </c>
      <c r="AV170" s="23" t="e">
        <f>EXP(-LN(2)/25)*AV169+(1-EXP(-LN(2)/25))/(LN(2)/25)*Calculateur!AQ170*Calculateur!AS170*VLOOKUP('Données projet'!$B$10,Paramètres!$A$1:$I$89,3,0)*0.475*44/12</f>
        <v>#N/A</v>
      </c>
      <c r="AW170" s="23" t="e">
        <f>EXP(-LN(2)/2)*AW169+(1-EXP(-LN(2)/2))/(LN(2)/2)*AQ170*AT170*VLOOKUP('Données projet'!$B$10,Paramètres!$A$1:$I$89,3,0)*0.475*44/12</f>
        <v>#N/A</v>
      </c>
      <c r="AX170" s="23" t="e">
        <f t="shared" si="166"/>
        <v>#N/A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70">
        <f t="shared" si="110"/>
        <v>256.66666666666669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-1.1368683772161603E-13</v>
      </c>
      <c r="O171" s="14">
        <f>N171*VLOOKUP('Données projet'!$B$9,Paramètres!$A$1:$I$89,3,0)*VLOOKUP('Données projet'!$B$9,Paramètres!$A$1:$I$89,5,0)</f>
        <v>-6.7984728957526396E-14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348.62416478262719</v>
      </c>
      <c r="T171" s="62">
        <f t="shared" si="142"/>
        <v>371.70674704563288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0.92394102122245492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3.9066117403955183E-20</v>
      </c>
      <c r="AC171" s="24">
        <f t="shared" si="163"/>
        <v>0.92394102122245492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 t="e">
        <f>AI171*VLOOKUP('Données projet'!$B$10,Paramètres!$A$1:$I$89,3,0)*VLOOKUP('Données projet'!$B$10,Paramètres!$A$1:$I$89,5,0)</f>
        <v>#N/A</v>
      </c>
      <c r="AK171" s="14" t="e">
        <f t="shared" si="164"/>
        <v>#N/A</v>
      </c>
      <c r="AL171" s="22" t="e">
        <f t="shared" si="165"/>
        <v>#N/A</v>
      </c>
      <c r="AM171" s="62" t="e">
        <f t="shared" si="113"/>
        <v>#N/A</v>
      </c>
      <c r="AN171" s="62" t="e">
        <f ca="1">AVERAGE(OFFSET($AM$3,0,0,'Données projet'!$E$10+1,1))-AVERAGE(OFFSET($H$3,0,0,'Données projet'!$E$10+1,1))</f>
        <v>#N/A</v>
      </c>
      <c r="AO171" s="62" t="e">
        <f t="shared" si="144"/>
        <v>#N/A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 t="e">
        <f>EXP(-LN(2)/35)*AU170+(1-EXP(-LN(2)/35))/(LN(2)/35)*AQ171*AR171*VLOOKUP('Données projet'!$B$10,Paramètres!$A$1:$I$89,3,0)*0.475*44/12</f>
        <v>#N/A</v>
      </c>
      <c r="AV171" s="23" t="e">
        <f>EXP(-LN(2)/25)*AV170+(1-EXP(-LN(2)/25))/(LN(2)/25)*Calculateur!AQ171*Calculateur!AS171*VLOOKUP('Données projet'!$B$10,Paramètres!$A$1:$I$89,3,0)*0.475*44/12</f>
        <v>#N/A</v>
      </c>
      <c r="AW171" s="23" t="e">
        <f>EXP(-LN(2)/2)*AW170+(1-EXP(-LN(2)/2))/(LN(2)/2)*AQ171*AT171*VLOOKUP('Données projet'!$B$10,Paramètres!$A$1:$I$89,3,0)*0.475*44/12</f>
        <v>#N/A</v>
      </c>
      <c r="AX171" s="23" t="e">
        <f t="shared" si="166"/>
        <v>#N/A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70">
        <f t="shared" si="110"/>
        <v>256.66666666666669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-1.1368683772161603E-13</v>
      </c>
      <c r="O172" s="14">
        <f>N172*VLOOKUP('Données projet'!$B$9,Paramètres!$A$1:$I$89,3,0)*VLOOKUP('Données projet'!$B$9,Paramètres!$A$1:$I$89,5,0)</f>
        <v>-6.7984728957526396E-14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348.62416478262719</v>
      </c>
      <c r="T172" s="62">
        <f t="shared" si="142"/>
        <v>371.70674704563288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0.90582310134465971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2.7623916530966513E-20</v>
      </c>
      <c r="AC172" s="24">
        <f t="shared" si="163"/>
        <v>0.90582310134465971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 t="e">
        <f>AI172*VLOOKUP('Données projet'!$B$10,Paramètres!$A$1:$I$89,3,0)*VLOOKUP('Données projet'!$B$10,Paramètres!$A$1:$I$89,5,0)</f>
        <v>#N/A</v>
      </c>
      <c r="AK172" s="14" t="e">
        <f t="shared" si="164"/>
        <v>#N/A</v>
      </c>
      <c r="AL172" s="22" t="e">
        <f t="shared" si="165"/>
        <v>#N/A</v>
      </c>
      <c r="AM172" s="62" t="e">
        <f t="shared" si="113"/>
        <v>#N/A</v>
      </c>
      <c r="AN172" s="62" t="e">
        <f ca="1">AVERAGE(OFFSET($AM$3,0,0,'Données projet'!$E$10+1,1))-AVERAGE(OFFSET($H$3,0,0,'Données projet'!$E$10+1,1))</f>
        <v>#N/A</v>
      </c>
      <c r="AO172" s="62" t="e">
        <f t="shared" si="144"/>
        <v>#N/A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 t="e">
        <f>EXP(-LN(2)/35)*AU171+(1-EXP(-LN(2)/35))/(LN(2)/35)*AQ172*AR172*VLOOKUP('Données projet'!$B$10,Paramètres!$A$1:$I$89,3,0)*0.475*44/12</f>
        <v>#N/A</v>
      </c>
      <c r="AV172" s="23" t="e">
        <f>EXP(-LN(2)/25)*AV171+(1-EXP(-LN(2)/25))/(LN(2)/25)*Calculateur!AQ172*Calculateur!AS172*VLOOKUP('Données projet'!$B$10,Paramètres!$A$1:$I$89,3,0)*0.475*44/12</f>
        <v>#N/A</v>
      </c>
      <c r="AW172" s="23" t="e">
        <f>EXP(-LN(2)/2)*AW171+(1-EXP(-LN(2)/2))/(LN(2)/2)*AQ172*AT172*VLOOKUP('Données projet'!$B$10,Paramètres!$A$1:$I$89,3,0)*0.475*44/12</f>
        <v>#N/A</v>
      </c>
      <c r="AX172" s="23" t="e">
        <f t="shared" si="166"/>
        <v>#N/A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70">
        <f t="shared" si="110"/>
        <v>256.66666666666669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-1.1368683772161603E-13</v>
      </c>
      <c r="O173" s="14">
        <f>N173*VLOOKUP('Données projet'!$B$9,Paramètres!$A$1:$I$89,3,0)*VLOOKUP('Données projet'!$B$9,Paramètres!$A$1:$I$89,5,0)</f>
        <v>-6.7984728957526396E-14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348.62416478262719</v>
      </c>
      <c r="T173" s="62">
        <f t="shared" si="142"/>
        <v>371.70674704563288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0.8880604628248282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1.9533058701977591E-20</v>
      </c>
      <c r="AC173" s="24">
        <f t="shared" si="163"/>
        <v>0.8880604628248282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 t="e">
        <f>AI173*VLOOKUP('Données projet'!$B$10,Paramètres!$A$1:$I$89,3,0)*VLOOKUP('Données projet'!$B$10,Paramètres!$A$1:$I$89,5,0)</f>
        <v>#N/A</v>
      </c>
      <c r="AK173" s="14" t="e">
        <f t="shared" si="164"/>
        <v>#N/A</v>
      </c>
      <c r="AL173" s="22" t="e">
        <f t="shared" si="165"/>
        <v>#N/A</v>
      </c>
      <c r="AM173" s="62" t="e">
        <f t="shared" si="113"/>
        <v>#N/A</v>
      </c>
      <c r="AN173" s="62" t="e">
        <f ca="1">AVERAGE(OFFSET($AM$3,0,0,'Données projet'!$E$10+1,1))-AVERAGE(OFFSET($H$3,0,0,'Données projet'!$E$10+1,1))</f>
        <v>#N/A</v>
      </c>
      <c r="AO173" s="62" t="e">
        <f t="shared" si="144"/>
        <v>#N/A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 t="e">
        <f>EXP(-LN(2)/35)*AU172+(1-EXP(-LN(2)/35))/(LN(2)/35)*AQ173*AR173*VLOOKUP('Données projet'!$B$10,Paramètres!$A$1:$I$89,3,0)*0.475*44/12</f>
        <v>#N/A</v>
      </c>
      <c r="AV173" s="23" t="e">
        <f>EXP(-LN(2)/25)*AV172+(1-EXP(-LN(2)/25))/(LN(2)/25)*Calculateur!AQ173*Calculateur!AS173*VLOOKUP('Données projet'!$B$10,Paramètres!$A$1:$I$89,3,0)*0.475*44/12</f>
        <v>#N/A</v>
      </c>
      <c r="AW173" s="23" t="e">
        <f>EXP(-LN(2)/2)*AW172+(1-EXP(-LN(2)/2))/(LN(2)/2)*AQ173*AT173*VLOOKUP('Données projet'!$B$10,Paramètres!$A$1:$I$89,3,0)*0.475*44/12</f>
        <v>#N/A</v>
      </c>
      <c r="AX173" s="23" t="e">
        <f t="shared" si="166"/>
        <v>#N/A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70">
        <f t="shared" si="110"/>
        <v>256.66666666666669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-1.1368683772161603E-13</v>
      </c>
      <c r="O174" s="14">
        <f>N174*VLOOKUP('Données projet'!$B$9,Paramètres!$A$1:$I$89,3,0)*VLOOKUP('Données projet'!$B$9,Paramètres!$A$1:$I$89,5,0)</f>
        <v>-6.7984728957526396E-14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348.62416478262719</v>
      </c>
      <c r="T174" s="62">
        <f t="shared" si="142"/>
        <v>371.70674704563288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0.87064613881223085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1.3811958265483256E-20</v>
      </c>
      <c r="AC174" s="24">
        <f t="shared" si="163"/>
        <v>0.87064613881223085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 t="e">
        <f>AI174*VLOOKUP('Données projet'!$B$10,Paramètres!$A$1:$I$89,3,0)*VLOOKUP('Données projet'!$B$10,Paramètres!$A$1:$I$89,5,0)</f>
        <v>#N/A</v>
      </c>
      <c r="AK174" s="14" t="e">
        <f t="shared" si="164"/>
        <v>#N/A</v>
      </c>
      <c r="AL174" s="22" t="e">
        <f t="shared" si="165"/>
        <v>#N/A</v>
      </c>
      <c r="AM174" s="62" t="e">
        <f t="shared" si="113"/>
        <v>#N/A</v>
      </c>
      <c r="AN174" s="62" t="e">
        <f ca="1">AVERAGE(OFFSET($AM$3,0,0,'Données projet'!$E$10+1,1))-AVERAGE(OFFSET($H$3,0,0,'Données projet'!$E$10+1,1))</f>
        <v>#N/A</v>
      </c>
      <c r="AO174" s="62" t="e">
        <f t="shared" si="144"/>
        <v>#N/A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 t="e">
        <f>EXP(-LN(2)/35)*AU173+(1-EXP(-LN(2)/35))/(LN(2)/35)*AQ174*AR174*VLOOKUP('Données projet'!$B$10,Paramètres!$A$1:$I$89,3,0)*0.475*44/12</f>
        <v>#N/A</v>
      </c>
      <c r="AV174" s="23" t="e">
        <f>EXP(-LN(2)/25)*AV173+(1-EXP(-LN(2)/25))/(LN(2)/25)*Calculateur!AQ174*Calculateur!AS174*VLOOKUP('Données projet'!$B$10,Paramètres!$A$1:$I$89,3,0)*0.475*44/12</f>
        <v>#N/A</v>
      </c>
      <c r="AW174" s="23" t="e">
        <f>EXP(-LN(2)/2)*AW173+(1-EXP(-LN(2)/2))/(LN(2)/2)*AQ174*AT174*VLOOKUP('Données projet'!$B$10,Paramètres!$A$1:$I$89,3,0)*0.475*44/12</f>
        <v>#N/A</v>
      </c>
      <c r="AX174" s="23" t="e">
        <f t="shared" si="166"/>
        <v>#N/A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70">
        <f t="shared" si="110"/>
        <v>256.66666666666669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-1.1368683772161603E-13</v>
      </c>
      <c r="O175" s="14">
        <f>N175*VLOOKUP('Données projet'!$B$9,Paramètres!$A$1:$I$89,3,0)*VLOOKUP('Données projet'!$B$9,Paramètres!$A$1:$I$89,5,0)</f>
        <v>-6.7984728957526396E-14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348.62416478262719</v>
      </c>
      <c r="T175" s="62">
        <f t="shared" si="142"/>
        <v>371.70674704563288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0.85357329907183166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9.7665293509887956E-21</v>
      </c>
      <c r="AC175" s="24">
        <f t="shared" si="163"/>
        <v>0.85357329907183166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 t="e">
        <f>AI175*VLOOKUP('Données projet'!$B$10,Paramètres!$A$1:$I$89,3,0)*VLOOKUP('Données projet'!$B$10,Paramètres!$A$1:$I$89,5,0)</f>
        <v>#N/A</v>
      </c>
      <c r="AK175" s="14" t="e">
        <f t="shared" si="164"/>
        <v>#N/A</v>
      </c>
      <c r="AL175" s="22" t="e">
        <f t="shared" si="165"/>
        <v>#N/A</v>
      </c>
      <c r="AM175" s="62" t="e">
        <f t="shared" si="113"/>
        <v>#N/A</v>
      </c>
      <c r="AN175" s="62" t="e">
        <f ca="1">AVERAGE(OFFSET($AM$3,0,0,'Données projet'!$E$10+1,1))-AVERAGE(OFFSET($H$3,0,0,'Données projet'!$E$10+1,1))</f>
        <v>#N/A</v>
      </c>
      <c r="AO175" s="62" t="e">
        <f t="shared" si="144"/>
        <v>#N/A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 t="e">
        <f>EXP(-LN(2)/35)*AU174+(1-EXP(-LN(2)/35))/(LN(2)/35)*AQ175*AR175*VLOOKUP('Données projet'!$B$10,Paramètres!$A$1:$I$89,3,0)*0.475*44/12</f>
        <v>#N/A</v>
      </c>
      <c r="AV175" s="23" t="e">
        <f>EXP(-LN(2)/25)*AV174+(1-EXP(-LN(2)/25))/(LN(2)/25)*Calculateur!AQ175*Calculateur!AS175*VLOOKUP('Données projet'!$B$10,Paramètres!$A$1:$I$89,3,0)*0.475*44/12</f>
        <v>#N/A</v>
      </c>
      <c r="AW175" s="23" t="e">
        <f>EXP(-LN(2)/2)*AW174+(1-EXP(-LN(2)/2))/(LN(2)/2)*AQ175*AT175*VLOOKUP('Données projet'!$B$10,Paramètres!$A$1:$I$89,3,0)*0.475*44/12</f>
        <v>#N/A</v>
      </c>
      <c r="AX175" s="23" t="e">
        <f t="shared" si="166"/>
        <v>#N/A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70">
        <f t="shared" si="110"/>
        <v>256.66666666666669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-1.1368683772161603E-13</v>
      </c>
      <c r="O176" s="14">
        <f>N176*VLOOKUP('Données projet'!$B$9,Paramètres!$A$1:$I$89,3,0)*VLOOKUP('Données projet'!$B$9,Paramètres!$A$1:$I$89,5,0)</f>
        <v>-6.7984728957526396E-14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348.62416478262719</v>
      </c>
      <c r="T176" s="62">
        <f t="shared" si="142"/>
        <v>371.70674704563288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0.83683524730533765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6.9059791327416282E-21</v>
      </c>
      <c r="AC176" s="24">
        <f t="shared" si="163"/>
        <v>0.83683524730533765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 t="e">
        <f>AI176*VLOOKUP('Données projet'!$B$10,Paramètres!$A$1:$I$89,3,0)*VLOOKUP('Données projet'!$B$10,Paramètres!$A$1:$I$89,5,0)</f>
        <v>#N/A</v>
      </c>
      <c r="AK176" s="14" t="e">
        <f t="shared" si="164"/>
        <v>#N/A</v>
      </c>
      <c r="AL176" s="22" t="e">
        <f t="shared" si="165"/>
        <v>#N/A</v>
      </c>
      <c r="AM176" s="62" t="e">
        <f t="shared" si="113"/>
        <v>#N/A</v>
      </c>
      <c r="AN176" s="62" t="e">
        <f ca="1">AVERAGE(OFFSET($AM$3,0,0,'Données projet'!$E$10+1,1))-AVERAGE(OFFSET($H$3,0,0,'Données projet'!$E$10+1,1))</f>
        <v>#N/A</v>
      </c>
      <c r="AO176" s="62" t="e">
        <f t="shared" si="144"/>
        <v>#N/A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 t="e">
        <f>EXP(-LN(2)/35)*AU175+(1-EXP(-LN(2)/35))/(LN(2)/35)*AQ176*AR176*VLOOKUP('Données projet'!$B$10,Paramètres!$A$1:$I$89,3,0)*0.475*44/12</f>
        <v>#N/A</v>
      </c>
      <c r="AV176" s="23" t="e">
        <f>EXP(-LN(2)/25)*AV175+(1-EXP(-LN(2)/25))/(LN(2)/25)*Calculateur!AQ176*Calculateur!AS176*VLOOKUP('Données projet'!$B$10,Paramètres!$A$1:$I$89,3,0)*0.475*44/12</f>
        <v>#N/A</v>
      </c>
      <c r="AW176" s="23" t="e">
        <f>EXP(-LN(2)/2)*AW175+(1-EXP(-LN(2)/2))/(LN(2)/2)*AQ176*AT176*VLOOKUP('Données projet'!$B$10,Paramètres!$A$1:$I$89,3,0)*0.475*44/12</f>
        <v>#N/A</v>
      </c>
      <c r="AX176" s="23" t="e">
        <f t="shared" si="166"/>
        <v>#N/A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70">
        <f t="shared" si="110"/>
        <v>256.66666666666669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-1.1368683772161603E-13</v>
      </c>
      <c r="O177" s="14">
        <f>N177*VLOOKUP('Données projet'!$B$9,Paramètres!$A$1:$I$89,3,0)*VLOOKUP('Données projet'!$B$9,Paramètres!$A$1:$I$89,5,0)</f>
        <v>-6.7984728957526396E-14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348.62416478262719</v>
      </c>
      <c r="T177" s="62">
        <f t="shared" si="142"/>
        <v>371.70674704563288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0.82042541852478112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4.8832646754943978E-21</v>
      </c>
      <c r="AC177" s="24">
        <f t="shared" si="163"/>
        <v>0.82042541852478112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 t="e">
        <f>AI177*VLOOKUP('Données projet'!$B$10,Paramètres!$A$1:$I$89,3,0)*VLOOKUP('Données projet'!$B$10,Paramètres!$A$1:$I$89,5,0)</f>
        <v>#N/A</v>
      </c>
      <c r="AK177" s="14" t="e">
        <f t="shared" si="164"/>
        <v>#N/A</v>
      </c>
      <c r="AL177" s="22" t="e">
        <f t="shared" si="165"/>
        <v>#N/A</v>
      </c>
      <c r="AM177" s="62" t="e">
        <f t="shared" si="113"/>
        <v>#N/A</v>
      </c>
      <c r="AN177" s="62" t="e">
        <f ca="1">AVERAGE(OFFSET($AM$3,0,0,'Données projet'!$E$10+1,1))-AVERAGE(OFFSET($H$3,0,0,'Données projet'!$E$10+1,1))</f>
        <v>#N/A</v>
      </c>
      <c r="AO177" s="62" t="e">
        <f t="shared" si="144"/>
        <v>#N/A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 t="e">
        <f>EXP(-LN(2)/35)*AU176+(1-EXP(-LN(2)/35))/(LN(2)/35)*AQ177*AR177*VLOOKUP('Données projet'!$B$10,Paramètres!$A$1:$I$89,3,0)*0.475*44/12</f>
        <v>#N/A</v>
      </c>
      <c r="AV177" s="23" t="e">
        <f>EXP(-LN(2)/25)*AV176+(1-EXP(-LN(2)/25))/(LN(2)/25)*Calculateur!AQ177*Calculateur!AS177*VLOOKUP('Données projet'!$B$10,Paramètres!$A$1:$I$89,3,0)*0.475*44/12</f>
        <v>#N/A</v>
      </c>
      <c r="AW177" s="23" t="e">
        <f>EXP(-LN(2)/2)*AW176+(1-EXP(-LN(2)/2))/(LN(2)/2)*AQ177*AT177*VLOOKUP('Données projet'!$B$10,Paramètres!$A$1:$I$89,3,0)*0.475*44/12</f>
        <v>#N/A</v>
      </c>
      <c r="AX177" s="23" t="e">
        <f t="shared" si="166"/>
        <v>#N/A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70">
        <f t="shared" si="110"/>
        <v>256.66666666666669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-1.1368683772161603E-13</v>
      </c>
      <c r="O178" s="14">
        <f>N178*VLOOKUP('Données projet'!$B$9,Paramètres!$A$1:$I$89,3,0)*VLOOKUP('Données projet'!$B$9,Paramètres!$A$1:$I$89,5,0)</f>
        <v>-6.7984728957526396E-14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348.62416478262719</v>
      </c>
      <c r="T178" s="62">
        <f t="shared" si="142"/>
        <v>371.70674704563288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0.80433737647760406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3.4529895663708141E-21</v>
      </c>
      <c r="AC178" s="24">
        <f t="shared" si="163"/>
        <v>0.80433737647760406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 t="e">
        <f>AI178*VLOOKUP('Données projet'!$B$10,Paramètres!$A$1:$I$89,3,0)*VLOOKUP('Données projet'!$B$10,Paramètres!$A$1:$I$89,5,0)</f>
        <v>#N/A</v>
      </c>
      <c r="AK178" s="14" t="e">
        <f t="shared" si="164"/>
        <v>#N/A</v>
      </c>
      <c r="AL178" s="22" t="e">
        <f t="shared" si="165"/>
        <v>#N/A</v>
      </c>
      <c r="AM178" s="62" t="e">
        <f t="shared" si="113"/>
        <v>#N/A</v>
      </c>
      <c r="AN178" s="62" t="e">
        <f ca="1">AVERAGE(OFFSET($AM$3,0,0,'Données projet'!$E$10+1,1))-AVERAGE(OFFSET($H$3,0,0,'Données projet'!$E$10+1,1))</f>
        <v>#N/A</v>
      </c>
      <c r="AO178" s="62" t="e">
        <f t="shared" si="144"/>
        <v>#N/A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 t="e">
        <f>EXP(-LN(2)/35)*AU177+(1-EXP(-LN(2)/35))/(LN(2)/35)*AQ178*AR178*VLOOKUP('Données projet'!$B$10,Paramètres!$A$1:$I$89,3,0)*0.475*44/12</f>
        <v>#N/A</v>
      </c>
      <c r="AV178" s="23" t="e">
        <f>EXP(-LN(2)/25)*AV177+(1-EXP(-LN(2)/25))/(LN(2)/25)*Calculateur!AQ178*Calculateur!AS178*VLOOKUP('Données projet'!$B$10,Paramètres!$A$1:$I$89,3,0)*0.475*44/12</f>
        <v>#N/A</v>
      </c>
      <c r="AW178" s="23" t="e">
        <f>EXP(-LN(2)/2)*AW177+(1-EXP(-LN(2)/2))/(LN(2)/2)*AQ178*AT178*VLOOKUP('Données projet'!$B$10,Paramètres!$A$1:$I$89,3,0)*0.475*44/12</f>
        <v>#N/A</v>
      </c>
      <c r="AX178" s="23" t="e">
        <f t="shared" si="166"/>
        <v>#N/A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70">
        <f t="shared" si="110"/>
        <v>256.66666666666669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-1.1368683772161603E-13</v>
      </c>
      <c r="O179" s="14">
        <f>N179*VLOOKUP('Données projet'!$B$9,Paramètres!$A$1:$I$89,3,0)*VLOOKUP('Données projet'!$B$9,Paramètres!$A$1:$I$89,5,0)</f>
        <v>-6.7984728957526396E-14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348.62416478262719</v>
      </c>
      <c r="T179" s="62">
        <f t="shared" si="142"/>
        <v>371.70674704563288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0.78856481112223542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2.4416323377471989E-21</v>
      </c>
      <c r="AC179" s="24">
        <f t="shared" si="163"/>
        <v>0.78856481112223542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 t="e">
        <f>AI179*VLOOKUP('Données projet'!$B$10,Paramètres!$A$1:$I$89,3,0)*VLOOKUP('Données projet'!$B$10,Paramètres!$A$1:$I$89,5,0)</f>
        <v>#N/A</v>
      </c>
      <c r="AK179" s="14" t="e">
        <f t="shared" si="164"/>
        <v>#N/A</v>
      </c>
      <c r="AL179" s="22" t="e">
        <f t="shared" si="165"/>
        <v>#N/A</v>
      </c>
      <c r="AM179" s="62" t="e">
        <f t="shared" si="113"/>
        <v>#N/A</v>
      </c>
      <c r="AN179" s="62" t="e">
        <f ca="1">AVERAGE(OFFSET($AM$3,0,0,'Données projet'!$E$10+1,1))-AVERAGE(OFFSET($H$3,0,0,'Données projet'!$E$10+1,1))</f>
        <v>#N/A</v>
      </c>
      <c r="AO179" s="62" t="e">
        <f t="shared" si="144"/>
        <v>#N/A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 t="e">
        <f>EXP(-LN(2)/35)*AU178+(1-EXP(-LN(2)/35))/(LN(2)/35)*AQ179*AR179*VLOOKUP('Données projet'!$B$10,Paramètres!$A$1:$I$89,3,0)*0.475*44/12</f>
        <v>#N/A</v>
      </c>
      <c r="AV179" s="23" t="e">
        <f>EXP(-LN(2)/25)*AV178+(1-EXP(-LN(2)/25))/(LN(2)/25)*Calculateur!AQ179*Calculateur!AS179*VLOOKUP('Données projet'!$B$10,Paramètres!$A$1:$I$89,3,0)*0.475*44/12</f>
        <v>#N/A</v>
      </c>
      <c r="AW179" s="23" t="e">
        <f>EXP(-LN(2)/2)*AW178+(1-EXP(-LN(2)/2))/(LN(2)/2)*AQ179*AT179*VLOOKUP('Données projet'!$B$10,Paramètres!$A$1:$I$89,3,0)*0.475*44/12</f>
        <v>#N/A</v>
      </c>
      <c r="AX179" s="23" t="e">
        <f t="shared" si="166"/>
        <v>#N/A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70">
        <f t="shared" si="110"/>
        <v>256.66666666666669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-1.1368683772161603E-13</v>
      </c>
      <c r="O180" s="14">
        <f>N180*VLOOKUP('Données projet'!$B$9,Paramètres!$A$1:$I$89,3,0)*VLOOKUP('Données projet'!$B$9,Paramètres!$A$1:$I$89,5,0)</f>
        <v>-6.7984728957526396E-14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348.62416478262719</v>
      </c>
      <c r="T180" s="62">
        <f t="shared" si="142"/>
        <v>371.70674704563288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0.77310153615317068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1.7264947831854071E-21</v>
      </c>
      <c r="AC180" s="24">
        <f t="shared" si="163"/>
        <v>0.77310153615317068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 t="e">
        <f>AI180*VLOOKUP('Données projet'!$B$10,Paramètres!$A$1:$I$89,3,0)*VLOOKUP('Données projet'!$B$10,Paramètres!$A$1:$I$89,5,0)</f>
        <v>#N/A</v>
      </c>
      <c r="AK180" s="14" t="e">
        <f t="shared" si="164"/>
        <v>#N/A</v>
      </c>
      <c r="AL180" s="22" t="e">
        <f t="shared" si="165"/>
        <v>#N/A</v>
      </c>
      <c r="AM180" s="62" t="e">
        <f t="shared" si="113"/>
        <v>#N/A</v>
      </c>
      <c r="AN180" s="62" t="e">
        <f ca="1">AVERAGE(OFFSET($AM$3,0,0,'Données projet'!$E$10+1,1))-AVERAGE(OFFSET($H$3,0,0,'Données projet'!$E$10+1,1))</f>
        <v>#N/A</v>
      </c>
      <c r="AO180" s="62" t="e">
        <f t="shared" si="144"/>
        <v>#N/A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 t="e">
        <f>EXP(-LN(2)/35)*AU179+(1-EXP(-LN(2)/35))/(LN(2)/35)*AQ180*AR180*VLOOKUP('Données projet'!$B$10,Paramètres!$A$1:$I$89,3,0)*0.475*44/12</f>
        <v>#N/A</v>
      </c>
      <c r="AV180" s="23" t="e">
        <f>EXP(-LN(2)/25)*AV179+(1-EXP(-LN(2)/25))/(LN(2)/25)*Calculateur!AQ180*Calculateur!AS180*VLOOKUP('Données projet'!$B$10,Paramètres!$A$1:$I$89,3,0)*0.475*44/12</f>
        <v>#N/A</v>
      </c>
      <c r="AW180" s="23" t="e">
        <f>EXP(-LN(2)/2)*AW179+(1-EXP(-LN(2)/2))/(LN(2)/2)*AQ180*AT180*VLOOKUP('Données projet'!$B$10,Paramètres!$A$1:$I$89,3,0)*0.475*44/12</f>
        <v>#N/A</v>
      </c>
      <c r="AX180" s="23" t="e">
        <f t="shared" si="166"/>
        <v>#N/A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70">
        <f t="shared" si="110"/>
        <v>256.66666666666669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-1.1368683772161603E-13</v>
      </c>
      <c r="O181" s="14">
        <f>N181*VLOOKUP('Données projet'!$B$9,Paramètres!$A$1:$I$89,3,0)*VLOOKUP('Données projet'!$B$9,Paramètres!$A$1:$I$89,5,0)</f>
        <v>-6.7984728957526396E-14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348.62416478262719</v>
      </c>
      <c r="T181" s="62">
        <f t="shared" si="142"/>
        <v>371.70674704563288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0.75794148657458282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1.2208161688735995E-21</v>
      </c>
      <c r="AC181" s="24">
        <f t="shared" si="163"/>
        <v>0.75794148657458282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 t="e">
        <f>AI181*VLOOKUP('Données projet'!$B$10,Paramètres!$A$1:$I$89,3,0)*VLOOKUP('Données projet'!$B$10,Paramètres!$A$1:$I$89,5,0)</f>
        <v>#N/A</v>
      </c>
      <c r="AK181" s="14" t="e">
        <f t="shared" si="164"/>
        <v>#N/A</v>
      </c>
      <c r="AL181" s="22" t="e">
        <f t="shared" si="165"/>
        <v>#N/A</v>
      </c>
      <c r="AM181" s="62" t="e">
        <f t="shared" si="113"/>
        <v>#N/A</v>
      </c>
      <c r="AN181" s="62" t="e">
        <f ca="1">AVERAGE(OFFSET($AM$3,0,0,'Données projet'!$E$10+1,1))-AVERAGE(OFFSET($H$3,0,0,'Données projet'!$E$10+1,1))</f>
        <v>#N/A</v>
      </c>
      <c r="AO181" s="62" t="e">
        <f t="shared" si="144"/>
        <v>#N/A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 t="e">
        <f>EXP(-LN(2)/35)*AU180+(1-EXP(-LN(2)/35))/(LN(2)/35)*AQ181*AR181*VLOOKUP('Données projet'!$B$10,Paramètres!$A$1:$I$89,3,0)*0.475*44/12</f>
        <v>#N/A</v>
      </c>
      <c r="AV181" s="23" t="e">
        <f>EXP(-LN(2)/25)*AV180+(1-EXP(-LN(2)/25))/(LN(2)/25)*Calculateur!AQ181*Calculateur!AS181*VLOOKUP('Données projet'!$B$10,Paramètres!$A$1:$I$89,3,0)*0.475*44/12</f>
        <v>#N/A</v>
      </c>
      <c r="AW181" s="23" t="e">
        <f>EXP(-LN(2)/2)*AW180+(1-EXP(-LN(2)/2))/(LN(2)/2)*AQ181*AT181*VLOOKUP('Données projet'!$B$10,Paramètres!$A$1:$I$89,3,0)*0.475*44/12</f>
        <v>#N/A</v>
      </c>
      <c r="AX181" s="23" t="e">
        <f t="shared" si="166"/>
        <v>#N/A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70">
        <f t="shared" si="110"/>
        <v>256.66666666666669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-1.1368683772161603E-13</v>
      </c>
      <c r="O182" s="14">
        <f>N182*VLOOKUP('Données projet'!$B$9,Paramètres!$A$1:$I$89,3,0)*VLOOKUP('Données projet'!$B$9,Paramètres!$A$1:$I$89,5,0)</f>
        <v>-6.7984728957526396E-14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348.62416478262719</v>
      </c>
      <c r="T182" s="62">
        <f t="shared" si="142"/>
        <v>371.70674704563288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0.7430787163215139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8.6324739159270353E-22</v>
      </c>
      <c r="AC182" s="24">
        <f t="shared" si="163"/>
        <v>0.7430787163215139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 t="e">
        <f>AI182*VLOOKUP('Données projet'!$B$10,Paramètres!$A$1:$I$89,3,0)*VLOOKUP('Données projet'!$B$10,Paramètres!$A$1:$I$89,5,0)</f>
        <v>#N/A</v>
      </c>
      <c r="AK182" s="14" t="e">
        <f t="shared" si="164"/>
        <v>#N/A</v>
      </c>
      <c r="AL182" s="22" t="e">
        <f t="shared" si="165"/>
        <v>#N/A</v>
      </c>
      <c r="AM182" s="62" t="e">
        <f t="shared" si="113"/>
        <v>#N/A</v>
      </c>
      <c r="AN182" s="62" t="e">
        <f ca="1">AVERAGE(OFFSET($AM$3,0,0,'Données projet'!$E$10+1,1))-AVERAGE(OFFSET($H$3,0,0,'Données projet'!$E$10+1,1))</f>
        <v>#N/A</v>
      </c>
      <c r="AO182" s="62" t="e">
        <f t="shared" si="144"/>
        <v>#N/A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 t="e">
        <f>EXP(-LN(2)/35)*AU181+(1-EXP(-LN(2)/35))/(LN(2)/35)*AQ182*AR182*VLOOKUP('Données projet'!$B$10,Paramètres!$A$1:$I$89,3,0)*0.475*44/12</f>
        <v>#N/A</v>
      </c>
      <c r="AV182" s="23" t="e">
        <f>EXP(-LN(2)/25)*AV181+(1-EXP(-LN(2)/25))/(LN(2)/25)*Calculateur!AQ182*Calculateur!AS182*VLOOKUP('Données projet'!$B$10,Paramètres!$A$1:$I$89,3,0)*0.475*44/12</f>
        <v>#N/A</v>
      </c>
      <c r="AW182" s="23" t="e">
        <f>EXP(-LN(2)/2)*AW181+(1-EXP(-LN(2)/2))/(LN(2)/2)*AQ182*AT182*VLOOKUP('Données projet'!$B$10,Paramètres!$A$1:$I$89,3,0)*0.475*44/12</f>
        <v>#N/A</v>
      </c>
      <c r="AX182" s="23" t="e">
        <f t="shared" si="166"/>
        <v>#N/A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70">
        <f t="shared" si="110"/>
        <v>256.66666666666669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-1.1368683772161603E-13</v>
      </c>
      <c r="O183" s="14">
        <f>N183*VLOOKUP('Données projet'!$B$9,Paramètres!$A$1:$I$89,3,0)*VLOOKUP('Données projet'!$B$9,Paramètres!$A$1:$I$89,5,0)</f>
        <v>-6.7984728957526396E-14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348.62416478262719</v>
      </c>
      <c r="T183" s="62">
        <f t="shared" si="142"/>
        <v>371.70674704563288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0.72850739592771285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6.1040808443679973E-22</v>
      </c>
      <c r="AC183" s="24">
        <f t="shared" si="163"/>
        <v>0.72850739592771285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 t="e">
        <f>AI183*VLOOKUP('Données projet'!$B$10,Paramètres!$A$1:$I$89,3,0)*VLOOKUP('Données projet'!$B$10,Paramètres!$A$1:$I$89,5,0)</f>
        <v>#N/A</v>
      </c>
      <c r="AK183" s="14" t="e">
        <f t="shared" si="164"/>
        <v>#N/A</v>
      </c>
      <c r="AL183" s="22" t="e">
        <f t="shared" si="165"/>
        <v>#N/A</v>
      </c>
      <c r="AM183" s="62" t="e">
        <f t="shared" si="113"/>
        <v>#N/A</v>
      </c>
      <c r="AN183" s="62" t="e">
        <f ca="1">AVERAGE(OFFSET($AM$3,0,0,'Données projet'!$E$10+1,1))-AVERAGE(OFFSET($H$3,0,0,'Données projet'!$E$10+1,1))</f>
        <v>#N/A</v>
      </c>
      <c r="AO183" s="62" t="e">
        <f t="shared" si="144"/>
        <v>#N/A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 t="e">
        <f>EXP(-LN(2)/35)*AU182+(1-EXP(-LN(2)/35))/(LN(2)/35)*AQ183*AR183*VLOOKUP('Données projet'!$B$10,Paramètres!$A$1:$I$89,3,0)*0.475*44/12</f>
        <v>#N/A</v>
      </c>
      <c r="AV183" s="23" t="e">
        <f>EXP(-LN(2)/25)*AV182+(1-EXP(-LN(2)/25))/(LN(2)/25)*Calculateur!AQ183*Calculateur!AS183*VLOOKUP('Données projet'!$B$10,Paramètres!$A$1:$I$89,3,0)*0.475*44/12</f>
        <v>#N/A</v>
      </c>
      <c r="AW183" s="23" t="e">
        <f>EXP(-LN(2)/2)*AW182+(1-EXP(-LN(2)/2))/(LN(2)/2)*AQ183*AT183*VLOOKUP('Données projet'!$B$10,Paramètres!$A$1:$I$89,3,0)*0.475*44/12</f>
        <v>#N/A</v>
      </c>
      <c r="AX183" s="23" t="e">
        <f t="shared" si="166"/>
        <v>#N/A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70">
        <f t="shared" si="110"/>
        <v>256.66666666666669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-1.1368683772161603E-13</v>
      </c>
      <c r="O184" s="14">
        <f>N184*VLOOKUP('Données projet'!$B$9,Paramètres!$A$1:$I$89,3,0)*VLOOKUP('Données projet'!$B$9,Paramètres!$A$1:$I$89,5,0)</f>
        <v>-6.7984728957526396E-14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348.62416478262719</v>
      </c>
      <c r="T184" s="62">
        <f t="shared" si="142"/>
        <v>371.70674704563288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0.71422181023920639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4.3162369579635177E-22</v>
      </c>
      <c r="AC184" s="24">
        <f t="shared" si="163"/>
        <v>0.71422181023920639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 t="e">
        <f>AI184*VLOOKUP('Données projet'!$B$10,Paramètres!$A$1:$I$89,3,0)*VLOOKUP('Données projet'!$B$10,Paramètres!$A$1:$I$89,5,0)</f>
        <v>#N/A</v>
      </c>
      <c r="AK184" s="14" t="e">
        <f t="shared" si="164"/>
        <v>#N/A</v>
      </c>
      <c r="AL184" s="22" t="e">
        <f t="shared" si="165"/>
        <v>#N/A</v>
      </c>
      <c r="AM184" s="62" t="e">
        <f t="shared" si="113"/>
        <v>#N/A</v>
      </c>
      <c r="AN184" s="62" t="e">
        <f ca="1">AVERAGE(OFFSET($AM$3,0,0,'Données projet'!$E$10+1,1))-AVERAGE(OFFSET($H$3,0,0,'Données projet'!$E$10+1,1))</f>
        <v>#N/A</v>
      </c>
      <c r="AO184" s="62" t="e">
        <f t="shared" si="144"/>
        <v>#N/A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 t="e">
        <f>EXP(-LN(2)/35)*AU183+(1-EXP(-LN(2)/35))/(LN(2)/35)*AQ184*AR184*VLOOKUP('Données projet'!$B$10,Paramètres!$A$1:$I$89,3,0)*0.475*44/12</f>
        <v>#N/A</v>
      </c>
      <c r="AV184" s="23" t="e">
        <f>EXP(-LN(2)/25)*AV183+(1-EXP(-LN(2)/25))/(LN(2)/25)*Calculateur!AQ184*Calculateur!AS184*VLOOKUP('Données projet'!$B$10,Paramètres!$A$1:$I$89,3,0)*0.475*44/12</f>
        <v>#N/A</v>
      </c>
      <c r="AW184" s="23" t="e">
        <f>EXP(-LN(2)/2)*AW183+(1-EXP(-LN(2)/2))/(LN(2)/2)*AQ184*AT184*VLOOKUP('Données projet'!$B$10,Paramètres!$A$1:$I$89,3,0)*0.475*44/12</f>
        <v>#N/A</v>
      </c>
      <c r="AX184" s="23" t="e">
        <f t="shared" si="166"/>
        <v>#N/A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70">
        <f t="shared" si="110"/>
        <v>256.66666666666669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-1.1368683772161603E-13</v>
      </c>
      <c r="O185" s="14">
        <f>N185*VLOOKUP('Données projet'!$B$9,Paramètres!$A$1:$I$89,3,0)*VLOOKUP('Données projet'!$B$9,Paramètres!$A$1:$I$89,5,0)</f>
        <v>-6.7984728957526396E-14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348.62416478262719</v>
      </c>
      <c r="T185" s="62">
        <f t="shared" si="142"/>
        <v>371.70674704563288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0.70021635617270472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3.0520404221839986E-22</v>
      </c>
      <c r="AC185" s="24">
        <f t="shared" si="163"/>
        <v>0.70021635617270472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 t="e">
        <f>AI185*VLOOKUP('Données projet'!$B$10,Paramètres!$A$1:$I$89,3,0)*VLOOKUP('Données projet'!$B$10,Paramètres!$A$1:$I$89,5,0)</f>
        <v>#N/A</v>
      </c>
      <c r="AK185" s="14" t="e">
        <f t="shared" si="164"/>
        <v>#N/A</v>
      </c>
      <c r="AL185" s="22" t="e">
        <f t="shared" si="165"/>
        <v>#N/A</v>
      </c>
      <c r="AM185" s="62" t="e">
        <f t="shared" si="113"/>
        <v>#N/A</v>
      </c>
      <c r="AN185" s="62" t="e">
        <f ca="1">AVERAGE(OFFSET($AM$3,0,0,'Données projet'!$E$10+1,1))-AVERAGE(OFFSET($H$3,0,0,'Données projet'!$E$10+1,1))</f>
        <v>#N/A</v>
      </c>
      <c r="AO185" s="62" t="e">
        <f t="shared" si="144"/>
        <v>#N/A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 t="e">
        <f>EXP(-LN(2)/35)*AU184+(1-EXP(-LN(2)/35))/(LN(2)/35)*AQ185*AR185*VLOOKUP('Données projet'!$B$10,Paramètres!$A$1:$I$89,3,0)*0.475*44/12</f>
        <v>#N/A</v>
      </c>
      <c r="AV185" s="23" t="e">
        <f>EXP(-LN(2)/25)*AV184+(1-EXP(-LN(2)/25))/(LN(2)/25)*Calculateur!AQ185*Calculateur!AS185*VLOOKUP('Données projet'!$B$10,Paramètres!$A$1:$I$89,3,0)*0.475*44/12</f>
        <v>#N/A</v>
      </c>
      <c r="AW185" s="23" t="e">
        <f>EXP(-LN(2)/2)*AW184+(1-EXP(-LN(2)/2))/(LN(2)/2)*AQ185*AT185*VLOOKUP('Données projet'!$B$10,Paramètres!$A$1:$I$89,3,0)*0.475*44/12</f>
        <v>#N/A</v>
      </c>
      <c r="AX185" s="23" t="e">
        <f t="shared" si="166"/>
        <v>#N/A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70">
        <f t="shared" si="110"/>
        <v>256.66666666666669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-1.1368683772161603E-13</v>
      </c>
      <c r="O186" s="14">
        <f>N186*VLOOKUP('Données projet'!$B$9,Paramètres!$A$1:$I$89,3,0)*VLOOKUP('Données projet'!$B$9,Paramètres!$A$1:$I$89,5,0)</f>
        <v>-6.7984728957526396E-14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348.62416478262719</v>
      </c>
      <c r="T186" s="62">
        <f t="shared" si="142"/>
        <v>371.70674704563288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0.68648554051796362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2.1581184789817588E-22</v>
      </c>
      <c r="AC186" s="24">
        <f t="shared" si="163"/>
        <v>0.68648554051796362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 t="e">
        <f>AI186*VLOOKUP('Données projet'!$B$10,Paramètres!$A$1:$I$89,3,0)*VLOOKUP('Données projet'!$B$10,Paramètres!$A$1:$I$89,5,0)</f>
        <v>#N/A</v>
      </c>
      <c r="AK186" s="14" t="e">
        <f t="shared" si="164"/>
        <v>#N/A</v>
      </c>
      <c r="AL186" s="22" t="e">
        <f t="shared" si="165"/>
        <v>#N/A</v>
      </c>
      <c r="AM186" s="62" t="e">
        <f t="shared" si="113"/>
        <v>#N/A</v>
      </c>
      <c r="AN186" s="62" t="e">
        <f ca="1">AVERAGE(OFFSET($AM$3,0,0,'Données projet'!$E$10+1,1))-AVERAGE(OFFSET($H$3,0,0,'Données projet'!$E$10+1,1))</f>
        <v>#N/A</v>
      </c>
      <c r="AO186" s="62" t="e">
        <f t="shared" si="144"/>
        <v>#N/A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 t="e">
        <f>EXP(-LN(2)/35)*AU185+(1-EXP(-LN(2)/35))/(LN(2)/35)*AQ186*AR186*VLOOKUP('Données projet'!$B$10,Paramètres!$A$1:$I$89,3,0)*0.475*44/12</f>
        <v>#N/A</v>
      </c>
      <c r="AV186" s="23" t="e">
        <f>EXP(-LN(2)/25)*AV185+(1-EXP(-LN(2)/25))/(LN(2)/25)*Calculateur!AQ186*Calculateur!AS186*VLOOKUP('Données projet'!$B$10,Paramètres!$A$1:$I$89,3,0)*0.475*44/12</f>
        <v>#N/A</v>
      </c>
      <c r="AW186" s="23" t="e">
        <f>EXP(-LN(2)/2)*AW185+(1-EXP(-LN(2)/2))/(LN(2)/2)*AQ186*AT186*VLOOKUP('Données projet'!$B$10,Paramètres!$A$1:$I$89,3,0)*0.475*44/12</f>
        <v>#N/A</v>
      </c>
      <c r="AX186" s="23" t="e">
        <f t="shared" si="166"/>
        <v>#N/A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70">
        <f t="shared" si="110"/>
        <v>256.66666666666669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-1.1368683772161603E-13</v>
      </c>
      <c r="O187" s="14">
        <f>N187*VLOOKUP('Données projet'!$B$9,Paramètres!$A$1:$I$89,3,0)*VLOOKUP('Données projet'!$B$9,Paramètres!$A$1:$I$89,5,0)</f>
        <v>-6.7984728957526396E-14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348.62416478262719</v>
      </c>
      <c r="T187" s="62">
        <f t="shared" si="142"/>
        <v>371.70674704563288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0.67302397778324141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1.5260202110919993E-22</v>
      </c>
      <c r="AC187" s="24">
        <f t="shared" si="163"/>
        <v>0.67302397778324141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 t="e">
        <f>AI187*VLOOKUP('Données projet'!$B$10,Paramètres!$A$1:$I$89,3,0)*VLOOKUP('Données projet'!$B$10,Paramètres!$A$1:$I$89,5,0)</f>
        <v>#N/A</v>
      </c>
      <c r="AK187" s="14" t="e">
        <f t="shared" si="164"/>
        <v>#N/A</v>
      </c>
      <c r="AL187" s="22" t="e">
        <f t="shared" si="165"/>
        <v>#N/A</v>
      </c>
      <c r="AM187" s="62" t="e">
        <f t="shared" si="113"/>
        <v>#N/A</v>
      </c>
      <c r="AN187" s="62" t="e">
        <f ca="1">AVERAGE(OFFSET($AM$3,0,0,'Données projet'!$E$10+1,1))-AVERAGE(OFFSET($H$3,0,0,'Données projet'!$E$10+1,1))</f>
        <v>#N/A</v>
      </c>
      <c r="AO187" s="62" t="e">
        <f t="shared" si="144"/>
        <v>#N/A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 t="e">
        <f>EXP(-LN(2)/35)*AU186+(1-EXP(-LN(2)/35))/(LN(2)/35)*AQ187*AR187*VLOOKUP('Données projet'!$B$10,Paramètres!$A$1:$I$89,3,0)*0.475*44/12</f>
        <v>#N/A</v>
      </c>
      <c r="AV187" s="23" t="e">
        <f>EXP(-LN(2)/25)*AV186+(1-EXP(-LN(2)/25))/(LN(2)/25)*Calculateur!AQ187*Calculateur!AS187*VLOOKUP('Données projet'!$B$10,Paramètres!$A$1:$I$89,3,0)*0.475*44/12</f>
        <v>#N/A</v>
      </c>
      <c r="AW187" s="23" t="e">
        <f>EXP(-LN(2)/2)*AW186+(1-EXP(-LN(2)/2))/(LN(2)/2)*AQ187*AT187*VLOOKUP('Données projet'!$B$10,Paramètres!$A$1:$I$89,3,0)*0.475*44/12</f>
        <v>#N/A</v>
      </c>
      <c r="AX187" s="23" t="e">
        <f t="shared" si="166"/>
        <v>#N/A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70">
        <f t="shared" si="110"/>
        <v>256.66666666666669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-1.1368683772161603E-13</v>
      </c>
      <c r="O188" s="14">
        <f>N188*VLOOKUP('Données projet'!$B$9,Paramètres!$A$1:$I$89,3,0)*VLOOKUP('Données projet'!$B$9,Paramètres!$A$1:$I$89,5,0)</f>
        <v>-6.7984728957526396E-14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348.62416478262719</v>
      </c>
      <c r="T188" s="62">
        <f t="shared" si="142"/>
        <v>371.70674704563288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0.65982638808300453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1.0790592394908794E-22</v>
      </c>
      <c r="AC188" s="24">
        <f t="shared" si="163"/>
        <v>0.65982638808300453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 t="e">
        <f>AI188*VLOOKUP('Données projet'!$B$10,Paramètres!$A$1:$I$89,3,0)*VLOOKUP('Données projet'!$B$10,Paramètres!$A$1:$I$89,5,0)</f>
        <v>#N/A</v>
      </c>
      <c r="AK188" s="14" t="e">
        <f t="shared" si="164"/>
        <v>#N/A</v>
      </c>
      <c r="AL188" s="22" t="e">
        <f t="shared" si="165"/>
        <v>#N/A</v>
      </c>
      <c r="AM188" s="62" t="e">
        <f t="shared" si="113"/>
        <v>#N/A</v>
      </c>
      <c r="AN188" s="62" t="e">
        <f ca="1">AVERAGE(OFFSET($AM$3,0,0,'Données projet'!$E$10+1,1))-AVERAGE(OFFSET($H$3,0,0,'Données projet'!$E$10+1,1))</f>
        <v>#N/A</v>
      </c>
      <c r="AO188" s="62" t="e">
        <f t="shared" si="144"/>
        <v>#N/A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 t="e">
        <f>EXP(-LN(2)/35)*AU187+(1-EXP(-LN(2)/35))/(LN(2)/35)*AQ188*AR188*VLOOKUP('Données projet'!$B$10,Paramètres!$A$1:$I$89,3,0)*0.475*44/12</f>
        <v>#N/A</v>
      </c>
      <c r="AV188" s="23" t="e">
        <f>EXP(-LN(2)/25)*AV187+(1-EXP(-LN(2)/25))/(LN(2)/25)*Calculateur!AQ188*Calculateur!AS188*VLOOKUP('Données projet'!$B$10,Paramètres!$A$1:$I$89,3,0)*0.475*44/12</f>
        <v>#N/A</v>
      </c>
      <c r="AW188" s="23" t="e">
        <f>EXP(-LN(2)/2)*AW187+(1-EXP(-LN(2)/2))/(LN(2)/2)*AQ188*AT188*VLOOKUP('Données projet'!$B$10,Paramètres!$A$1:$I$89,3,0)*0.475*44/12</f>
        <v>#N/A</v>
      </c>
      <c r="AX188" s="23" t="e">
        <f t="shared" si="166"/>
        <v>#N/A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70">
        <f t="shared" si="110"/>
        <v>256.66666666666669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-1.1368683772161603E-13</v>
      </c>
      <c r="O189" s="14">
        <f>N189*VLOOKUP('Données projet'!$B$9,Paramètres!$A$1:$I$89,3,0)*VLOOKUP('Données projet'!$B$9,Paramètres!$A$1:$I$89,5,0)</f>
        <v>-6.7984728957526396E-14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348.62416478262719</v>
      </c>
      <c r="T189" s="62">
        <f t="shared" si="142"/>
        <v>371.70674704563288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0.64688759506705451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7.6301010554599966E-23</v>
      </c>
      <c r="AC189" s="24">
        <f t="shared" si="163"/>
        <v>0.64688759506705451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 t="e">
        <f>AI189*VLOOKUP('Données projet'!$B$10,Paramètres!$A$1:$I$89,3,0)*VLOOKUP('Données projet'!$B$10,Paramètres!$A$1:$I$89,5,0)</f>
        <v>#N/A</v>
      </c>
      <c r="AK189" s="14" t="e">
        <f t="shared" si="164"/>
        <v>#N/A</v>
      </c>
      <c r="AL189" s="22" t="e">
        <f t="shared" si="165"/>
        <v>#N/A</v>
      </c>
      <c r="AM189" s="62" t="e">
        <f t="shared" si="113"/>
        <v>#N/A</v>
      </c>
      <c r="AN189" s="62" t="e">
        <f ca="1">AVERAGE(OFFSET($AM$3,0,0,'Données projet'!$E$10+1,1))-AVERAGE(OFFSET($H$3,0,0,'Données projet'!$E$10+1,1))</f>
        <v>#N/A</v>
      </c>
      <c r="AO189" s="62" t="e">
        <f t="shared" si="144"/>
        <v>#N/A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 t="e">
        <f>EXP(-LN(2)/35)*AU188+(1-EXP(-LN(2)/35))/(LN(2)/35)*AQ189*AR189*VLOOKUP('Données projet'!$B$10,Paramètres!$A$1:$I$89,3,0)*0.475*44/12</f>
        <v>#N/A</v>
      </c>
      <c r="AV189" s="23" t="e">
        <f>EXP(-LN(2)/25)*AV188+(1-EXP(-LN(2)/25))/(LN(2)/25)*Calculateur!AQ189*Calculateur!AS189*VLOOKUP('Données projet'!$B$10,Paramètres!$A$1:$I$89,3,0)*0.475*44/12</f>
        <v>#N/A</v>
      </c>
      <c r="AW189" s="23" t="e">
        <f>EXP(-LN(2)/2)*AW188+(1-EXP(-LN(2)/2))/(LN(2)/2)*AQ189*AT189*VLOOKUP('Données projet'!$B$10,Paramètres!$A$1:$I$89,3,0)*0.475*44/12</f>
        <v>#N/A</v>
      </c>
      <c r="AX189" s="23" t="e">
        <f t="shared" si="166"/>
        <v>#N/A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70">
        <f t="shared" si="110"/>
        <v>256.66666666666669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-1.1368683772161603E-13</v>
      </c>
      <c r="O190" s="14">
        <f>N190*VLOOKUP('Données projet'!$B$9,Paramètres!$A$1:$I$89,3,0)*VLOOKUP('Données projet'!$B$9,Paramètres!$A$1:$I$89,5,0)</f>
        <v>-6.7984728957526396E-14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348.62416478262719</v>
      </c>
      <c r="T190" s="62">
        <f t="shared" si="142"/>
        <v>371.70674704563288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0.63420252389026277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5.3952961974543971E-23</v>
      </c>
      <c r="AC190" s="24">
        <f t="shared" si="163"/>
        <v>0.63420252389026277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 t="e">
        <f>AI190*VLOOKUP('Données projet'!$B$10,Paramètres!$A$1:$I$89,3,0)*VLOOKUP('Données projet'!$B$10,Paramètres!$A$1:$I$89,5,0)</f>
        <v>#N/A</v>
      </c>
      <c r="AK190" s="14" t="e">
        <f t="shared" si="164"/>
        <v>#N/A</v>
      </c>
      <c r="AL190" s="22" t="e">
        <f t="shared" si="165"/>
        <v>#N/A</v>
      </c>
      <c r="AM190" s="62" t="e">
        <f t="shared" si="113"/>
        <v>#N/A</v>
      </c>
      <c r="AN190" s="62" t="e">
        <f ca="1">AVERAGE(OFFSET($AM$3,0,0,'Données projet'!$E$10+1,1))-AVERAGE(OFFSET($H$3,0,0,'Données projet'!$E$10+1,1))</f>
        <v>#N/A</v>
      </c>
      <c r="AO190" s="62" t="e">
        <f t="shared" si="144"/>
        <v>#N/A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 t="e">
        <f>EXP(-LN(2)/35)*AU189+(1-EXP(-LN(2)/35))/(LN(2)/35)*AQ190*AR190*VLOOKUP('Données projet'!$B$10,Paramètres!$A$1:$I$89,3,0)*0.475*44/12</f>
        <v>#N/A</v>
      </c>
      <c r="AV190" s="23" t="e">
        <f>EXP(-LN(2)/25)*AV189+(1-EXP(-LN(2)/25))/(LN(2)/25)*Calculateur!AQ190*Calculateur!AS190*VLOOKUP('Données projet'!$B$10,Paramètres!$A$1:$I$89,3,0)*0.475*44/12</f>
        <v>#N/A</v>
      </c>
      <c r="AW190" s="23" t="e">
        <f>EXP(-LN(2)/2)*AW189+(1-EXP(-LN(2)/2))/(LN(2)/2)*AQ190*AT190*VLOOKUP('Données projet'!$B$10,Paramètres!$A$1:$I$89,3,0)*0.475*44/12</f>
        <v>#N/A</v>
      </c>
      <c r="AX190" s="23" t="e">
        <f t="shared" si="166"/>
        <v>#N/A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70">
        <f t="shared" si="110"/>
        <v>256.66666666666669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-1.1368683772161603E-13</v>
      </c>
      <c r="O191" s="14">
        <f>N191*VLOOKUP('Données projet'!$B$9,Paramètres!$A$1:$I$89,3,0)*VLOOKUP('Données projet'!$B$9,Paramètres!$A$1:$I$89,5,0)</f>
        <v>-6.7984728957526396E-14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348.62416478262719</v>
      </c>
      <c r="T191" s="62">
        <f t="shared" si="142"/>
        <v>371.70674704563288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0.62176619922211851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3.8150505277299983E-23</v>
      </c>
      <c r="AC191" s="24">
        <f t="shared" si="163"/>
        <v>0.62176619922211851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 t="e">
        <f>AI191*VLOOKUP('Données projet'!$B$10,Paramètres!$A$1:$I$89,3,0)*VLOOKUP('Données projet'!$B$10,Paramètres!$A$1:$I$89,5,0)</f>
        <v>#N/A</v>
      </c>
      <c r="AK191" s="14" t="e">
        <f t="shared" si="164"/>
        <v>#N/A</v>
      </c>
      <c r="AL191" s="22" t="e">
        <f t="shared" si="165"/>
        <v>#N/A</v>
      </c>
      <c r="AM191" s="62" t="e">
        <f t="shared" si="113"/>
        <v>#N/A</v>
      </c>
      <c r="AN191" s="62" t="e">
        <f ca="1">AVERAGE(OFFSET($AM$3,0,0,'Données projet'!$E$10+1,1))-AVERAGE(OFFSET($H$3,0,0,'Données projet'!$E$10+1,1))</f>
        <v>#N/A</v>
      </c>
      <c r="AO191" s="62" t="e">
        <f t="shared" si="144"/>
        <v>#N/A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 t="e">
        <f>EXP(-LN(2)/35)*AU190+(1-EXP(-LN(2)/35))/(LN(2)/35)*AQ191*AR191*VLOOKUP('Données projet'!$B$10,Paramètres!$A$1:$I$89,3,0)*0.475*44/12</f>
        <v>#N/A</v>
      </c>
      <c r="AV191" s="23" t="e">
        <f>EXP(-LN(2)/25)*AV190+(1-EXP(-LN(2)/25))/(LN(2)/25)*Calculateur!AQ191*Calculateur!AS191*VLOOKUP('Données projet'!$B$10,Paramètres!$A$1:$I$89,3,0)*0.475*44/12</f>
        <v>#N/A</v>
      </c>
      <c r="AW191" s="23" t="e">
        <f>EXP(-LN(2)/2)*AW190+(1-EXP(-LN(2)/2))/(LN(2)/2)*AQ191*AT191*VLOOKUP('Données projet'!$B$10,Paramètres!$A$1:$I$89,3,0)*0.475*44/12</f>
        <v>#N/A</v>
      </c>
      <c r="AX191" s="23" t="e">
        <f t="shared" si="166"/>
        <v>#N/A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70">
        <f t="shared" si="110"/>
        <v>256.66666666666669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-1.1368683772161603E-13</v>
      </c>
      <c r="O192" s="14">
        <f>N192*VLOOKUP('Données projet'!$B$9,Paramètres!$A$1:$I$89,3,0)*VLOOKUP('Données projet'!$B$9,Paramètres!$A$1:$I$89,5,0)</f>
        <v>-6.7984728957526396E-14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348.62416478262719</v>
      </c>
      <c r="T192" s="62">
        <f t="shared" si="142"/>
        <v>371.70674704563288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0.60957374329530745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2.6976480987271985E-23</v>
      </c>
      <c r="AC192" s="24">
        <f t="shared" si="163"/>
        <v>0.60957374329530745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 t="e">
        <f>AI192*VLOOKUP('Données projet'!$B$10,Paramètres!$A$1:$I$89,3,0)*VLOOKUP('Données projet'!$B$10,Paramètres!$A$1:$I$89,5,0)</f>
        <v>#N/A</v>
      </c>
      <c r="AK192" s="14" t="e">
        <f t="shared" si="164"/>
        <v>#N/A</v>
      </c>
      <c r="AL192" s="22" t="e">
        <f t="shared" si="165"/>
        <v>#N/A</v>
      </c>
      <c r="AM192" s="62" t="e">
        <f t="shared" si="113"/>
        <v>#N/A</v>
      </c>
      <c r="AN192" s="62" t="e">
        <f ca="1">AVERAGE(OFFSET($AM$3,0,0,'Données projet'!$E$10+1,1))-AVERAGE(OFFSET($H$3,0,0,'Données projet'!$E$10+1,1))</f>
        <v>#N/A</v>
      </c>
      <c r="AO192" s="62" t="e">
        <f t="shared" si="144"/>
        <v>#N/A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 t="e">
        <f>EXP(-LN(2)/35)*AU191+(1-EXP(-LN(2)/35))/(LN(2)/35)*AQ192*AR192*VLOOKUP('Données projet'!$B$10,Paramètres!$A$1:$I$89,3,0)*0.475*44/12</f>
        <v>#N/A</v>
      </c>
      <c r="AV192" s="23" t="e">
        <f>EXP(-LN(2)/25)*AV191+(1-EXP(-LN(2)/25))/(LN(2)/25)*Calculateur!AQ192*Calculateur!AS192*VLOOKUP('Données projet'!$B$10,Paramètres!$A$1:$I$89,3,0)*0.475*44/12</f>
        <v>#N/A</v>
      </c>
      <c r="AW192" s="23" t="e">
        <f>EXP(-LN(2)/2)*AW191+(1-EXP(-LN(2)/2))/(LN(2)/2)*AQ192*AT192*VLOOKUP('Données projet'!$B$10,Paramètres!$A$1:$I$89,3,0)*0.475*44/12</f>
        <v>#N/A</v>
      </c>
      <c r="AX192" s="23" t="e">
        <f t="shared" si="166"/>
        <v>#N/A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70">
        <f t="shared" si="110"/>
        <v>256.66666666666669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-1.1368683772161603E-13</v>
      </c>
      <c r="O193" s="14">
        <f>N193*VLOOKUP('Données projet'!$B$9,Paramètres!$A$1:$I$89,3,0)*VLOOKUP('Données projet'!$B$9,Paramètres!$A$1:$I$89,5,0)</f>
        <v>-6.7984728957526396E-14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348.62416478262719</v>
      </c>
      <c r="T193" s="62">
        <f t="shared" si="142"/>
        <v>371.70674704563288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0.59762037399255741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1.9075252638649991E-23</v>
      </c>
      <c r="AC193" s="24">
        <f t="shared" si="163"/>
        <v>0.59762037399255741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 t="e">
        <f>AI193*VLOOKUP('Données projet'!$B$10,Paramètres!$A$1:$I$89,3,0)*VLOOKUP('Données projet'!$B$10,Paramètres!$A$1:$I$89,5,0)</f>
        <v>#N/A</v>
      </c>
      <c r="AK193" s="14" t="e">
        <f t="shared" si="164"/>
        <v>#N/A</v>
      </c>
      <c r="AL193" s="22" t="e">
        <f t="shared" si="165"/>
        <v>#N/A</v>
      </c>
      <c r="AM193" s="62" t="e">
        <f t="shared" si="113"/>
        <v>#N/A</v>
      </c>
      <c r="AN193" s="62" t="e">
        <f ca="1">AVERAGE(OFFSET($AM$3,0,0,'Données projet'!$E$10+1,1))-AVERAGE(OFFSET($H$3,0,0,'Données projet'!$E$10+1,1))</f>
        <v>#N/A</v>
      </c>
      <c r="AO193" s="62" t="e">
        <f t="shared" si="144"/>
        <v>#N/A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 t="e">
        <f>EXP(-LN(2)/35)*AU192+(1-EXP(-LN(2)/35))/(LN(2)/35)*AQ193*AR193*VLOOKUP('Données projet'!$B$10,Paramètres!$A$1:$I$89,3,0)*0.475*44/12</f>
        <v>#N/A</v>
      </c>
      <c r="AV193" s="23" t="e">
        <f>EXP(-LN(2)/25)*AV192+(1-EXP(-LN(2)/25))/(LN(2)/25)*Calculateur!AQ193*Calculateur!AS193*VLOOKUP('Données projet'!$B$10,Paramètres!$A$1:$I$89,3,0)*0.475*44/12</f>
        <v>#N/A</v>
      </c>
      <c r="AW193" s="23" t="e">
        <f>EXP(-LN(2)/2)*AW192+(1-EXP(-LN(2)/2))/(LN(2)/2)*AQ193*AT193*VLOOKUP('Données projet'!$B$10,Paramètres!$A$1:$I$89,3,0)*0.475*44/12</f>
        <v>#N/A</v>
      </c>
      <c r="AX193" s="23" t="e">
        <f t="shared" si="166"/>
        <v>#N/A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70">
        <f t="shared" si="110"/>
        <v>256.66666666666669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-1.1368683772161603E-13</v>
      </c>
      <c r="O194" s="14">
        <f>N194*VLOOKUP('Données projet'!$B$9,Paramètres!$A$1:$I$89,3,0)*VLOOKUP('Données projet'!$B$9,Paramètres!$A$1:$I$89,5,0)</f>
        <v>-6.7984728957526396E-14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348.62416478262719</v>
      </c>
      <c r="T194" s="62">
        <f t="shared" si="142"/>
        <v>371.70674704563288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0.58590140297099891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1.3488240493635993E-23</v>
      </c>
      <c r="AC194" s="24">
        <f t="shared" si="163"/>
        <v>0.58590140297099891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 t="e">
        <f>AI194*VLOOKUP('Données projet'!$B$10,Paramètres!$A$1:$I$89,3,0)*VLOOKUP('Données projet'!$B$10,Paramètres!$A$1:$I$89,5,0)</f>
        <v>#N/A</v>
      </c>
      <c r="AK194" s="14" t="e">
        <f t="shared" si="164"/>
        <v>#N/A</v>
      </c>
      <c r="AL194" s="22" t="e">
        <f t="shared" si="165"/>
        <v>#N/A</v>
      </c>
      <c r="AM194" s="62" t="e">
        <f t="shared" si="113"/>
        <v>#N/A</v>
      </c>
      <c r="AN194" s="62" t="e">
        <f ca="1">AVERAGE(OFFSET($AM$3,0,0,'Données projet'!$E$10+1,1))-AVERAGE(OFFSET($H$3,0,0,'Données projet'!$E$10+1,1))</f>
        <v>#N/A</v>
      </c>
      <c r="AO194" s="62" t="e">
        <f t="shared" si="144"/>
        <v>#N/A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 t="e">
        <f>EXP(-LN(2)/35)*AU193+(1-EXP(-LN(2)/35))/(LN(2)/35)*AQ194*AR194*VLOOKUP('Données projet'!$B$10,Paramètres!$A$1:$I$89,3,0)*0.475*44/12</f>
        <v>#N/A</v>
      </c>
      <c r="AV194" s="23" t="e">
        <f>EXP(-LN(2)/25)*AV193+(1-EXP(-LN(2)/25))/(LN(2)/25)*Calculateur!AQ194*Calculateur!AS194*VLOOKUP('Données projet'!$B$10,Paramètres!$A$1:$I$89,3,0)*0.475*44/12</f>
        <v>#N/A</v>
      </c>
      <c r="AW194" s="23" t="e">
        <f>EXP(-LN(2)/2)*AW193+(1-EXP(-LN(2)/2))/(LN(2)/2)*AQ194*AT194*VLOOKUP('Données projet'!$B$10,Paramètres!$A$1:$I$89,3,0)*0.475*44/12</f>
        <v>#N/A</v>
      </c>
      <c r="AX194" s="23" t="e">
        <f t="shared" si="166"/>
        <v>#N/A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70">
        <f t="shared" si="110"/>
        <v>256.66666666666669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-1.1368683772161603E-13</v>
      </c>
      <c r="O195" s="14">
        <f>N195*VLOOKUP('Données projet'!$B$9,Paramètres!$A$1:$I$89,3,0)*VLOOKUP('Données projet'!$B$9,Paramètres!$A$1:$I$89,5,0)</f>
        <v>-6.7984728957526396E-14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348.62416478262719</v>
      </c>
      <c r="T195" s="62">
        <f t="shared" si="142"/>
        <v>371.70674704563288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0.57441223382330664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9.5376263193249957E-24</v>
      </c>
      <c r="AC195" s="24">
        <f t="shared" si="163"/>
        <v>0.57441223382330664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 t="e">
        <f>AI195*VLOOKUP('Données projet'!$B$10,Paramètres!$A$1:$I$89,3,0)*VLOOKUP('Données projet'!$B$10,Paramètres!$A$1:$I$89,5,0)</f>
        <v>#N/A</v>
      </c>
      <c r="AK195" s="14" t="e">
        <f t="shared" si="164"/>
        <v>#N/A</v>
      </c>
      <c r="AL195" s="22" t="e">
        <f t="shared" si="165"/>
        <v>#N/A</v>
      </c>
      <c r="AM195" s="62" t="e">
        <f t="shared" si="113"/>
        <v>#N/A</v>
      </c>
      <c r="AN195" s="62" t="e">
        <f ca="1">AVERAGE(OFFSET($AM$3,0,0,'Données projet'!$E$10+1,1))-AVERAGE(OFFSET($H$3,0,0,'Données projet'!$E$10+1,1))</f>
        <v>#N/A</v>
      </c>
      <c r="AO195" s="62" t="e">
        <f t="shared" si="144"/>
        <v>#N/A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 t="e">
        <f>EXP(-LN(2)/35)*AU194+(1-EXP(-LN(2)/35))/(LN(2)/35)*AQ195*AR195*VLOOKUP('Données projet'!$B$10,Paramètres!$A$1:$I$89,3,0)*0.475*44/12</f>
        <v>#N/A</v>
      </c>
      <c r="AV195" s="23" t="e">
        <f>EXP(-LN(2)/25)*AV194+(1-EXP(-LN(2)/25))/(LN(2)/25)*Calculateur!AQ195*Calculateur!AS195*VLOOKUP('Données projet'!$B$10,Paramètres!$A$1:$I$89,3,0)*0.475*44/12</f>
        <v>#N/A</v>
      </c>
      <c r="AW195" s="23" t="e">
        <f>EXP(-LN(2)/2)*AW194+(1-EXP(-LN(2)/2))/(LN(2)/2)*AQ195*AT195*VLOOKUP('Données projet'!$B$10,Paramètres!$A$1:$I$89,3,0)*0.475*44/12</f>
        <v>#N/A</v>
      </c>
      <c r="AX195" s="23" t="e">
        <f t="shared" si="166"/>
        <v>#N/A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70">
        <f t="shared" ref="H196:H203" si="192">(B196+E196+F196)*44/12+(C196+D196)*0.475*44/12</f>
        <v>256.66666666666669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-1.1368683772161603E-13</v>
      </c>
      <c r="O196" s="14">
        <f>N196*VLOOKUP('Données projet'!$B$9,Paramètres!$A$1:$I$89,3,0)*VLOOKUP('Données projet'!$B$9,Paramètres!$A$1:$I$89,5,0)</f>
        <v>-6.7984728957526396E-14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348.62416478262719</v>
      </c>
      <c r="T196" s="62">
        <f t="shared" si="142"/>
        <v>371.70674704563288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0.56314836027489934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6.7441202468179963E-24</v>
      </c>
      <c r="AC196" s="24">
        <f t="shared" si="163"/>
        <v>0.56314836027489934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 t="e">
        <f>AI196*VLOOKUP('Données projet'!$B$10,Paramètres!$A$1:$I$89,3,0)*VLOOKUP('Données projet'!$B$10,Paramètres!$A$1:$I$89,5,0)</f>
        <v>#N/A</v>
      </c>
      <c r="AK196" s="14" t="e">
        <f t="shared" si="164"/>
        <v>#N/A</v>
      </c>
      <c r="AL196" s="22" t="e">
        <f t="shared" si="165"/>
        <v>#N/A</v>
      </c>
      <c r="AM196" s="62" t="e">
        <f t="shared" ref="AM196:AM203" si="193">AL196+(AD196+AE196)*44/12</f>
        <v>#N/A</v>
      </c>
      <c r="AN196" s="62" t="e">
        <f ca="1">AVERAGE(OFFSET($AM$3,0,0,'Données projet'!$E$10+1,1))-AVERAGE(OFFSET($H$3,0,0,'Données projet'!$E$10+1,1))</f>
        <v>#N/A</v>
      </c>
      <c r="AO196" s="62" t="e">
        <f t="shared" si="144"/>
        <v>#N/A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 t="e">
        <f>EXP(-LN(2)/35)*AU195+(1-EXP(-LN(2)/35))/(LN(2)/35)*AQ196*AR196*VLOOKUP('Données projet'!$B$10,Paramètres!$A$1:$I$89,3,0)*0.475*44/12</f>
        <v>#N/A</v>
      </c>
      <c r="AV196" s="23" t="e">
        <f>EXP(-LN(2)/25)*AV195+(1-EXP(-LN(2)/25))/(LN(2)/25)*Calculateur!AQ196*Calculateur!AS196*VLOOKUP('Données projet'!$B$10,Paramètres!$A$1:$I$89,3,0)*0.475*44/12</f>
        <v>#N/A</v>
      </c>
      <c r="AW196" s="23" t="e">
        <f>EXP(-LN(2)/2)*AW195+(1-EXP(-LN(2)/2))/(LN(2)/2)*AQ196*AT196*VLOOKUP('Données projet'!$B$10,Paramètres!$A$1:$I$89,3,0)*0.475*44/12</f>
        <v>#N/A</v>
      </c>
      <c r="AX196" s="23" t="e">
        <f t="shared" si="166"/>
        <v>#N/A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70">
        <f t="shared" si="192"/>
        <v>256.66666666666669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-1.1368683772161603E-13</v>
      </c>
      <c r="O197" s="14">
        <f>N197*VLOOKUP('Données projet'!$B$9,Paramètres!$A$1:$I$89,3,0)*VLOOKUP('Données projet'!$B$9,Paramètres!$A$1:$I$89,5,0)</f>
        <v>-6.7984728957526396E-14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348.62416478262719</v>
      </c>
      <c r="T197" s="62">
        <f t="shared" ref="T197:T203" si="204">$T$3</f>
        <v>371.70674704563288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0.55210536441649183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4.7688131596624979E-24</v>
      </c>
      <c r="AC197" s="24">
        <f t="shared" si="163"/>
        <v>0.55210536441649183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 t="e">
        <f>AI197*VLOOKUP('Données projet'!$B$10,Paramètres!$A$1:$I$89,3,0)*VLOOKUP('Données projet'!$B$10,Paramètres!$A$1:$I$89,5,0)</f>
        <v>#N/A</v>
      </c>
      <c r="AK197" s="14" t="e">
        <f t="shared" si="164"/>
        <v>#N/A</v>
      </c>
      <c r="AL197" s="22" t="e">
        <f t="shared" si="165"/>
        <v>#N/A</v>
      </c>
      <c r="AM197" s="62" t="e">
        <f t="shared" si="193"/>
        <v>#N/A</v>
      </c>
      <c r="AN197" s="62" t="e">
        <f ca="1">AVERAGE(OFFSET($AM$3,0,0,'Données projet'!$E$10+1,1))-AVERAGE(OFFSET($H$3,0,0,'Données projet'!$E$10+1,1))</f>
        <v>#N/A</v>
      </c>
      <c r="AO197" s="62" t="e">
        <f t="shared" ref="AO197:AO203" si="205">$AO$3</f>
        <v>#N/A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 t="e">
        <f>EXP(-LN(2)/35)*AU196+(1-EXP(-LN(2)/35))/(LN(2)/35)*AQ197*AR197*VLOOKUP('Données projet'!$B$10,Paramètres!$A$1:$I$89,3,0)*0.475*44/12</f>
        <v>#N/A</v>
      </c>
      <c r="AV197" s="23" t="e">
        <f>EXP(-LN(2)/25)*AV196+(1-EXP(-LN(2)/25))/(LN(2)/25)*Calculateur!AQ197*Calculateur!AS197*VLOOKUP('Données projet'!$B$10,Paramètres!$A$1:$I$89,3,0)*0.475*44/12</f>
        <v>#N/A</v>
      </c>
      <c r="AW197" s="23" t="e">
        <f>EXP(-LN(2)/2)*AW196+(1-EXP(-LN(2)/2))/(LN(2)/2)*AQ197*AT197*VLOOKUP('Données projet'!$B$10,Paramètres!$A$1:$I$89,3,0)*0.475*44/12</f>
        <v>#N/A</v>
      </c>
      <c r="AX197" s="23" t="e">
        <f t="shared" si="166"/>
        <v>#N/A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70">
        <f t="shared" si="192"/>
        <v>256.66666666666669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-1.1368683772161603E-13</v>
      </c>
      <c r="O198" s="14">
        <f>N198*VLOOKUP('Données projet'!$B$9,Paramètres!$A$1:$I$89,3,0)*VLOOKUP('Données projet'!$B$9,Paramètres!$A$1:$I$89,5,0)</f>
        <v>-6.7984728957526396E-14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348.62416478262719</v>
      </c>
      <c r="T198" s="62">
        <f t="shared" si="204"/>
        <v>371.70674704563288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0.54127891497130531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3.3720601234089982E-24</v>
      </c>
      <c r="AC198" s="24">
        <f t="shared" si="163"/>
        <v>0.54127891497130531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 t="e">
        <f>AI198*VLOOKUP('Données projet'!$B$10,Paramètres!$A$1:$I$89,3,0)*VLOOKUP('Données projet'!$B$10,Paramètres!$A$1:$I$89,5,0)</f>
        <v>#N/A</v>
      </c>
      <c r="AK198" s="14" t="e">
        <f t="shared" si="164"/>
        <v>#N/A</v>
      </c>
      <c r="AL198" s="22" t="e">
        <f t="shared" si="165"/>
        <v>#N/A</v>
      </c>
      <c r="AM198" s="62" t="e">
        <f t="shared" si="193"/>
        <v>#N/A</v>
      </c>
      <c r="AN198" s="62" t="e">
        <f ca="1">AVERAGE(OFFSET($AM$3,0,0,'Données projet'!$E$10+1,1))-AVERAGE(OFFSET($H$3,0,0,'Données projet'!$E$10+1,1))</f>
        <v>#N/A</v>
      </c>
      <c r="AO198" s="62" t="e">
        <f t="shared" si="205"/>
        <v>#N/A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 t="e">
        <f>EXP(-LN(2)/35)*AU197+(1-EXP(-LN(2)/35))/(LN(2)/35)*AQ198*AR198*VLOOKUP('Données projet'!$B$10,Paramètres!$A$1:$I$89,3,0)*0.475*44/12</f>
        <v>#N/A</v>
      </c>
      <c r="AV198" s="23" t="e">
        <f>EXP(-LN(2)/25)*AV197+(1-EXP(-LN(2)/25))/(LN(2)/25)*Calculateur!AQ198*Calculateur!AS198*VLOOKUP('Données projet'!$B$10,Paramètres!$A$1:$I$89,3,0)*0.475*44/12</f>
        <v>#N/A</v>
      </c>
      <c r="AW198" s="23" t="e">
        <f>EXP(-LN(2)/2)*AW197+(1-EXP(-LN(2)/2))/(LN(2)/2)*AQ198*AT198*VLOOKUP('Données projet'!$B$10,Paramètres!$A$1:$I$89,3,0)*0.475*44/12</f>
        <v>#N/A</v>
      </c>
      <c r="AX198" s="23" t="e">
        <f t="shared" si="166"/>
        <v>#N/A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70">
        <f t="shared" si="192"/>
        <v>256.66666666666669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-1.1368683772161603E-13</v>
      </c>
      <c r="O199" s="14">
        <f>N199*VLOOKUP('Données projet'!$B$9,Paramètres!$A$1:$I$89,3,0)*VLOOKUP('Données projet'!$B$9,Paramètres!$A$1:$I$89,5,0)</f>
        <v>-6.7984728957526396E-14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348.62416478262719</v>
      </c>
      <c r="T199" s="62">
        <f t="shared" si="204"/>
        <v>371.70674704563288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0.53066476559625675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2.3844065798312489E-24</v>
      </c>
      <c r="AC199" s="24">
        <f t="shared" si="163"/>
        <v>0.53066476559625675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 t="e">
        <f>AI199*VLOOKUP('Données projet'!$B$10,Paramètres!$A$1:$I$89,3,0)*VLOOKUP('Données projet'!$B$10,Paramètres!$A$1:$I$89,5,0)</f>
        <v>#N/A</v>
      </c>
      <c r="AK199" s="14" t="e">
        <f t="shared" si="164"/>
        <v>#N/A</v>
      </c>
      <c r="AL199" s="22" t="e">
        <f t="shared" si="165"/>
        <v>#N/A</v>
      </c>
      <c r="AM199" s="62" t="e">
        <f t="shared" si="193"/>
        <v>#N/A</v>
      </c>
      <c r="AN199" s="62" t="e">
        <f ca="1">AVERAGE(OFFSET($AM$3,0,0,'Données projet'!$E$10+1,1))-AVERAGE(OFFSET($H$3,0,0,'Données projet'!$E$10+1,1))</f>
        <v>#N/A</v>
      </c>
      <c r="AO199" s="62" t="e">
        <f t="shared" si="205"/>
        <v>#N/A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 t="e">
        <f>EXP(-LN(2)/35)*AU198+(1-EXP(-LN(2)/35))/(LN(2)/35)*AQ199*AR199*VLOOKUP('Données projet'!$B$10,Paramètres!$A$1:$I$89,3,0)*0.475*44/12</f>
        <v>#N/A</v>
      </c>
      <c r="AV199" s="23" t="e">
        <f>EXP(-LN(2)/25)*AV198+(1-EXP(-LN(2)/25))/(LN(2)/25)*Calculateur!AQ199*Calculateur!AS199*VLOOKUP('Données projet'!$B$10,Paramètres!$A$1:$I$89,3,0)*0.475*44/12</f>
        <v>#N/A</v>
      </c>
      <c r="AW199" s="23" t="e">
        <f>EXP(-LN(2)/2)*AW198+(1-EXP(-LN(2)/2))/(LN(2)/2)*AQ199*AT199*VLOOKUP('Données projet'!$B$10,Paramètres!$A$1:$I$89,3,0)*0.475*44/12</f>
        <v>#N/A</v>
      </c>
      <c r="AX199" s="23" t="e">
        <f t="shared" si="166"/>
        <v>#N/A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70">
        <f t="shared" si="192"/>
        <v>256.66666666666669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-1.1368683772161603E-13</v>
      </c>
      <c r="O200" s="14">
        <f>N200*VLOOKUP('Données projet'!$B$9,Paramètres!$A$1:$I$89,3,0)*VLOOKUP('Données projet'!$B$9,Paramètres!$A$1:$I$89,5,0)</f>
        <v>-6.7984728957526396E-14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348.62416478262719</v>
      </c>
      <c r="T200" s="62">
        <f t="shared" si="204"/>
        <v>371.70674704563288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0.52025875321646109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1.6860300617044991E-24</v>
      </c>
      <c r="AC200" s="24">
        <f t="shared" si="163"/>
        <v>0.52025875321646109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 t="e">
        <f>AI200*VLOOKUP('Données projet'!$B$10,Paramètres!$A$1:$I$89,3,0)*VLOOKUP('Données projet'!$B$10,Paramètres!$A$1:$I$89,5,0)</f>
        <v>#N/A</v>
      </c>
      <c r="AK200" s="14" t="e">
        <f t="shared" si="164"/>
        <v>#N/A</v>
      </c>
      <c r="AL200" s="22" t="e">
        <f t="shared" si="165"/>
        <v>#N/A</v>
      </c>
      <c r="AM200" s="62" t="e">
        <f t="shared" si="193"/>
        <v>#N/A</v>
      </c>
      <c r="AN200" s="62" t="e">
        <f ca="1">AVERAGE(OFFSET($AM$3,0,0,'Données projet'!$E$10+1,1))-AVERAGE(OFFSET($H$3,0,0,'Données projet'!$E$10+1,1))</f>
        <v>#N/A</v>
      </c>
      <c r="AO200" s="62" t="e">
        <f t="shared" si="205"/>
        <v>#N/A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 t="e">
        <f>EXP(-LN(2)/35)*AU199+(1-EXP(-LN(2)/35))/(LN(2)/35)*AQ200*AR200*VLOOKUP('Données projet'!$B$10,Paramètres!$A$1:$I$89,3,0)*0.475*44/12</f>
        <v>#N/A</v>
      </c>
      <c r="AV200" s="23" t="e">
        <f>EXP(-LN(2)/25)*AV199+(1-EXP(-LN(2)/25))/(LN(2)/25)*Calculateur!AQ200*Calculateur!AS200*VLOOKUP('Données projet'!$B$10,Paramètres!$A$1:$I$89,3,0)*0.475*44/12</f>
        <v>#N/A</v>
      </c>
      <c r="AW200" s="23" t="e">
        <f>EXP(-LN(2)/2)*AW199+(1-EXP(-LN(2)/2))/(LN(2)/2)*AQ200*AT200*VLOOKUP('Données projet'!$B$10,Paramètres!$A$1:$I$89,3,0)*0.475*44/12</f>
        <v>#N/A</v>
      </c>
      <c r="AX200" s="23" t="e">
        <f t="shared" si="166"/>
        <v>#N/A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70">
        <f t="shared" si="192"/>
        <v>256.66666666666669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-1.1368683772161603E-13</v>
      </c>
      <c r="O201" s="14">
        <f>N201*VLOOKUP('Données projet'!$B$9,Paramètres!$A$1:$I$89,3,0)*VLOOKUP('Données projet'!$B$9,Paramètres!$A$1:$I$89,5,0)</f>
        <v>-6.7984728957526396E-14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348.62416478262719</v>
      </c>
      <c r="T201" s="62">
        <f t="shared" si="204"/>
        <v>371.70674704563288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0.51005679639239232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1.1922032899156245E-24</v>
      </c>
      <c r="AC201" s="24">
        <f t="shared" si="163"/>
        <v>0.51005679639239232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 t="e">
        <f>AI201*VLOOKUP('Données projet'!$B$10,Paramètres!$A$1:$I$89,3,0)*VLOOKUP('Données projet'!$B$10,Paramètres!$A$1:$I$89,5,0)</f>
        <v>#N/A</v>
      </c>
      <c r="AK201" s="14" t="e">
        <f t="shared" si="164"/>
        <v>#N/A</v>
      </c>
      <c r="AL201" s="22" t="e">
        <f t="shared" si="165"/>
        <v>#N/A</v>
      </c>
      <c r="AM201" s="62" t="e">
        <f t="shared" si="193"/>
        <v>#N/A</v>
      </c>
      <c r="AN201" s="62" t="e">
        <f ca="1">AVERAGE(OFFSET($AM$3,0,0,'Données projet'!$E$10+1,1))-AVERAGE(OFFSET($H$3,0,0,'Données projet'!$E$10+1,1))</f>
        <v>#N/A</v>
      </c>
      <c r="AO201" s="62" t="e">
        <f t="shared" si="205"/>
        <v>#N/A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 t="e">
        <f>EXP(-LN(2)/35)*AU200+(1-EXP(-LN(2)/35))/(LN(2)/35)*AQ201*AR201*VLOOKUP('Données projet'!$B$10,Paramètres!$A$1:$I$89,3,0)*0.475*44/12</f>
        <v>#N/A</v>
      </c>
      <c r="AV201" s="23" t="e">
        <f>EXP(-LN(2)/25)*AV200+(1-EXP(-LN(2)/25))/(LN(2)/25)*Calculateur!AQ201*Calculateur!AS201*VLOOKUP('Données projet'!$B$10,Paramètres!$A$1:$I$89,3,0)*0.475*44/12</f>
        <v>#N/A</v>
      </c>
      <c r="AW201" s="23" t="e">
        <f>EXP(-LN(2)/2)*AW200+(1-EXP(-LN(2)/2))/(LN(2)/2)*AQ201*AT201*VLOOKUP('Données projet'!$B$10,Paramètres!$A$1:$I$89,3,0)*0.475*44/12</f>
        <v>#N/A</v>
      </c>
      <c r="AX201" s="23" t="e">
        <f t="shared" si="166"/>
        <v>#N/A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70">
        <f t="shared" si="192"/>
        <v>256.66666666666669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-1.1368683772161603E-13</v>
      </c>
      <c r="O202" s="14">
        <f>N202*VLOOKUP('Données projet'!$B$9,Paramètres!$A$1:$I$89,3,0)*VLOOKUP('Données projet'!$B$9,Paramètres!$A$1:$I$89,5,0)</f>
        <v>-6.7984728957526396E-14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348.62416478262719</v>
      </c>
      <c r="T202" s="62">
        <f t="shared" si="204"/>
        <v>371.70674704563288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0.50005489371906431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8.4301503085224954E-25</v>
      </c>
      <c r="AC202" s="24">
        <f t="shared" si="163"/>
        <v>0.50005489371906431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 t="e">
        <f>AI202*VLOOKUP('Données projet'!$B$10,Paramètres!$A$1:$I$89,3,0)*VLOOKUP('Données projet'!$B$10,Paramètres!$A$1:$I$89,5,0)</f>
        <v>#N/A</v>
      </c>
      <c r="AK202" s="14" t="e">
        <f t="shared" si="164"/>
        <v>#N/A</v>
      </c>
      <c r="AL202" s="22" t="e">
        <f t="shared" si="165"/>
        <v>#N/A</v>
      </c>
      <c r="AM202" s="62" t="e">
        <f t="shared" si="193"/>
        <v>#N/A</v>
      </c>
      <c r="AN202" s="62" t="e">
        <f ca="1">AVERAGE(OFFSET($AM$3,0,0,'Données projet'!$E$10+1,1))-AVERAGE(OFFSET($H$3,0,0,'Données projet'!$E$10+1,1))</f>
        <v>#N/A</v>
      </c>
      <c r="AO202" s="62" t="e">
        <f t="shared" si="205"/>
        <v>#N/A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 t="e">
        <f>EXP(-LN(2)/35)*AU201+(1-EXP(-LN(2)/35))/(LN(2)/35)*AQ202*AR202*VLOOKUP('Données projet'!$B$10,Paramètres!$A$1:$I$89,3,0)*0.475*44/12</f>
        <v>#N/A</v>
      </c>
      <c r="AV202" s="23" t="e">
        <f>EXP(-LN(2)/25)*AV201+(1-EXP(-LN(2)/25))/(LN(2)/25)*Calculateur!AQ202*Calculateur!AS202*VLOOKUP('Données projet'!$B$10,Paramètres!$A$1:$I$89,3,0)*0.475*44/12</f>
        <v>#N/A</v>
      </c>
      <c r="AW202" s="23" t="e">
        <f>EXP(-LN(2)/2)*AW201+(1-EXP(-LN(2)/2))/(LN(2)/2)*AQ202*AT202*VLOOKUP('Données projet'!$B$10,Paramètres!$A$1:$I$89,3,0)*0.475*44/12</f>
        <v>#N/A</v>
      </c>
      <c r="AX202" s="23" t="e">
        <f t="shared" si="166"/>
        <v>#N/A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70">
        <f t="shared" si="192"/>
        <v>256.66666666666669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-1.1368683772161603E-13</v>
      </c>
      <c r="O203" s="14">
        <f>N203*VLOOKUP('Données projet'!$B$9,Paramètres!$A$1:$I$89,3,0)*VLOOKUP('Données projet'!$B$9,Paramètres!$A$1:$I$89,5,0)</f>
        <v>-6.7984728957526396E-14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348.62416478262719</v>
      </c>
      <c r="T203" s="62">
        <f t="shared" si="204"/>
        <v>371.70674704563288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0.49024912225660205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5.9610164495781223E-25</v>
      </c>
      <c r="AC203" s="24">
        <f t="shared" si="163"/>
        <v>0.49024912225660205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 t="e">
        <f>AI203*VLOOKUP('Données projet'!$B$10,Paramètres!$A$1:$I$89,3,0)*VLOOKUP('Données projet'!$B$10,Paramètres!$A$1:$I$89,5,0)</f>
        <v>#N/A</v>
      </c>
      <c r="AK203" s="14" t="e">
        <f t="shared" si="164"/>
        <v>#N/A</v>
      </c>
      <c r="AL203" s="22" t="e">
        <f t="shared" si="165"/>
        <v>#N/A</v>
      </c>
      <c r="AM203" s="62" t="e">
        <f t="shared" si="193"/>
        <v>#N/A</v>
      </c>
      <c r="AN203" s="62" t="e">
        <f ca="1">AVERAGE(OFFSET($AM$3,0,0,'Données projet'!$E$10+1,1))-AVERAGE(OFFSET($H$3,0,0,'Données projet'!$E$10+1,1))</f>
        <v>#N/A</v>
      </c>
      <c r="AO203" s="62" t="e">
        <f t="shared" si="205"/>
        <v>#N/A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 t="e">
        <f>EXP(-LN(2)/35)*AU202+(1-EXP(-LN(2)/35))/(LN(2)/35)*AQ203*AR203*VLOOKUP('Données projet'!$B$10,Paramètres!$A$1:$I$89,3,0)*0.475*44/12</f>
        <v>#N/A</v>
      </c>
      <c r="AV203" s="23" t="e">
        <f>EXP(-LN(2)/25)*AV202+(1-EXP(-LN(2)/25))/(LN(2)/25)*Calculateur!AQ203*Calculateur!AS203*VLOOKUP('Données projet'!$B$10,Paramètres!$A$1:$I$89,3,0)*0.475*44/12</f>
        <v>#N/A</v>
      </c>
      <c r="AW203" s="23" t="e">
        <f>EXP(-LN(2)/2)*AW202+(1-EXP(-LN(2)/2))/(LN(2)/2)*AQ203*AT203*VLOOKUP('Données projet'!$B$10,Paramètres!$A$1:$I$89,3,0)*0.475*44/12</f>
        <v>#N/A</v>
      </c>
      <c r="AX203" s="23" t="e">
        <f t="shared" si="166"/>
        <v>#N/A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1.3239616704988877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 t="e">
        <f>EXP(LN('Données projet'!B62)/'Données projet'!A62)</f>
        <v>#NUM!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A4" workbookViewId="0">
      <selection activeCell="K25" sqref="K25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pin laricio</v>
      </c>
      <c r="B6" s="155">
        <f>'Données projet'!D9</f>
        <v>3</v>
      </c>
      <c r="C6" s="156">
        <f ca="1">IF(OR('Données projet'!B9="",'Données projet'!C9="",'Données projet'!C9=0%),0,Calculateur!S3)</f>
        <v>348.62416478262719</v>
      </c>
      <c r="D6" s="156">
        <f>IF(OR('Données projet'!B9="",'Données projet'!C9="",'Données projet'!C9=0%),0,Calculateur!T3)</f>
        <v>371.70674704563288</v>
      </c>
      <c r="E6" s="156">
        <f ca="1">MIN(C6,D6)</f>
        <v>348.62416478262719</v>
      </c>
      <c r="F6" s="156">
        <f ca="1">E6*B6</f>
        <v>1045.8724943478815</v>
      </c>
      <c r="G6" s="156">
        <f ca="1">F6*(100%-'Données projet'!$C$24)*(100%-'Données projet'!$C$25)*(100%-'Données projet'!$C$26)*(100%-'Données projet'!$C$27)</f>
        <v>800.0924581761293</v>
      </c>
      <c r="H6" s="157">
        <f>IF(OR('Données projet'!B9="",'Données projet'!C9="",'Données projet'!C9=0%),0,AVERAGE(Calculateur!$AC$3:$AC$33)*B6)</f>
        <v>16.845131263233849</v>
      </c>
      <c r="I6" s="158">
        <f>H6*(100%-'Données projet'!$C$24)*(100%-'Données projet'!$C$25)*(100%-'Données projet'!$C$26)*(100%-'Données projet'!$C$27)</f>
        <v>12.886525416373894</v>
      </c>
      <c r="J6" s="159">
        <f>IF(OR('Données projet'!B9="",'Données projet'!C9="",'Données projet'!C9=0%),0,SUM(Calculateur!$V$3:$V$33)*VLOOKUP('Données projet'!$B$9,Paramètres!$A$1:$I$89,9,0)*B6)</f>
        <v>154.80000000000001</v>
      </c>
      <c r="K6" s="160">
        <f>J6*(100%-'Données projet'!$C$24)*(100%-'Données projet'!$C$25)*(100%-'Données projet'!$C$26)*(100%-'Données projet'!$C$27)</f>
        <v>118.42200000000001</v>
      </c>
      <c r="L6" s="161">
        <f ca="1">G6+I6+K6</f>
        <v>931.40098359250317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/>
      </c>
      <c r="B7" s="163">
        <f>'Données projet'!D10</f>
        <v>0</v>
      </c>
      <c r="C7" s="156">
        <f>IF(OR('Données projet'!B10="",'Données projet'!C10="",'Données projet'!C10=0%),0,Calculateur!AN3)</f>
        <v>0</v>
      </c>
      <c r="D7" s="156">
        <f>IF(OR('Données projet'!B10="",'Données projet'!C10="",'Données projet'!C10=0%),0,Calculateur!AO3)</f>
        <v>0</v>
      </c>
      <c r="E7" s="156">
        <f t="shared" ref="E7:E15" si="0">MIN(C7,D7)</f>
        <v>0</v>
      </c>
      <c r="F7" s="156">
        <f t="shared" ref="F7:F15" si="1">E7*B7</f>
        <v>0</v>
      </c>
      <c r="G7" s="156">
        <f>F7*(100%-'Données projet'!$C$24)*(100%-'Données projet'!$C$25)*(100%-'Données projet'!$C$26)*(100%-'Données projet'!$C$27)</f>
        <v>0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si="2">G7+I7+K7</f>
        <v>0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1045.8724943478815</v>
      </c>
      <c r="G16" s="175">
        <f t="shared" ca="1" si="3"/>
        <v>800.0924581761293</v>
      </c>
      <c r="H16" s="176">
        <f t="shared" si="3"/>
        <v>16.845131263233849</v>
      </c>
      <c r="I16" s="176">
        <f t="shared" si="3"/>
        <v>12.886525416373894</v>
      </c>
      <c r="J16" s="177">
        <f t="shared" si="3"/>
        <v>154.80000000000001</v>
      </c>
      <c r="K16" s="177">
        <f t="shared" si="3"/>
        <v>118.42200000000001</v>
      </c>
      <c r="L16" s="178">
        <f t="shared" ca="1" si="3"/>
        <v>931.40098359250317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pin laricio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/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A7" zoomScale="90" zoomScaleNormal="90" workbookViewId="0">
      <selection activeCell="P20" sqref="P20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26" t="s">
        <v>315</v>
      </c>
      <c r="I4" s="326"/>
      <c r="K4" s="323" t="s">
        <v>253</v>
      </c>
      <c r="L4" s="324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4" t="s">
        <v>310</v>
      </c>
      <c r="S7" s="335"/>
      <c r="T7" s="335"/>
      <c r="U7" s="335"/>
      <c r="V7" s="336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pin laricio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1804.6878724779658</v>
      </c>
      <c r="U10" s="190">
        <f>'Données projet'!D9</f>
        <v>3</v>
      </c>
      <c r="V10" s="189">
        <f>U10*T10</f>
        <v>5414.0636174338979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/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0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pin laricio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27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7"/>
      <c r="H16" s="203"/>
      <c r="I16" s="204"/>
      <c r="J16" s="216"/>
      <c r="K16" s="225"/>
      <c r="L16" s="323" t="s">
        <v>254</v>
      </c>
      <c r="M16" s="324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27"/>
      <c r="J17" s="216"/>
      <c r="K17" s="225"/>
      <c r="L17" s="294" t="s">
        <v>289</v>
      </c>
      <c r="M17" s="296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7"/>
      <c r="J18" s="216"/>
      <c r="K18" s="225"/>
      <c r="L18" s="294" t="s">
        <v>255</v>
      </c>
      <c r="M18" s="296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7"/>
      <c r="H19" s="232" t="s">
        <v>178</v>
      </c>
      <c r="I19" s="232" t="s">
        <v>287</v>
      </c>
      <c r="J19" s="260"/>
      <c r="K19" s="183"/>
      <c r="L19" s="323" t="s">
        <v>288</v>
      </c>
      <c r="M19" s="324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7"/>
      <c r="H20" s="203">
        <v>0</v>
      </c>
      <c r="I20" s="204">
        <v>2206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1</v>
      </c>
      <c r="I21" s="204">
        <v>1510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>
        <v>2</v>
      </c>
      <c r="I22" s="204">
        <v>220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17</v>
      </c>
      <c r="B23" s="193">
        <f>'Données projet'!D36</f>
        <v>15</v>
      </c>
      <c r="C23" s="206">
        <v>1</v>
      </c>
      <c r="D23" s="194">
        <f>B23*C23</f>
        <v>15</v>
      </c>
      <c r="E23" s="206"/>
      <c r="F23" s="261"/>
      <c r="H23" s="203">
        <v>3</v>
      </c>
      <c r="I23" s="204">
        <v>770</v>
      </c>
      <c r="K23" s="225"/>
      <c r="L23" s="325" t="s">
        <v>260</v>
      </c>
      <c r="M23" s="325"/>
      <c r="N23" s="325"/>
      <c r="O23" s="25"/>
      <c r="P23" s="25"/>
      <c r="Q23" s="265"/>
      <c r="R23" s="25"/>
      <c r="S23" s="185" t="s">
        <v>264</v>
      </c>
      <c r="T23" s="339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-8167.491535414687</v>
      </c>
      <c r="U23" s="339"/>
      <c r="V23" s="339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20</v>
      </c>
      <c r="B24" s="193">
        <f>'Données projet'!D37</f>
        <v>15</v>
      </c>
      <c r="C24" s="206">
        <v>2</v>
      </c>
      <c r="D24" s="194">
        <f t="shared" ref="D24:D42" si="2">B24*C24</f>
        <v>30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40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40"/>
      <c r="V24" s="340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25</v>
      </c>
      <c r="B25" s="193">
        <f>'Données projet'!D38</f>
        <v>36</v>
      </c>
      <c r="C25" s="206">
        <v>5</v>
      </c>
      <c r="D25" s="194">
        <f t="shared" si="2"/>
        <v>180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>
        <v>0</v>
      </c>
      <c r="Q25" s="265"/>
      <c r="R25" s="25"/>
      <c r="S25" s="198" t="s">
        <v>266</v>
      </c>
      <c r="T25" s="341">
        <f ca="1">T23-T24</f>
        <v>-8167.491535414687</v>
      </c>
      <c r="U25" s="341"/>
      <c r="V25" s="341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30</v>
      </c>
      <c r="B26" s="193">
        <f>'Données projet'!D39</f>
        <v>54</v>
      </c>
      <c r="C26" s="206">
        <v>5.5</v>
      </c>
      <c r="D26" s="194">
        <f t="shared" si="2"/>
        <v>297</v>
      </c>
      <c r="E26" s="206"/>
      <c r="F26" s="264"/>
      <c r="G26" s="259"/>
      <c r="H26" s="203"/>
      <c r="I26" s="204"/>
      <c r="K26" s="225"/>
      <c r="L26" s="328" t="s">
        <v>258</v>
      </c>
      <c r="M26" s="329"/>
      <c r="N26" s="329"/>
      <c r="O26" s="329"/>
      <c r="P26" s="330"/>
      <c r="Q26" s="265"/>
      <c r="R26" s="25"/>
      <c r="S26" s="198" t="s">
        <v>265</v>
      </c>
      <c r="T26" s="338" t="str">
        <f ca="1">IF(T25&lt;0,"Votre projet est additionnel","Votre projet n'est pas additionnel")</f>
        <v>Votre projet est additionnel</v>
      </c>
      <c r="U26" s="338"/>
      <c r="V26" s="338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35</v>
      </c>
      <c r="B27" s="193">
        <f>'Données projet'!D40</f>
        <v>52</v>
      </c>
      <c r="C27" s="206">
        <v>9</v>
      </c>
      <c r="D27" s="194">
        <f t="shared" si="2"/>
        <v>468</v>
      </c>
      <c r="E27" s="206"/>
      <c r="F27" s="264"/>
      <c r="G27" s="259"/>
      <c r="H27" s="203"/>
      <c r="I27" s="204"/>
      <c r="K27" s="225"/>
      <c r="L27" s="331"/>
      <c r="M27" s="332"/>
      <c r="N27" s="332"/>
      <c r="O27" s="332"/>
      <c r="P27" s="333"/>
      <c r="Q27" s="265"/>
      <c r="R27" s="25"/>
      <c r="S27" s="337" t="s">
        <v>267</v>
      </c>
      <c r="T27" s="337"/>
      <c r="U27" s="337"/>
      <c r="V27" s="337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40</v>
      </c>
      <c r="B28" s="193">
        <f>'Données projet'!D41</f>
        <v>48</v>
      </c>
      <c r="C28" s="206">
        <v>15</v>
      </c>
      <c r="D28" s="194">
        <f t="shared" si="2"/>
        <v>720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45</v>
      </c>
      <c r="B29" s="193">
        <f>'Données projet'!D42</f>
        <v>57</v>
      </c>
      <c r="C29" s="206">
        <v>20</v>
      </c>
      <c r="D29" s="194">
        <f t="shared" si="2"/>
        <v>1140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50</v>
      </c>
      <c r="B30" s="193">
        <f>'Données projet'!D43</f>
        <v>47</v>
      </c>
      <c r="C30" s="206">
        <v>22</v>
      </c>
      <c r="D30" s="194">
        <f t="shared" si="2"/>
        <v>1034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55</v>
      </c>
      <c r="B31" s="193">
        <f>'Données projet'!D44</f>
        <v>48</v>
      </c>
      <c r="C31" s="206">
        <v>25</v>
      </c>
      <c r="D31" s="194">
        <f t="shared" si="2"/>
        <v>1200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60</v>
      </c>
      <c r="B32" s="193">
        <f>'Données projet'!D45</f>
        <v>32</v>
      </c>
      <c r="C32" s="206">
        <v>26</v>
      </c>
      <c r="D32" s="194">
        <f t="shared" si="2"/>
        <v>832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65</v>
      </c>
      <c r="B33" s="193">
        <f>'Données projet'!D46</f>
        <v>555</v>
      </c>
      <c r="C33" s="206">
        <v>31</v>
      </c>
      <c r="D33" s="194">
        <f t="shared" si="2"/>
        <v>17205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/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0</v>
      </c>
      <c r="B54" s="193">
        <f>'Données projet'!D62</f>
        <v>0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0</v>
      </c>
      <c r="B55" s="193">
        <f>'Données projet'!D63</f>
        <v>0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0</v>
      </c>
      <c r="B56" s="193">
        <f>'Données projet'!D64</f>
        <v>0</v>
      </c>
      <c r="C56" s="204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0</v>
      </c>
      <c r="B57" s="193">
        <f>'Données projet'!D65</f>
        <v>0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0</v>
      </c>
      <c r="B58" s="193">
        <f>'Données projet'!D66</f>
        <v>0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0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0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5"/>
        <v>0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5"/>
        <v>0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5"/>
        <v>0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5"/>
        <v>0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5"/>
        <v>0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5"/>
        <v>0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5"/>
        <v>0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>
        <f>IF(O78+1&lt;=MIN('Données projet'!$E$9:$E$18),O78+1,"STOP")</f>
        <v>46</v>
      </c>
      <c r="P79" s="197">
        <f t="shared" si="5"/>
        <v>0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>
        <f>IF(O79+1&lt;=MIN('Données projet'!$E$9:$E$18),O79+1,"STOP")</f>
        <v>47</v>
      </c>
      <c r="P80" s="197">
        <f t="shared" si="5"/>
        <v>0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>
        <f>IF(O80+1&lt;=MIN('Données projet'!$E$9:$E$18),O80+1,"STOP")</f>
        <v>48</v>
      </c>
      <c r="P81" s="197">
        <f t="shared" si="5"/>
        <v>0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>
        <f>IF(O81+1&lt;=MIN('Données projet'!$E$9:$E$18),O81+1,"STOP")</f>
        <v>49</v>
      </c>
      <c r="P82" s="197">
        <f t="shared" si="5"/>
        <v>0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>
        <f>IF(O82+1&lt;=MIN('Données projet'!$E$9:$E$18),O82+1,"STOP")</f>
        <v>50</v>
      </c>
      <c r="P83" s="197">
        <f t="shared" si="5"/>
        <v>0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>
        <f>IF(O83+1&lt;=MIN('Données projet'!$E$9:$E$18),O83+1,"STOP")</f>
        <v>51</v>
      </c>
      <c r="P84" s="197">
        <f t="shared" si="5"/>
        <v>0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>
        <f>IF(O84+1&lt;=MIN('Données projet'!$E$9:$E$18),O84+1,"STOP")</f>
        <v>52</v>
      </c>
      <c r="P85" s="197">
        <f t="shared" si="5"/>
        <v>0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>
        <f>IF(O85+1&lt;=MIN('Données projet'!$E$9:$E$18),O85+1,"STOP")</f>
        <v>53</v>
      </c>
      <c r="P86" s="197">
        <f t="shared" si="5"/>
        <v>0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>
        <f>IF(O86+1&lt;=MIN('Données projet'!$E$9:$E$18),O86+1,"STOP")</f>
        <v>54</v>
      </c>
      <c r="P87" s="197">
        <f t="shared" si="5"/>
        <v>0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>
        <f>IF(O87+1&lt;=MIN('Données projet'!$E$9:$E$18),O87+1,"STOP")</f>
        <v>55</v>
      </c>
      <c r="P88" s="197">
        <f t="shared" si="5"/>
        <v>0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>
        <f>IF(O88+1&lt;=MIN('Données projet'!$E$9:$E$18),O88+1,"STOP")</f>
        <v>56</v>
      </c>
      <c r="P89" s="197">
        <f t="shared" si="5"/>
        <v>0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>
        <f>IF(O89+1&lt;=MIN('Données projet'!$E$9:$E$18),O89+1,"STOP")</f>
        <v>57</v>
      </c>
      <c r="P90" s="197">
        <f t="shared" si="5"/>
        <v>0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>
        <f>IF(O90+1&lt;=MIN('Données projet'!$E$9:$E$18),O90+1,"STOP")</f>
        <v>58</v>
      </c>
      <c r="P91" s="197">
        <f t="shared" si="5"/>
        <v>0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>
        <f>IF(O91+1&lt;=MIN('Données projet'!$E$9:$E$18),O91+1,"STOP")</f>
        <v>59</v>
      </c>
      <c r="P92" s="197">
        <f t="shared" si="5"/>
        <v>0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>
        <f>IF(O92+1&lt;=MIN('Données projet'!$E$9:$E$18),O92+1,"STOP")</f>
        <v>60</v>
      </c>
      <c r="P93" s="197">
        <f t="shared" si="5"/>
        <v>0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>
        <f>IF(O93+1&lt;=MIN('Données projet'!$E$9:$E$18),O93+1,"STOP")</f>
        <v>61</v>
      </c>
      <c r="P94" s="197">
        <f t="shared" si="5"/>
        <v>0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>
        <f>IF(O94+1&lt;=MIN('Données projet'!$E$9:$E$18),O94+1,"STOP")</f>
        <v>62</v>
      </c>
      <c r="P95" s="197">
        <f t="shared" si="5"/>
        <v>0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>
        <f>IF(O95+1&lt;=MIN('Données projet'!$E$9:$E$18),O95+1,"STOP")</f>
        <v>63</v>
      </c>
      <c r="P96" s="197">
        <f t="shared" si="5"/>
        <v>0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>
        <f>IF(O96+1&lt;=MIN('Données projet'!$E$9:$E$18),O96+1,"STOP")</f>
        <v>64</v>
      </c>
      <c r="P97" s="197">
        <f t="shared" ref="P97:P128" si="7">$P$25/(1+$M$4)^O97</f>
        <v>0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>
        <f>IF(O97+1&lt;=MIN('Données projet'!$E$9:$E$18),O97+1,"STOP")</f>
        <v>65</v>
      </c>
      <c r="P98" s="197">
        <f t="shared" si="7"/>
        <v>0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str">
        <f>IF(O98+1&lt;=MIN('Données projet'!$E$9:$E$18),O98+1,"STOP")</f>
        <v>STOP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TABORSKI Paul</cp:lastModifiedBy>
  <dcterms:created xsi:type="dcterms:W3CDTF">2021-02-01T08:22:39Z</dcterms:created>
  <dcterms:modified xsi:type="dcterms:W3CDTF">2023-02-09T17:15:15Z</dcterms:modified>
</cp:coreProperties>
</file>